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SHEET" state="show" r:id="rId4"/>
    <sheet sheetId="2" name="BANKING ANALYSIS" state="show" r:id="rId5"/>
    <sheet sheetId="3" name="LOAN SHEET" state="show" r:id="rId6"/>
  </sheets>
  <calcPr calcId="171027"/>
</workbook>
</file>

<file path=xl/sharedStrings.xml><?xml version="1.0" encoding="utf-8"?>
<sst xmlns="http://schemas.openxmlformats.org/spreadsheetml/2006/main" count="844" uniqueCount="563">
  <si>
    <t>PAN :</t>
  </si>
  <si>
    <t>QNGUV2119B</t>
  </si>
  <si>
    <t>Client Name :</t>
  </si>
  <si>
    <t>Sales Total</t>
  </si>
  <si>
    <t>Inward bouncing in past Six month %</t>
  </si>
  <si>
    <t>PARTICULARS</t>
  </si>
  <si>
    <t>AUDITED</t>
  </si>
  <si>
    <t>REMARKS</t>
  </si>
  <si>
    <t>BTO</t>
  </si>
  <si>
    <t>Outward bouncing in past Six month %</t>
  </si>
  <si>
    <t>PROFIT &amp; LOSS ACCOUNT</t>
  </si>
  <si>
    <t>Current Year revenue as per return ( Binary)</t>
  </si>
  <si>
    <t>Average Unutilized limit</t>
  </si>
  <si>
    <t>Sales/Receipts</t>
  </si>
  <si>
    <t>Other Income (Business related)</t>
  </si>
  <si>
    <t>Financial highlights / Ratios</t>
  </si>
  <si>
    <t>Other Income (Non Business related)</t>
  </si>
  <si>
    <t>P&amp;L  / Repayment</t>
  </si>
  <si>
    <t>TOTAL  INCOME</t>
  </si>
  <si>
    <t>Revenue</t>
  </si>
  <si>
    <t>COST OF SALES</t>
  </si>
  <si>
    <t>Purchases</t>
  </si>
  <si>
    <t>Change in Inventory ( Opening stock - closing stock)</t>
  </si>
  <si>
    <t>Cash Profit</t>
  </si>
  <si>
    <t>Manufacturing expenses ( Power / Fuel / Wages /Labour / Direct Exp)</t>
  </si>
  <si>
    <t>Cash Profit Ratio</t>
  </si>
  <si>
    <t>GROSS  PROFIT (as per books)</t>
  </si>
  <si>
    <t>EBITDA</t>
  </si>
  <si>
    <t>GROSS  PROFIT (Excl. Non Business Income)</t>
  </si>
  <si>
    <t>EBITDA Margin</t>
  </si>
  <si>
    <t>Selling &amp; Distribution  &amp; Administration Expenses</t>
  </si>
  <si>
    <t>GP Margin</t>
  </si>
  <si>
    <t>NP Margin</t>
  </si>
  <si>
    <t>Interest &amp; Finance Charges</t>
  </si>
  <si>
    <t>Interest coverage( ICR)</t>
  </si>
  <si>
    <t>Depreciation</t>
  </si>
  <si>
    <t>Debt coverage (DSCR)</t>
  </si>
  <si>
    <t>PBT (Excl. Non Business Income)</t>
  </si>
  <si>
    <t>Debt coverage (DSCR OXYZO)</t>
  </si>
  <si>
    <t>Profit Before Tax (as per books)</t>
  </si>
  <si>
    <t>Finance cost / Sales%</t>
  </si>
  <si>
    <t xml:space="preserve">Tax </t>
  </si>
  <si>
    <t>Balance sheet</t>
  </si>
  <si>
    <t>PAT (as per books)</t>
  </si>
  <si>
    <t>Net worth</t>
  </si>
  <si>
    <t>PAT (Excl. Non Business Income)</t>
  </si>
  <si>
    <t>Debt</t>
  </si>
  <si>
    <t>Cash Profits (Excl Non Business Income)</t>
  </si>
  <si>
    <t>Debt/Equity (D/E)</t>
  </si>
  <si>
    <t>Leverage (Total Liability/NW)</t>
  </si>
  <si>
    <t>TD/ EBITDA</t>
  </si>
  <si>
    <t>BALANCE SHEET</t>
  </si>
  <si>
    <t>Current Ratio</t>
  </si>
  <si>
    <t>LIABILITY</t>
  </si>
  <si>
    <t>Creditor days</t>
  </si>
  <si>
    <t xml:space="preserve">Share Capital </t>
  </si>
  <si>
    <t>Debtor days</t>
  </si>
  <si>
    <t>Other - Preference, Share warrants, application money pending allotment</t>
  </si>
  <si>
    <t>Inventory days</t>
  </si>
  <si>
    <t>Reserves &amp; Surplus(excluding revaluation reserve)</t>
  </si>
  <si>
    <t>W.C. cycle</t>
  </si>
  <si>
    <t>Total Net worth</t>
  </si>
  <si>
    <t>Return on Capital</t>
  </si>
  <si>
    <t>Revaluation Reserve</t>
  </si>
  <si>
    <t>Finance cost  / Total Debt</t>
  </si>
  <si>
    <t>Adjusted Net worth</t>
  </si>
  <si>
    <t>Fixed asset Ratio</t>
  </si>
  <si>
    <t>Tenure</t>
  </si>
  <si>
    <t>Is Sales in VAT/GST=Sales Register</t>
  </si>
  <si>
    <t>Secured Loans (Non Current Part)</t>
  </si>
  <si>
    <t>Sales From VAT RETURN and GST</t>
  </si>
  <si>
    <t>Monthly Sales from Sales Register</t>
  </si>
  <si>
    <t>Value</t>
  </si>
  <si>
    <t>Unsecured loans (Banks/ NBFC/ FIs) (Non Current Part)</t>
  </si>
  <si>
    <t>Q1 FY 17 (Apr,May,Jun 17)</t>
  </si>
  <si>
    <t>Secured &amp; Unsecured loans (Banks/ NBFC/ FIs) (Current Part)</t>
  </si>
  <si>
    <t>Working Capital Limits/ CC/ OD</t>
  </si>
  <si>
    <t>TOTAL Outside borrowings</t>
  </si>
  <si>
    <t>Loans from Director /Promoter / Friends &amp; Family / Other (Non Current Part)</t>
  </si>
  <si>
    <t>Loans from Director /Promoter / Friends &amp; Family / Other (Current Part)</t>
  </si>
  <si>
    <t>Current Liabilities &amp; Provisions</t>
  </si>
  <si>
    <t>Sundry Creditors</t>
  </si>
  <si>
    <t>Other Current Liabilities</t>
  </si>
  <si>
    <t>Non Current Liabilities</t>
  </si>
  <si>
    <t>Deferred Tax Liability</t>
  </si>
  <si>
    <t>Total Liabilities to outsiders</t>
  </si>
  <si>
    <t>LIABILITY - TOTAL</t>
  </si>
  <si>
    <t>ASSETS</t>
  </si>
  <si>
    <t>Total</t>
  </si>
  <si>
    <t>Gross Fixed Assets (Excl Plant &amp; Machinery)</t>
  </si>
  <si>
    <t>Count</t>
  </si>
  <si>
    <t>Gross Plant &amp; Machinery</t>
  </si>
  <si>
    <t>Average Annual Sales</t>
  </si>
  <si>
    <t>Accumulated Depreciation</t>
  </si>
  <si>
    <t>Total Annualised Sales</t>
  </si>
  <si>
    <t>Net Fixed Assets (Gross Fixed Assets - Accum. Dep)</t>
  </si>
  <si>
    <t>Total Annualised Bank Credits</t>
  </si>
  <si>
    <t>Investment in Group companies including JV / Subsidaries / Associates in same line of Business</t>
  </si>
  <si>
    <t>Average Unutilized limit(Lakh)</t>
  </si>
  <si>
    <t>Investments in non related business including  Loans &amp; Advances to Directors/Promoter/ Friends &amp; Family/Group Company not in the same line of buisness</t>
  </si>
  <si>
    <t>Other Non Current Assets</t>
  </si>
  <si>
    <t>CURRENT ASSETS</t>
  </si>
  <si>
    <t>Inventories</t>
  </si>
  <si>
    <t xml:space="preserve"> Debtors &gt; 6 months</t>
  </si>
  <si>
    <t xml:space="preserve"> Debtors &lt; 6 months</t>
  </si>
  <si>
    <t xml:space="preserve"> Total Debtors</t>
  </si>
  <si>
    <t>Cash and Bank</t>
  </si>
  <si>
    <t>Short Term Loans and Advances</t>
  </si>
  <si>
    <t>Other Current Assets</t>
  </si>
  <si>
    <t>Deferred Tax asset</t>
  </si>
  <si>
    <t>ASSET - TOTAL</t>
  </si>
  <si>
    <t>DIFFERENCE = (ASSET - LIABILITY)</t>
  </si>
  <si>
    <t>RATIOS</t>
  </si>
  <si>
    <t>Growth in Sales</t>
  </si>
  <si>
    <t>Gross Profit Ratio (Excluding other income and other business Income)</t>
  </si>
  <si>
    <t>Net Profit Margin Ratio</t>
  </si>
  <si>
    <t>EBITDA Ratio</t>
  </si>
  <si>
    <t>Debt/Equity ratio (D/E)</t>
  </si>
  <si>
    <t>Leverage Ratio</t>
  </si>
  <si>
    <t>Interest Coverage Ratio</t>
  </si>
  <si>
    <t>Debtor Days</t>
  </si>
  <si>
    <t>Stock Days</t>
  </si>
  <si>
    <t>Creditor Days</t>
  </si>
  <si>
    <t>Net Working Capital Cycle</t>
  </si>
  <si>
    <t xml:space="preserve">Current Ratio </t>
  </si>
  <si>
    <t>Loans to Turnover Ratio</t>
  </si>
  <si>
    <t>ANW to Turnover Ratio</t>
  </si>
  <si>
    <t>ROE</t>
  </si>
  <si>
    <t>ROCE</t>
  </si>
  <si>
    <t>ROTA</t>
  </si>
  <si>
    <t>Fixed Assets Turnover Ratio</t>
  </si>
  <si>
    <t>OBLIGATIONS (Annualized)</t>
  </si>
  <si>
    <t>DSCR (Excluding any other income, only on Business Related Income)</t>
  </si>
  <si>
    <t>TD/EBITDA</t>
  </si>
  <si>
    <t>DSCR(Oxyzo)</t>
  </si>
  <si>
    <t>Finance Cost to Sales</t>
  </si>
  <si>
    <t>Finance cost to Total Outside debt</t>
  </si>
  <si>
    <t>30 Days</t>
  </si>
  <si>
    <t>60 Days</t>
  </si>
  <si>
    <t>90 Days</t>
  </si>
  <si>
    <t>120 Days</t>
  </si>
  <si>
    <t>Particulars</t>
  </si>
  <si>
    <t>Gross Assets</t>
  </si>
  <si>
    <t>Net Working capital</t>
  </si>
  <si>
    <t>Long Term Liabilities</t>
  </si>
  <si>
    <t>CONSOLIDATED BANK STATEMENT</t>
  </si>
  <si>
    <t>Average Reciept Day wise</t>
  </si>
  <si>
    <t>MONTH</t>
  </si>
  <si>
    <t>CREDIT SUM</t>
  </si>
  <si>
    <t>DEBIT SUM</t>
  </si>
  <si>
    <t>DEBIT COUNT</t>
  </si>
  <si>
    <t>CREDIT COUNT</t>
  </si>
  <si>
    <t>IW</t>
  </si>
  <si>
    <t>OW</t>
  </si>
  <si>
    <t>Month</t>
  </si>
  <si>
    <t>Bank Name</t>
  </si>
  <si>
    <t>A/c Type</t>
  </si>
  <si>
    <t>Start Date</t>
  </si>
  <si>
    <t>End Date</t>
  </si>
  <si>
    <t>No. of Days</t>
  </si>
  <si>
    <t>Assumed Limit</t>
  </si>
  <si>
    <t>Sanction Limit</t>
  </si>
  <si>
    <t>A/c No.</t>
  </si>
  <si>
    <t>Accont Holder Name</t>
  </si>
  <si>
    <t>Axis</t>
  </si>
  <si>
    <t>OD</t>
  </si>
  <si>
    <t>6459587096825829744</t>
  </si>
  <si>
    <t>indo</t>
  </si>
  <si>
    <t>MONTHS</t>
  </si>
  <si>
    <t>Monthly Credits</t>
  </si>
  <si>
    <t>Monthly Debits</t>
  </si>
  <si>
    <t>Peak OD/CC usage</t>
  </si>
  <si>
    <t>Utilization per month</t>
  </si>
  <si>
    <t>OD/CC Limit</t>
  </si>
  <si>
    <t>Actual Interest Paid</t>
  </si>
  <si>
    <t>No. of Debits</t>
  </si>
  <si>
    <t>No. of Credits</t>
  </si>
  <si>
    <t>I/W Bounces</t>
  </si>
  <si>
    <t>O/W Bounces</t>
  </si>
  <si>
    <t>DAY 1 Balance</t>
  </si>
  <si>
    <t>DAY 14 Balance</t>
  </si>
  <si>
    <t>DAY 30 Balance</t>
  </si>
  <si>
    <t>ABB</t>
  </si>
  <si>
    <t>Average</t>
  </si>
  <si>
    <t>Yearly Credit</t>
  </si>
  <si>
    <t>Total Credit</t>
  </si>
  <si>
    <t>Avg Receipts</t>
  </si>
  <si>
    <t>Avg. unutilzed limit</t>
  </si>
  <si>
    <t>Avg Annual Receipts</t>
  </si>
  <si>
    <t>Unutilized Limit</t>
  </si>
  <si>
    <t>Unutilized Limit Amount</t>
  </si>
  <si>
    <t>IDBI</t>
  </si>
  <si>
    <t>INDO</t>
  </si>
  <si>
    <t>SBI</t>
  </si>
  <si>
    <t>Syndicate Bank</t>
  </si>
  <si>
    <t>A P Mahesh Co-op Urban Bank Ltd.</t>
  </si>
  <si>
    <t>Last Financial Year</t>
  </si>
  <si>
    <t xml:space="preserve">DSCR (Oxyzo)= </t>
  </si>
  <si>
    <t>EMI</t>
  </si>
  <si>
    <t>POS</t>
  </si>
  <si>
    <t>Annual Obligation</t>
  </si>
  <si>
    <t>Ab Bank Ltd.</t>
  </si>
  <si>
    <t xml:space="preserve">Balance Sheet Liability </t>
  </si>
  <si>
    <t>Abhyudaya Cooperative Bank Limited</t>
  </si>
  <si>
    <t>Banking collected from</t>
  </si>
  <si>
    <t>Post Balance Sheet Liability</t>
  </si>
  <si>
    <t>Abu Dhabi Commercial Bank Ltd.</t>
  </si>
  <si>
    <t>Banking collected To</t>
  </si>
  <si>
    <t>31-0ct-18</t>
  </si>
  <si>
    <t>Secured Loan</t>
  </si>
  <si>
    <t>Aditya Birla Finance Limited</t>
  </si>
  <si>
    <t>Unsecured Loan</t>
  </si>
  <si>
    <t>Aditya Birla Idea Payments Bank</t>
  </si>
  <si>
    <t>Loan/Emi Details</t>
  </si>
  <si>
    <t>Ahmedabad Mercantile Cooperative Bank</t>
  </si>
  <si>
    <t>Financier</t>
  </si>
  <si>
    <t>Loan Type</t>
  </si>
  <si>
    <t>BSL/PBSL</t>
  </si>
  <si>
    <t>Loan Live/Closed</t>
  </si>
  <si>
    <t>Loan Amount Rs. Lakhs</t>
  </si>
  <si>
    <t>POS Rs. Lakhs</t>
  </si>
  <si>
    <t>EMI Amount</t>
  </si>
  <si>
    <t>Loan Tenure</t>
  </si>
  <si>
    <t>EMI Start Date</t>
  </si>
  <si>
    <t>No of EMI Paid</t>
  </si>
  <si>
    <t>Balance No of EMI</t>
  </si>
  <si>
    <t>EMI Clearance Banking</t>
  </si>
  <si>
    <t>Airtel Payments Bank Limited</t>
  </si>
  <si>
    <t>LAP</t>
  </si>
  <si>
    <t>Live</t>
  </si>
  <si>
    <t>Akola Janata Commercial Cooperative Bank</t>
  </si>
  <si>
    <t>Allahabad Bank</t>
  </si>
  <si>
    <t>Allahabad Up Gramin Bank</t>
  </si>
  <si>
    <t>Almora Urban Cooperative Bank Limited</t>
  </si>
  <si>
    <t>Ambarnath Jaihind Coop Bank Ltd Ambarnath</t>
  </si>
  <si>
    <t>American Express Banking Corp.</t>
  </si>
  <si>
    <t>Andhra Bank</t>
  </si>
  <si>
    <t>Andhra Pradesh Grameena Vikas Bank</t>
  </si>
  <si>
    <t>Andhra Pragathi Grameena Bank</t>
  </si>
  <si>
    <t>Apna Sahakari Bank Limited</t>
  </si>
  <si>
    <t>Arunachal Pradesh Rural Bank</t>
  </si>
  <si>
    <t>Assam Gramin Vikash Bank</t>
  </si>
  <si>
    <t>Au Small Finance Bank Ltd.</t>
  </si>
  <si>
    <t>Australia And New Zealand Banking Group Ltd.</t>
  </si>
  <si>
    <t>Axis Bank Ltd.</t>
  </si>
  <si>
    <t>Axis Finance Limited</t>
  </si>
  <si>
    <t>B N P Paribas</t>
  </si>
  <si>
    <t>Bajaj Finance Limited</t>
  </si>
  <si>
    <t>Bajaj Holdings &amp; Investment Limited</t>
  </si>
  <si>
    <t>Bandhan Bank Ltd.</t>
  </si>
  <si>
    <t>Bangiya Gramin Vikas Bank</t>
  </si>
  <si>
    <t>Monthly Obligation</t>
  </si>
  <si>
    <t>Bank Of America</t>
  </si>
  <si>
    <t>*EBIDTA in case of BL, Retail &amp; Capex is from the last Audited Financials</t>
  </si>
  <si>
    <t>Bank Of Bahrain &amp; Kuwait Bsc</t>
  </si>
  <si>
    <t>*EBIDTA in case of PF, Workorder is from the latest Audited/Provisional Financials</t>
  </si>
  <si>
    <t>Bank Of Bahrain And Kuwait</t>
  </si>
  <si>
    <t>Bank Of Baroda</t>
  </si>
  <si>
    <t>Bank Of Ceylon</t>
  </si>
  <si>
    <t>Bank Of India</t>
  </si>
  <si>
    <t>Bank Of Maharashtra</t>
  </si>
  <si>
    <t>Bank Of Nova Scotia</t>
  </si>
  <si>
    <t>Barclays Bank Plc.</t>
  </si>
  <si>
    <t>Baroda Gujarat Gramin Bank</t>
  </si>
  <si>
    <t>Baroda Rajasthan Kshetriya Gramin Bank</t>
  </si>
  <si>
    <t>Baroda Up Gramin Bank</t>
  </si>
  <si>
    <t>Bassein Catholic Cooperative Bank Limited</t>
  </si>
  <si>
    <t>Bhagini Nivedita Sahakari Bank Ltd Pune</t>
  </si>
  <si>
    <t>Bharat Cooperative Bank Mumbai Limited</t>
  </si>
  <si>
    <t>Bihar Gramin Bank</t>
  </si>
  <si>
    <t>Bnp Paribas</t>
  </si>
  <si>
    <t>Canara Bank</t>
  </si>
  <si>
    <t>Capital First Limited</t>
  </si>
  <si>
    <t>Capital Small Finance Bank Ltd</t>
  </si>
  <si>
    <t>Catholic Syrian Bank Ltd.</t>
  </si>
  <si>
    <t>Central Bank Of India</t>
  </si>
  <si>
    <t>Central Madhya Pradesh Gramin Bank</t>
  </si>
  <si>
    <t>Chaitanya Godavari Grameena Bank</t>
  </si>
  <si>
    <t>Chattisgarh Rajya Gramin Bank</t>
  </si>
  <si>
    <t>Chinatrust Commercial Bank Limited</t>
  </si>
  <si>
    <t>Cholamandalam Investment And Finance Company Limited</t>
  </si>
  <si>
    <t>Citibank N.a.</t>
  </si>
  <si>
    <t>Citizen Credit Cooperative Bank Limited</t>
  </si>
  <si>
    <t>City Union Bank Ltd.</t>
  </si>
  <si>
    <t>Coastal Local Area Bank Ltd</t>
  </si>
  <si>
    <t>Commonwealth Bank Of Australia</t>
  </si>
  <si>
    <t>Cooperatieve Rabobank U.a.</t>
  </si>
  <si>
    <t>Corporation Bank</t>
  </si>
  <si>
    <t>Credila Financial Services Private Limited</t>
  </si>
  <si>
    <t>Credit Agricole Corporate &amp; Investment Bank</t>
  </si>
  <si>
    <t>Credit Agricole Corporate And Investment Bank Calyon Bank</t>
  </si>
  <si>
    <t>Credit Suisse A.g</t>
  </si>
  <si>
    <t>Ctbc Bank Co., Ltd.</t>
  </si>
  <si>
    <t>Dbs Bank Ltd.</t>
  </si>
  <si>
    <t>Dcb Bank Ltd.</t>
  </si>
  <si>
    <t>Delhi State Cooperative Bank Ltd.</t>
  </si>
  <si>
    <t>Dena Bank</t>
  </si>
  <si>
    <t>Dena Gujarat Gramin Bank</t>
  </si>
  <si>
    <t>Deogiri Nagari Sahakari Bank Ltd. Aurangabad</t>
  </si>
  <si>
    <t>Deposit Insurance And Credit Guarantee Corporation</t>
  </si>
  <si>
    <t>Deutsche Bank</t>
  </si>
  <si>
    <t>Development Bank Of Singapore</t>
  </si>
  <si>
    <t>Dhanlaxmi Bank Ltd.</t>
  </si>
  <si>
    <t>Dmk Jaoli Bank</t>
  </si>
  <si>
    <t>Doha Bank</t>
  </si>
  <si>
    <t>Dombivli Nagari Sahakari Bank Limited</t>
  </si>
  <si>
    <t>Durgapur Steel Peoples Co-operative Bank Ltd</t>
  </si>
  <si>
    <t>Edelweiss Finance &amp; Investments Limited</t>
  </si>
  <si>
    <t>Ellaquai Dehati Bank</t>
  </si>
  <si>
    <t>Emirates Nbd Bank Pjsc</t>
  </si>
  <si>
    <t>Equitas Small Finance Bank Ltd</t>
  </si>
  <si>
    <t>Esaf Small Finance Bank Ltd.</t>
  </si>
  <si>
    <t>Export-import Bank Of India</t>
  </si>
  <si>
    <t>Family Credit Limited</t>
  </si>
  <si>
    <t>Federal Bank Ltd.</t>
  </si>
  <si>
    <t>Fincare Small Finance Bank Ltd.</t>
  </si>
  <si>
    <t>Fino Payments Bank</t>
  </si>
  <si>
    <t>First Abu Dhabi Bank Pjsc</t>
  </si>
  <si>
    <t>Firstrand Bank Ltd.</t>
  </si>
  <si>
    <t>Gramin Bank Of Aryavart</t>
  </si>
  <si>
    <t>Hdb Financial Services Limited</t>
  </si>
  <si>
    <t>Hdfc Bank Ltd</t>
  </si>
  <si>
    <t>Himachal Pradesh Gramin Bank</t>
  </si>
  <si>
    <t>Himachal Pradesh State Cooperative Bank Ltd</t>
  </si>
  <si>
    <t>Hinduja Leyland Finance Limited</t>
  </si>
  <si>
    <t>Hsbc Ltd</t>
  </si>
  <si>
    <t>Icici Bank Ltd.</t>
  </si>
  <si>
    <t>Icici Securities Primary Dealership Limited</t>
  </si>
  <si>
    <t>Idbi Bank Limited</t>
  </si>
  <si>
    <t>Idbi Ltd.</t>
  </si>
  <si>
    <t>Idfc Bank Ltd.</t>
  </si>
  <si>
    <t>Idukki District Co Operative Bank Ltd</t>
  </si>
  <si>
    <t>Ifci Limited</t>
  </si>
  <si>
    <t>Il&amp;fs Financial Services Limited</t>
  </si>
  <si>
    <t>India Infoline Finance Limited</t>
  </si>
  <si>
    <t>India Infrastructure Finance Company Limited</t>
  </si>
  <si>
    <t>India Post Payment Bank</t>
  </si>
  <si>
    <t>Indiabulls Commercial Credit Limited</t>
  </si>
  <si>
    <t>Indian Bank</t>
  </si>
  <si>
    <t>Indian Overseas Bank</t>
  </si>
  <si>
    <t>Indian Railway Finance Corporation Limited</t>
  </si>
  <si>
    <t>Indian Renewable Energy Development Agency Limited</t>
  </si>
  <si>
    <t>Indostar Capital Finance Limited</t>
  </si>
  <si>
    <t>Indusind Bank Ltd</t>
  </si>
  <si>
    <t>Industrial &amp; Commercial Bank Of China Ltd.</t>
  </si>
  <si>
    <t>Industrial Bank Of Korea</t>
  </si>
  <si>
    <t>J.p. Morgan Chase Bank N.a.</t>
  </si>
  <si>
    <t>Jalgaon Janata Sahakari Bank Limited</t>
  </si>
  <si>
    <t>Jammu &amp; Kashmir Bank Ltd.</t>
  </si>
  <si>
    <t>Jammu &amp; Kashmir Grameen Bank</t>
  </si>
  <si>
    <t>Jana Small Finance Bank Ltd</t>
  </si>
  <si>
    <t>Janakalyan Sahakari Bank Limited</t>
  </si>
  <si>
    <t>Janaseva Sahakari Bank Borivli Limited</t>
  </si>
  <si>
    <t>Janaseva Sahakari Bank Limited</t>
  </si>
  <si>
    <t>Janata Sahakari Bank Limited</t>
  </si>
  <si>
    <t>Jharkhand Gramin Bank</t>
  </si>
  <si>
    <t>Jio Payments Bank Limited</t>
  </si>
  <si>
    <t>Jm Financial Credit Solutions Limited</t>
  </si>
  <si>
    <t>Jsc Vtb Bank</t>
  </si>
  <si>
    <t>Kallappanna Awade Ichalkaranji Janata Sahakari Bank Limited</t>
  </si>
  <si>
    <t>Kalupur Commercial Co-op Bank</t>
  </si>
  <si>
    <t>Kalupur Commercial Cooperative Bank</t>
  </si>
  <si>
    <t>Kalyan Janata Sahakari Bank</t>
  </si>
  <si>
    <t>Kapol Cooperative Bank Limited</t>
  </si>
  <si>
    <t>Karnataka Bank Ltd.</t>
  </si>
  <si>
    <t>Karnataka Vikas Grameena Bank</t>
  </si>
  <si>
    <t>Karur Vysya Bank Ltd.</t>
  </si>
  <si>
    <t>Kashi Gomti Samyut Gramin Bank</t>
  </si>
  <si>
    <t>Kaveri Grameena Bank</t>
  </si>
  <si>
    <t>Keb Hana Bank</t>
  </si>
  <si>
    <t>Kerala Gramin Bank</t>
  </si>
  <si>
    <t>Kotak Mahindra Bank Ltd</t>
  </si>
  <si>
    <t>Kotak Mahindra Investments Limited</t>
  </si>
  <si>
    <t>Kotak Mahindra Prime Limited</t>
  </si>
  <si>
    <t>Kozhikode District Co-operative Bank Limited</t>
  </si>
  <si>
    <t>Kozhikode District Cooperatiave Bank Ltd</t>
  </si>
  <si>
    <t>Krishna Bhima Samruddhi Lab Ltd</t>
  </si>
  <si>
    <t>Krung Thai Bank Pcl</t>
  </si>
  <si>
    <t>L&amp;t Infra Debt Fund Limited</t>
  </si>
  <si>
    <t>L&amp;t Infrastructure Finance Company Limited</t>
  </si>
  <si>
    <t>Lakshmi Vilas Bank Ltd.</t>
  </si>
  <si>
    <t>Langpi Dehangi Rural Bank</t>
  </si>
  <si>
    <t>Madhya Bihar Gramin Bank</t>
  </si>
  <si>
    <t>Madhyanchal Gramin Bank</t>
  </si>
  <si>
    <t>Magma Fincorp Limited</t>
  </si>
  <si>
    <t>Mahanagar Cooperative Bank</t>
  </si>
  <si>
    <t>Maharashtra Gramin Bank</t>
  </si>
  <si>
    <t>Maharashtra State Cooperative Bank</t>
  </si>
  <si>
    <t>Mahindra &amp; Mahindra Financial Services Limited</t>
  </si>
  <si>
    <t>Malwa Gramin Bank</t>
  </si>
  <si>
    <t>Manappuram Finance Limited</t>
  </si>
  <si>
    <t>Manipur Rural Bank</t>
  </si>
  <si>
    <t>Mashreq Bank Psc</t>
  </si>
  <si>
    <t>Mashreqbank Psc</t>
  </si>
  <si>
    <t>Meghalaya Rural Bank</t>
  </si>
  <si>
    <t>Mizoram Rural Bank</t>
  </si>
  <si>
    <t>Mizuho Bank Ltd.</t>
  </si>
  <si>
    <t>Mufg Bank Ltd.</t>
  </si>
  <si>
    <t>Mufg Bank, Ltd</t>
  </si>
  <si>
    <t>Muthoot Capital Services Limited</t>
  </si>
  <si>
    <t>Muthoot Finance Limited</t>
  </si>
  <si>
    <t>Nagaland Rural Bank</t>
  </si>
  <si>
    <t>Nagar Urban Co Operative Bank</t>
  </si>
  <si>
    <t>Nagpur Nagarik Sahakari Bank Limited</t>
  </si>
  <si>
    <t>Nainital Bank Ltd.</t>
  </si>
  <si>
    <t>Narmada Jhabua Gramin Bank</t>
  </si>
  <si>
    <t>National Australia Bank</t>
  </si>
  <si>
    <t>National Bank For Agriculture And Rural Development</t>
  </si>
  <si>
    <t>National Housing Bank</t>
  </si>
  <si>
    <t>New India Co-op Bank</t>
  </si>
  <si>
    <t>New India Cooperative Bank Limited</t>
  </si>
  <si>
    <t>Nkgsb Cooperative Bank Limited</t>
  </si>
  <si>
    <t>North East Small Finance Bank Ltd</t>
  </si>
  <si>
    <t>North Malabar Gramin Bank</t>
  </si>
  <si>
    <t>Nutan Nagarik Sahakari Bank Limited</t>
  </si>
  <si>
    <t>Nutan Nagarik Sahakari Bank Ltd.</t>
  </si>
  <si>
    <t>Odisha Gramya Bank</t>
  </si>
  <si>
    <t>Ofbusiness</t>
  </si>
  <si>
    <t>Oman International Bank Saog</t>
  </si>
  <si>
    <t>Oriental Bank Of Commerce</t>
  </si>
  <si>
    <t>Pallavan Grama Bank</t>
  </si>
  <si>
    <t>Pandyan Grama Bank</t>
  </si>
  <si>
    <t>Paschim Banga Gramin Bank</t>
  </si>
  <si>
    <t>Paytm Payments Bank Ltd</t>
  </si>
  <si>
    <t>Pnb Gilts Limited</t>
  </si>
  <si>
    <t>Power Finance Corporation Limited</t>
  </si>
  <si>
    <t>Pragathi Krishna Gramin Bank</t>
  </si>
  <si>
    <t>Prathama Bank</t>
  </si>
  <si>
    <t>Prime Cooperative Bank Limited</t>
  </si>
  <si>
    <t>Pt Bank Maybank Indonesia Tbk</t>
  </si>
  <si>
    <t>Ptc India Financial Services Limited</t>
  </si>
  <si>
    <t>Puduvai Bharathiar Grama Bank</t>
  </si>
  <si>
    <t>Punjab &amp; Sind Bank</t>
  </si>
  <si>
    <t>Punjab And Maharshtra Cooperative Bank</t>
  </si>
  <si>
    <t>Punjab Gramin Bank</t>
  </si>
  <si>
    <t>Punjab National Bank</t>
  </si>
  <si>
    <t>Purvanchal Bank</t>
  </si>
  <si>
    <t>Qatar National Bank Saq</t>
  </si>
  <si>
    <t>Rabobank International</t>
  </si>
  <si>
    <t>Rajarambapu Sahakari Bank Limited</t>
  </si>
  <si>
    <t>Rajasthan Marudhara Gramin Bank</t>
  </si>
  <si>
    <t>Rajgurunagar Sahakari Bank Limited</t>
  </si>
  <si>
    <t>Rajkot Nagrik Sahakari Bank Limited</t>
  </si>
  <si>
    <t>Rbi Pad, Ahmedabad</t>
  </si>
  <si>
    <t>Rbl Bank Ltd.</t>
  </si>
  <si>
    <t>Reliance Capital Limited</t>
  </si>
  <si>
    <t>Religare Finvest Limited</t>
  </si>
  <si>
    <t>Reserve Bank Of India , Pad</t>
  </si>
  <si>
    <t>Reserve Bank Of India, Pad</t>
  </si>
  <si>
    <t>Rural Electrification Corporation Limited</t>
  </si>
  <si>
    <t>Sahebrao Deshmukh Cooperative Bank Limited</t>
  </si>
  <si>
    <t>Samarth Sahakari Bank Ltd</t>
  </si>
  <si>
    <t>Saptagiri Grameena Bank</t>
  </si>
  <si>
    <t>Saraswat Cooperative Bank Limited</t>
  </si>
  <si>
    <t>Sarva Haryana Gramin Bank</t>
  </si>
  <si>
    <t>Sarva Up Gramin Bank</t>
  </si>
  <si>
    <t>Satin Creditcare Network Limited</t>
  </si>
  <si>
    <t>Saurashtra Gramin Bank</t>
  </si>
  <si>
    <t>Sberbank</t>
  </si>
  <si>
    <t>Sbi Dfhi Limited</t>
  </si>
  <si>
    <t>Sbm Bank (mauritius) Ltd</t>
  </si>
  <si>
    <t>Shikshak Sahakari Bank Limited</t>
  </si>
  <si>
    <t>Shinhan Bank</t>
  </si>
  <si>
    <t>Shivalik Mercantile Co Operative Bank Ltd</t>
  </si>
  <si>
    <t>Shri Chhatrapati Rajashri Shahu Urban Cooperative Bank Limited</t>
  </si>
  <si>
    <t>Shriram City Union Finance Limited</t>
  </si>
  <si>
    <t>Shriram Transport Finance Company Limited</t>
  </si>
  <si>
    <t>Small Industries Development Bank Of India</t>
  </si>
  <si>
    <t>Societe Generale</t>
  </si>
  <si>
    <t>Solapur Janata Sahakari Bank Limited</t>
  </si>
  <si>
    <t>Sonali Bank Ltd.</t>
  </si>
  <si>
    <t>South Indian Bank Ltd.</t>
  </si>
  <si>
    <t>Srei Infrastructure Finance Limited</t>
  </si>
  <si>
    <t>Standard Chartered Bank</t>
  </si>
  <si>
    <t>State Bank Of India</t>
  </si>
  <si>
    <t>State Bank Of Mauritius Limited</t>
  </si>
  <si>
    <t>Stci Finance Limited</t>
  </si>
  <si>
    <t>Stci Primary Dealer Limited</t>
  </si>
  <si>
    <t>Subhadra Local Bank Ltd</t>
  </si>
  <si>
    <t>Sumitomo Mitsui Banking Corporation</t>
  </si>
  <si>
    <t>Sundaram Finance Limited</t>
  </si>
  <si>
    <t>Surat National Cooperative Bank Limited</t>
  </si>
  <si>
    <t>Surat Peoples Coop Bank Ltd.</t>
  </si>
  <si>
    <t>Suryoday Small Finance Bank Ltd.</t>
  </si>
  <si>
    <t>Sutex Cooperative Bank Limited</t>
  </si>
  <si>
    <t>Sutlej Gramin Bank</t>
  </si>
  <si>
    <t>Tamilnad Mercantile Bank Ltd.</t>
  </si>
  <si>
    <t>Tata Capital Financial Services Limited</t>
  </si>
  <si>
    <t>Tata Investment Corporation Limited</t>
  </si>
  <si>
    <t>Tata Motors Finance Limited</t>
  </si>
  <si>
    <t>Tata Motors Finance Solutions Limited</t>
  </si>
  <si>
    <t>Telangana State Coop Apex Bank</t>
  </si>
  <si>
    <t>Telengana Grameena Bank</t>
  </si>
  <si>
    <t>Textile Traders Co Operative Bank Ltd</t>
  </si>
  <si>
    <t>The A.p. Mahesh Cooperative Urban Bank Limited</t>
  </si>
  <si>
    <t>The Akola District Central Cooperative Bank</t>
  </si>
  <si>
    <t>The Andhra Pradesh State Cooperative Bank Limited</t>
  </si>
  <si>
    <t>The Bank Of Nova Scotia</t>
  </si>
  <si>
    <t>The Bank Of Tokyo- Mitsubishi Ufj, Ltd.</t>
  </si>
  <si>
    <t>The Baramati Sahakari Bank Ltd</t>
  </si>
  <si>
    <t>The Cosmos Co Operative Bank Limited</t>
  </si>
  <si>
    <t>The Delhi State Cooperative Bank Limited</t>
  </si>
  <si>
    <t>The Gadchiroli District Central Cooperative Bank Limited</t>
  </si>
  <si>
    <t>The Greater Bombay Cooperative Bank Limited</t>
  </si>
  <si>
    <t>The Gujarat State Cooperative Bank Limited</t>
  </si>
  <si>
    <t>The Haryana State Cooperative Apex Bank Ltd</t>
  </si>
  <si>
    <t>The Hasti Coop Bank Ltd</t>
  </si>
  <si>
    <t>The Jalgaon Peopels Cooperative Bank Limited</t>
  </si>
  <si>
    <t>The Kangra Central Cooperative Bank Limited</t>
  </si>
  <si>
    <t>The Kangra Cooperative Bank Limited</t>
  </si>
  <si>
    <t>The Karad Urban Cooperative Bank Limited</t>
  </si>
  <si>
    <t>The Karanataka State Cooperative Apex Bank Limited</t>
  </si>
  <si>
    <t>The Kurmanchal Nagar Sahakari Bank Limited</t>
  </si>
  <si>
    <t>The Mehsana Urban Cooperative Bank</t>
  </si>
  <si>
    <t>The Mumbai District Central Cooperative Bank Limited</t>
  </si>
  <si>
    <t>The Municipal Cooperative Bank Limited</t>
  </si>
  <si>
    <t>The Nainital Bank Limited</t>
  </si>
  <si>
    <t>The Nasik Merchants Cooperative Bank Limited</t>
  </si>
  <si>
    <t>The Navnirman Co-operative Bank Limited</t>
  </si>
  <si>
    <t>The Pandharpur Urban Co Op. Bank Ltd. Pandharpur</t>
  </si>
  <si>
    <t>The Rajasthan State Cooperative Bank Limited</t>
  </si>
  <si>
    <t>The Royal Bank Of Scotland N V</t>
  </si>
  <si>
    <t>The Royal Bank Of Scotland Plc</t>
  </si>
  <si>
    <t>The Seva Vikas Cooperative Bank Limited</t>
  </si>
  <si>
    <t>The Shamrao Vithal Cooperative Bank</t>
  </si>
  <si>
    <t>The Sindhudurg District Central Coop Bank Ltd</t>
  </si>
  <si>
    <t>The Surat District Cooperative Bank Limited</t>
  </si>
  <si>
    <t>The Surath Peoples Cooperative Bank Limited</t>
  </si>
  <si>
    <t>The Tamil Nadu State Apex Cooperative Bank</t>
  </si>
  <si>
    <t>The Thane Bharat Sahakari Bank Limited</t>
  </si>
  <si>
    <t>The Thane District Central Cooperative Bank Limited</t>
  </si>
  <si>
    <t>The Varachha Cooperative Bank Limited</t>
  </si>
  <si>
    <t>The Vishweshwar Sahakari Bank Limited</t>
  </si>
  <si>
    <t>The West Bengal State Cooperative Bank</t>
  </si>
  <si>
    <t>The Zoroastrian Cooperative Bank Limited</t>
  </si>
  <si>
    <t>Thrissur District Co-operative Bank Ltd</t>
  </si>
  <si>
    <t>Tjsb Sahakari Bank Limited</t>
  </si>
  <si>
    <t>Tjsb Sahakari Bank Ltd</t>
  </si>
  <si>
    <t>Tripura Gramin Bank</t>
  </si>
  <si>
    <t>Tumkur Grain Merchants Cooperative Bank Limited</t>
  </si>
  <si>
    <t>Uco Bank</t>
  </si>
  <si>
    <t>Ujjivan Financial Services Limited</t>
  </si>
  <si>
    <t>Ujjivan Small Finance Bank Ltd.</t>
  </si>
  <si>
    <t>Union Bank Of India</t>
  </si>
  <si>
    <t>United Bank Of India</t>
  </si>
  <si>
    <t>United Overseas Bank Ltd.</t>
  </si>
  <si>
    <t>Utkal Grameen Bank</t>
  </si>
  <si>
    <t>Utkarsh Small Finance Bank Ltd.</t>
  </si>
  <si>
    <t>Uttar Bihar Gramin Bank</t>
  </si>
  <si>
    <t>Uttarakhand Gramin Bank</t>
  </si>
  <si>
    <t>Uttarbanga Kshetriya Gramin Bank</t>
  </si>
  <si>
    <t>Vananchal Gramin Bank</t>
  </si>
  <si>
    <t>Vasai Vikas Sahakari Bank Limited</t>
  </si>
  <si>
    <t>Vasai Vikas Sahakari Bank Ltd</t>
  </si>
  <si>
    <t>Vidharbha Konkan Gramin Bank</t>
  </si>
  <si>
    <t>Vijaya Bank</t>
  </si>
  <si>
    <t>Vistaar Financial Services Private Limited</t>
  </si>
  <si>
    <t>Westpac Banking Corporation</t>
  </si>
  <si>
    <t>Woori Bank</t>
  </si>
  <si>
    <t>Yes Bank Ltd.</t>
  </si>
  <si>
    <t>Zila Sahakri Bank Limited Ghaziabad</t>
  </si>
  <si>
    <t>Fullerton India Credit Company Limited</t>
  </si>
  <si>
    <t>LendingKart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</si>
</sst>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[$-409]dd-mmm-yy"/>
    <numFmt numFmtId="165" formatCode="0.00_);[Red](0.00)"/>
    <numFmt numFmtId="166" formatCode="0_);[Red](0)"/>
    <numFmt numFmtId="167" formatCode="mmm d"/>
    <numFmt numFmtId="168" formatCode="mmmm d"/>
    <numFmt numFmtId="169" formatCode="0.00000"/>
    <numFmt numFmtId="170" formatCode="mmm-d"/>
    <numFmt numFmtId="171" formatCode="[$-14009]d mmmm yyyy"/>
  </numFmts>
  <fonts count="22">
    <font>
      <color theme="1"/>
      <family val="2"/>
      <scheme val="minor"/>
      <sz val="11"/>
      <name val="Calibri"/>
    </font>
    <font>
      <b/>
      <color rgb="FF000000"/>
      <sz val="10"/>
      <name val="Arial"/>
    </font>
    <font>
      <sz val="10"/>
      <name val="Arial"/>
    </font>
    <font>
      <b/>
      <color rgb="FF000000"/>
      <sz val="9"/>
      <name val="Arial"/>
    </font>
    <font>
      <b/>
      <color rgb="FF000000"/>
      <sz val="11"/>
      <name val="Arial"/>
    </font>
    <font>
      <b/>
      <sz val="11"/>
      <name val="Arial"/>
    </font>
    <font>
      <b/>
      <sz val="10"/>
      <name val="Arial"/>
    </font>
    <font>
      <color rgb="FFFF0000"/>
      <sz val="10"/>
      <name val="Arial"/>
    </font>
    <font>
      <sz val="11"/>
      <name val="Arial"/>
    </font>
    <font>
      <color rgb="FF000000"/>
      <sz val="11"/>
      <name val="Arial"/>
    </font>
    <font>
      <b/>
      <color rgb="FF000000"/>
      <sz val="14"/>
      <name val="Arial"/>
    </font>
    <font>
      <color rgb="FF333333"/>
      <sz val="12"/>
      <name val="Verdana"/>
    </font>
    <font>
      <b/>
      <color rgb="FF000000"/>
      <sz val="12"/>
      <name val="Arial"/>
    </font>
    <font>
      <color rgb="FFFF0000"/>
      <sz val="11"/>
      <name val="Arial"/>
    </font>
    <font>
      <color rgb="FF333333"/>
      <sz val="10"/>
      <name val="Arial"/>
    </font>
    <font>
      <color rgb="FF707478"/>
      <name val="Roboto"/>
    </font>
    <font>
      <color rgb="FF000000"/>
      <sz val="14"/>
      <name val="Calibri"/>
    </font>
    <font>
      <b/>
      <color rgb="FF000000"/>
      <sz val="11"/>
      <name val="Calibri"/>
    </font>
    <font>
      <color rgb="FF000000"/>
      <sz val="12"/>
      <name val="Arial"/>
    </font>
    <font>
      <b/>
      <color rgb="FF000000"/>
      <sz val="14"/>
      <name val="Calibri"/>
    </font>
    <font>
      <b/>
      <color rgb="FF000000"/>
      <sz val="10"/>
      <name val="Book Antiqua"/>
    </font>
    <font>
      <i/>
      <color rgb="FF000000"/>
      <sz val="11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93C47D"/>
        <bgColor rgb="FF93C47D"/>
      </patternFill>
    </fill>
    <fill>
      <patternFill patternType="solid">
        <fgColor rgb="FF008000"/>
        <bgColor rgb="FF008000"/>
      </patternFill>
    </fill>
    <fill>
      <patternFill patternType="solid">
        <fgColor rgb="FFD9E2F3"/>
        <bgColor rgb="FFD9E2F3"/>
      </patternFill>
    </fill>
    <fill>
      <patternFill patternType="solid">
        <fgColor rgb="FFA4C2F4"/>
        <bgColor rgb="FFA4C2F4"/>
      </patternFill>
    </fill>
    <fill>
      <patternFill patternType="solid">
        <fgColor rgb="FF9CC2E5"/>
        <bgColor rgb="FF9CC2E5"/>
      </patternFill>
    </fill>
    <fill>
      <patternFill patternType="solid">
        <fgColor rgb="FFFFE599"/>
        <bgColor rgb="FFFFE599"/>
      </patternFill>
    </fill>
    <fill>
      <patternFill patternType="solid">
        <fgColor rgb="FF833C0B"/>
        <bgColor rgb="FF833C0B"/>
      </patternFill>
    </fill>
    <fill>
      <patternFill patternType="solid">
        <fgColor rgb="FF70AD47"/>
        <bgColor rgb="FF70AD47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 shrinkToFit="1"/>
    </xf>
    <xf numFmtId="4" fontId="4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10" fontId="4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 shrinkToFit="1"/>
    </xf>
    <xf numFmtId="10" fontId="4" fillId="3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 shrinkToFit="1"/>
    </xf>
    <xf numFmtId="10" fontId="4" fillId="0" borderId="13" xfId="0" applyNumberFormat="1" applyFont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 wrapText="1" shrinkToFit="1"/>
    </xf>
    <xf numFmtId="1" fontId="4" fillId="3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 shrinkToFit="1"/>
    </xf>
    <xf numFmtId="2" fontId="4" fillId="3" borderId="17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left" vertical="center" wrapText="1" shrinkToFit="1"/>
    </xf>
    <xf numFmtId="2" fontId="8" fillId="0" borderId="1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5" fontId="1" fillId="2" borderId="20" xfId="0" applyNumberFormat="1" applyFont="1" applyFill="1" applyBorder="1" applyAlignment="1">
      <alignment horizontal="center" vertical="center"/>
    </xf>
    <xf numFmtId="15" fontId="1" fillId="2" borderId="6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vertical="center"/>
    </xf>
    <xf numFmtId="9" fontId="2" fillId="4" borderId="1" xfId="0" applyNumberFormat="1" applyFont="1" applyFill="1" applyBorder="1" applyAlignment="1">
      <alignment vertical="center"/>
    </xf>
    <xf numFmtId="9" fontId="2" fillId="4" borderId="13" xfId="0" applyNumberFormat="1" applyFont="1" applyFill="1" applyBorder="1" applyAlignment="1">
      <alignment vertical="center"/>
    </xf>
    <xf numFmtId="2" fontId="6" fillId="4" borderId="21" xfId="0" applyNumberFormat="1" applyFont="1" applyFill="1" applyBorder="1" applyAlignment="1">
      <alignment vertical="center" wrapText="1" shrinkToFit="1"/>
    </xf>
    <xf numFmtId="2" fontId="2" fillId="4" borderId="1" xfId="0" applyNumberFormat="1" applyFont="1" applyFill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/>
    </xf>
    <xf numFmtId="4" fontId="9" fillId="3" borderId="1" xfId="0" applyNumberFormat="1" applyFont="1" applyFill="1" applyBorder="1" applyAlignment="1">
      <alignment horizontal="center" vertical="center"/>
    </xf>
    <xf numFmtId="4" fontId="9" fillId="3" borderId="13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vertical="center"/>
    </xf>
    <xf numFmtId="2" fontId="8" fillId="0" borderId="1" xfId="0" applyNumberFormat="1" applyFont="1" applyBorder="1" applyAlignment="1">
      <alignment horizontal="center"/>
    </xf>
    <xf numFmtId="2" fontId="8" fillId="0" borderId="22" xfId="0" applyNumberFormat="1" applyFont="1" applyBorder="1" applyAlignment="1">
      <alignment horizontal="center"/>
    </xf>
    <xf numFmtId="10" fontId="9" fillId="3" borderId="1" xfId="0" applyNumberFormat="1" applyFont="1" applyFill="1" applyBorder="1" applyAlignment="1">
      <alignment horizontal="center" vertical="center"/>
    </xf>
    <xf numFmtId="10" fontId="9" fillId="3" borderId="13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bottom"/>
    </xf>
    <xf numFmtId="2" fontId="8" fillId="0" borderId="22" xfId="0" applyNumberFormat="1" applyFont="1" applyBorder="1" applyAlignment="1">
      <alignment horizontal="center" vertical="bottom"/>
    </xf>
    <xf numFmtId="0" fontId="1" fillId="2" borderId="12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9" fontId="9" fillId="3" borderId="13" xfId="0" applyNumberFormat="1" applyFont="1" applyFill="1" applyBorder="1" applyAlignment="1">
      <alignment horizontal="center" vertical="center"/>
    </xf>
    <xf numFmtId="165" fontId="9" fillId="3" borderId="1" xfId="0" applyNumberFormat="1" applyFont="1" applyFill="1" applyBorder="1" applyAlignment="1">
      <alignment horizontal="center" vertical="center"/>
    </xf>
    <xf numFmtId="165" fontId="9" fillId="3" borderId="13" xfId="0" applyNumberFormat="1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vertical="center"/>
    </xf>
    <xf numFmtId="2" fontId="2" fillId="4" borderId="15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166" fontId="9" fillId="3" borderId="13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164" fontId="1" fillId="2" borderId="20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3" fontId="9" fillId="3" borderId="1" xfId="0" applyNumberFormat="1" applyFont="1" applyFill="1" applyBorder="1" applyAlignment="1">
      <alignment horizontal="center" vertical="center"/>
    </xf>
    <xf numFmtId="3" fontId="9" fillId="3" borderId="13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4" fillId="3" borderId="14" xfId="0" applyFont="1" applyFill="1" applyBorder="1" applyAlignment="1">
      <alignment horizontal="left" vertical="center"/>
    </xf>
    <xf numFmtId="4" fontId="9" fillId="3" borderId="15" xfId="0" applyNumberFormat="1" applyFont="1" applyFill="1" applyBorder="1" applyAlignment="1">
      <alignment horizontal="center" vertical="center"/>
    </xf>
    <xf numFmtId="4" fontId="9" fillId="3" borderId="17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1" fillId="0" borderId="27" xfId="0" applyFont="1" applyBorder="1" applyAlignment="1">
      <alignment horizontal="right" vertical="center" wrapText="1" shrinkToFit="1"/>
    </xf>
    <xf numFmtId="2" fontId="2" fillId="0" borderId="27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center" vertical="center"/>
    </xf>
    <xf numFmtId="2" fontId="1" fillId="4" borderId="28" xfId="0" applyNumberFormat="1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right" vertical="center"/>
    </xf>
    <xf numFmtId="0" fontId="3" fillId="6" borderId="12" xfId="0" applyFont="1" applyFill="1" applyBorder="1" applyAlignment="1">
      <alignment horizontal="center" vertical="center" wrapText="1" shrinkToFit="1"/>
    </xf>
    <xf numFmtId="2" fontId="1" fillId="4" borderId="13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vertical="center" wrapText="1" shrinkToFit="1"/>
    </xf>
    <xf numFmtId="0" fontId="3" fillId="6" borderId="14" xfId="0" applyFont="1" applyFill="1" applyBorder="1" applyAlignment="1">
      <alignment horizontal="center" vertical="center" wrapText="1" shrinkToFit="1"/>
    </xf>
    <xf numFmtId="0" fontId="2" fillId="0" borderId="2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2" fontId="4" fillId="4" borderId="22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4" borderId="13" xfId="0" applyNumberFormat="1" applyFont="1" applyFill="1" applyBorder="1" applyAlignment="1">
      <alignment horizontal="center" vertical="center"/>
    </xf>
    <xf numFmtId="2" fontId="4" fillId="4" borderId="31" xfId="0" applyNumberFormat="1" applyFont="1" applyFill="1" applyBorder="1" applyAlignment="1">
      <alignment horizontal="center" vertical="center"/>
    </xf>
    <xf numFmtId="2" fontId="4" fillId="4" borderId="15" xfId="0" applyNumberFormat="1" applyFont="1" applyFill="1" applyBorder="1" applyAlignment="1">
      <alignment horizontal="center" vertical="center"/>
    </xf>
    <xf numFmtId="2" fontId="4" fillId="4" borderId="17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/>
    <xf numFmtId="0" fontId="11" fillId="0" borderId="0" xfId="0" applyFont="1"/>
    <xf numFmtId="0" fontId="2" fillId="0" borderId="0" xfId="0" applyFont="1" applyAlignment="1">
      <alignment vertical="center"/>
    </xf>
    <xf numFmtId="2" fontId="6" fillId="4" borderId="12" xfId="0" applyNumberFormat="1" applyFont="1" applyFill="1" applyBorder="1" applyAlignment="1">
      <alignment horizontal="left" vertical="center" wrapText="1" shrinkToFit="1"/>
    </xf>
    <xf numFmtId="2" fontId="6" fillId="4" borderId="12" xfId="0" applyNumberFormat="1" applyFont="1" applyFill="1" applyBorder="1" applyAlignment="1">
      <alignment horizontal="center" vertical="center" wrapText="1" shrinkToFit="1"/>
    </xf>
    <xf numFmtId="169" fontId="12" fillId="0" borderId="15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164" fontId="1" fillId="4" borderId="20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10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2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2" fontId="0" fillId="4" borderId="9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4" borderId="35" xfId="0" applyFill="1" applyBorder="1" applyAlignment="1">
      <alignment vertical="center"/>
    </xf>
    <xf numFmtId="2" fontId="0" fillId="4" borderId="15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/>
    <xf numFmtId="0" fontId="0" fillId="0" borderId="1" xfId="0" applyBorder="1"/>
    <xf numFmtId="10" fontId="2" fillId="0" borderId="32" xfId="0" applyNumberFormat="1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8" borderId="37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/>
    </xf>
    <xf numFmtId="0" fontId="6" fillId="8" borderId="38" xfId="0" applyFont="1" applyFill="1" applyBorder="1" applyAlignment="1">
      <alignment horizontal="center"/>
    </xf>
    <xf numFmtId="0" fontId="6" fillId="8" borderId="38" xfId="0" applyFont="1" applyFill="1" applyBorder="1" applyAlignment="1">
      <alignment horizontal="center" vertical="center"/>
    </xf>
    <xf numFmtId="170" fontId="3" fillId="10" borderId="12" xfId="0" applyNumberFormat="1" applyFont="1" applyFill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2" fontId="0" fillId="11" borderId="0" xfId="0" applyNumberFormat="1" applyFill="1"/>
    <xf numFmtId="170" fontId="3" fillId="10" borderId="37" xfId="0" applyNumberFormat="1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/>
    </xf>
    <xf numFmtId="0" fontId="1" fillId="9" borderId="4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70" fontId="3" fillId="10" borderId="41" xfId="0" applyNumberFormat="1" applyFont="1" applyFill="1" applyBorder="1" applyAlignment="1">
      <alignment horizontal="center" vertical="center"/>
    </xf>
    <xf numFmtId="2" fontId="0" fillId="0" borderId="20" xfId="0" applyNumberFormat="1" applyBorder="1"/>
    <xf numFmtId="2" fontId="0" fillId="0" borderId="6" xfId="0" applyNumberFormat="1" applyBorder="1"/>
    <xf numFmtId="170" fontId="3" fillId="10" borderId="21" xfId="0" applyNumberFormat="1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vertical="center"/>
    </xf>
    <xf numFmtId="9" fontId="3" fillId="2" borderId="42" xfId="0" applyNumberFormat="1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right" vertical="center"/>
    </xf>
    <xf numFmtId="0" fontId="3" fillId="2" borderId="43" xfId="0" applyFont="1" applyFill="1" applyBorder="1" applyAlignment="1">
      <alignment horizontal="right" vertical="center"/>
    </xf>
    <xf numFmtId="0" fontId="3" fillId="2" borderId="30" xfId="0" applyFont="1" applyFill="1" applyBorder="1" applyAlignment="1">
      <alignment horizontal="left" vertical="center"/>
    </xf>
    <xf numFmtId="0" fontId="6" fillId="0" borderId="38" xfId="0" applyFont="1" applyBorder="1" applyAlignment="1">
      <alignment vertical="center"/>
    </xf>
    <xf numFmtId="0" fontId="2" fillId="0" borderId="44" xfId="0" applyFont="1" applyBorder="1"/>
    <xf numFmtId="0" fontId="1" fillId="0" borderId="38" xfId="0" applyFont="1" applyBorder="1" applyAlignment="1">
      <alignment horizontal="center" vertical="center"/>
    </xf>
    <xf numFmtId="14" fontId="6" fillId="0" borderId="38" xfId="0" applyNumberFormat="1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2" fillId="0" borderId="38" xfId="0" applyFont="1" applyBorder="1"/>
    <xf numFmtId="0" fontId="15" fillId="3" borderId="0" xfId="0" applyFont="1" applyFill="1" applyAlignment="1">
      <alignment readingOrder="1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5" fontId="0" fillId="0" borderId="0" xfId="0" applyNumberFormat="1"/>
    <xf numFmtId="170" fontId="3" fillId="12" borderId="12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3" fillId="2" borderId="13" xfId="0" applyNumberFormat="1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center"/>
    </xf>
    <xf numFmtId="2" fontId="6" fillId="8" borderId="47" xfId="0" applyNumberFormat="1" applyFont="1" applyFill="1" applyBorder="1" applyAlignment="1">
      <alignment horizontal="center"/>
    </xf>
    <xf numFmtId="1" fontId="6" fillId="8" borderId="47" xfId="0" applyNumberFormat="1" applyFont="1" applyFill="1" applyBorder="1" applyAlignment="1">
      <alignment horizontal="center"/>
    </xf>
    <xf numFmtId="170" fontId="3" fillId="10" borderId="35" xfId="0" applyNumberFormat="1" applyFont="1" applyFill="1" applyBorder="1" applyAlignment="1">
      <alignment horizontal="center" vertical="center"/>
    </xf>
    <xf numFmtId="2" fontId="0" fillId="0" borderId="39" xfId="0" applyNumberFormat="1" applyBorder="1"/>
    <xf numFmtId="2" fontId="0" fillId="0" borderId="40" xfId="0" applyNumberFormat="1" applyBorder="1"/>
    <xf numFmtId="0" fontId="1" fillId="13" borderId="5" xfId="0" applyFont="1" applyFill="1" applyBorder="1" applyAlignment="1">
      <alignment horizontal="left"/>
    </xf>
    <xf numFmtId="2" fontId="1" fillId="13" borderId="20" xfId="0" applyNumberFormat="1" applyFont="1" applyFill="1" applyBorder="1" applyAlignment="1">
      <alignment horizontal="center"/>
    </xf>
    <xf numFmtId="2" fontId="1" fillId="13" borderId="6" xfId="0" applyNumberFormat="1" applyFont="1" applyFill="1" applyBorder="1" applyAlignment="1">
      <alignment horizontal="center"/>
    </xf>
    <xf numFmtId="0" fontId="1" fillId="13" borderId="12" xfId="0" applyFont="1" applyFill="1" applyBorder="1" applyAlignment="1">
      <alignment horizontal="left"/>
    </xf>
    <xf numFmtId="2" fontId="1" fillId="13" borderId="1" xfId="0" applyNumberFormat="1" applyFont="1" applyFill="1" applyBorder="1" applyAlignment="1">
      <alignment horizontal="center"/>
    </xf>
    <xf numFmtId="2" fontId="1" fillId="13" borderId="13" xfId="0" applyNumberFormat="1" applyFont="1" applyFill="1" applyBorder="1" applyAlignment="1">
      <alignment horizontal="center"/>
    </xf>
    <xf numFmtId="0" fontId="1" fillId="13" borderId="14" xfId="0" applyFont="1" applyFill="1" applyBorder="1" applyAlignment="1">
      <alignment horizontal="left"/>
    </xf>
    <xf numFmtId="2" fontId="1" fillId="13" borderId="15" xfId="0" applyNumberFormat="1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  <xf numFmtId="2" fontId="3" fillId="2" borderId="15" xfId="0" applyNumberFormat="1" applyFont="1" applyFill="1" applyBorder="1" applyAlignment="1">
      <alignment horizontal="center" vertical="center"/>
    </xf>
    <xf numFmtId="2" fontId="3" fillId="2" borderId="17" xfId="0" applyNumberFormat="1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6" fillId="0" borderId="49" xfId="0" applyFont="1" applyBorder="1" applyAlignment="1">
      <alignment vertical="center"/>
    </xf>
    <xf numFmtId="0" fontId="6" fillId="0" borderId="38" xfId="0" applyFont="1" applyBorder="1"/>
    <xf numFmtId="0" fontId="6" fillId="0" borderId="44" xfId="0" applyFont="1" applyBorder="1"/>
    <xf numFmtId="0" fontId="2" fillId="0" borderId="49" xfId="0" applyFont="1" applyBorder="1" applyAlignment="1">
      <alignment vertical="center"/>
    </xf>
    <xf numFmtId="0" fontId="0" fillId="3" borderId="0" xfId="0" applyFill="1"/>
    <xf numFmtId="0" fontId="4" fillId="4" borderId="37" xfId="0" applyFont="1" applyFill="1" applyBorder="1" applyAlignment="1">
      <alignment horizontal="left" vertical="center" wrapText="1" shrinkToFit="1"/>
    </xf>
    <xf numFmtId="15" fontId="1" fillId="3" borderId="47" xfId="0" applyNumberFormat="1" applyFont="1" applyFill="1" applyBorder="1" applyAlignment="1">
      <alignment horizontal="center" vertical="center"/>
    </xf>
    <xf numFmtId="0" fontId="16" fillId="15" borderId="30" xfId="0" applyFont="1" applyFill="1" applyBorder="1" applyAlignment="1">
      <alignment horizontal="center" vertical="center" wrapText="1" shrinkToFit="1" textRotation="45"/>
    </xf>
    <xf numFmtId="2" fontId="1" fillId="13" borderId="42" xfId="0" applyNumberFormat="1" applyFont="1" applyFill="1" applyBorder="1" applyAlignment="1">
      <alignment vertical="center"/>
    </xf>
    <xf numFmtId="15" fontId="1" fillId="3" borderId="0" xfId="0" applyNumberFormat="1" applyFont="1" applyFill="1" applyAlignment="1">
      <alignment horizontal="center" vertical="center"/>
    </xf>
    <xf numFmtId="0" fontId="17" fillId="16" borderId="37" xfId="0" applyFont="1" applyFill="1" applyBorder="1" applyAlignment="1">
      <alignment horizontal="left" vertical="center"/>
    </xf>
    <xf numFmtId="15" fontId="1" fillId="16" borderId="50" xfId="0" applyNumberFormat="1" applyFont="1" applyFill="1" applyBorder="1" applyAlignment="1">
      <alignment horizontal="center" vertical="center"/>
    </xf>
    <xf numFmtId="15" fontId="1" fillId="16" borderId="39" xfId="0" applyNumberFormat="1" applyFont="1" applyFill="1" applyBorder="1" applyAlignment="1">
      <alignment horizontal="center" vertical="center"/>
    </xf>
    <xf numFmtId="0" fontId="17" fillId="16" borderId="4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0" borderId="51" xfId="0" applyFont="1" applyBorder="1"/>
    <xf numFmtId="0" fontId="17" fillId="16" borderId="34" xfId="0" applyFont="1" applyFill="1" applyBorder="1" applyAlignment="1">
      <alignment horizontal="left" vertical="center"/>
    </xf>
    <xf numFmtId="0" fontId="0" fillId="15" borderId="9" xfId="0" applyFill="1" applyBorder="1" applyAlignment="1">
      <alignment horizontal="center" vertical="center"/>
    </xf>
    <xf numFmtId="2" fontId="0" fillId="15" borderId="9" xfId="0" applyNumberFormat="1" applyFill="1" applyBorder="1" applyAlignment="1">
      <alignment horizontal="center" vertical="center"/>
    </xf>
    <xf numFmtId="2" fontId="0" fillId="15" borderId="1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8" fillId="3" borderId="0" xfId="0" applyFont="1" applyFill="1"/>
    <xf numFmtId="0" fontId="1" fillId="16" borderId="2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 applyAlignment="1">
      <alignment horizontal="center"/>
    </xf>
    <xf numFmtId="2" fontId="0" fillId="15" borderId="13" xfId="0" applyNumberForma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1" fillId="16" borderId="35" xfId="0" applyFont="1" applyFill="1" applyBorder="1" applyAlignment="1">
      <alignment horizontal="left"/>
    </xf>
    <xf numFmtId="0" fontId="0" fillId="15" borderId="15" xfId="0" applyFill="1" applyBorder="1" applyAlignment="1">
      <alignment horizontal="center"/>
    </xf>
    <xf numFmtId="2" fontId="0" fillId="15" borderId="15" xfId="0" applyNumberFormat="1" applyFill="1" applyBorder="1" applyAlignment="1">
      <alignment horizontal="center"/>
    </xf>
    <xf numFmtId="2" fontId="0" fillId="15" borderId="17" xfId="0" applyNumberFormat="1" applyFill="1" applyBorder="1" applyAlignment="1">
      <alignment horizontal="center" vertical="center"/>
    </xf>
    <xf numFmtId="0" fontId="19" fillId="17" borderId="42" xfId="0" applyFont="1" applyFill="1" applyBorder="1" applyAlignment="1">
      <alignment horizontal="center"/>
    </xf>
    <xf numFmtId="0" fontId="20" fillId="17" borderId="52" xfId="0" applyFont="1" applyFill="1" applyBorder="1" applyAlignment="1">
      <alignment horizontal="center" vertical="center"/>
    </xf>
    <xf numFmtId="0" fontId="20" fillId="17" borderId="39" xfId="0" applyFont="1" applyFill="1" applyBorder="1" applyAlignment="1">
      <alignment horizontal="center" vertical="center" wrapText="1" shrinkToFit="1"/>
    </xf>
    <xf numFmtId="0" fontId="20" fillId="17" borderId="39" xfId="0" applyFont="1" applyFill="1" applyBorder="1" applyAlignment="1">
      <alignment horizontal="center" vertical="center"/>
    </xf>
    <xf numFmtId="0" fontId="20" fillId="17" borderId="53" xfId="0" applyFont="1" applyFill="1" applyBorder="1" applyAlignment="1">
      <alignment horizontal="center" vertical="center" wrapText="1" shrinkToFit="1"/>
    </xf>
    <xf numFmtId="0" fontId="20" fillId="17" borderId="1" xfId="0" applyFont="1" applyFill="1" applyBorder="1" applyAlignment="1">
      <alignment horizontal="center" vertical="center" wrapText="1" shrinkToFit="1"/>
    </xf>
    <xf numFmtId="17" fontId="20" fillId="17" borderId="50" xfId="0" applyNumberFormat="1" applyFont="1" applyFill="1" applyBorder="1" applyAlignment="1">
      <alignment horizontal="center" vertical="center"/>
    </xf>
    <xf numFmtId="17" fontId="20" fillId="17" borderId="39" xfId="0" applyNumberFormat="1" applyFont="1" applyFill="1" applyBorder="1" applyAlignment="1">
      <alignment horizontal="center" vertical="center"/>
    </xf>
    <xf numFmtId="17" fontId="20" fillId="17" borderId="4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9" fontId="0" fillId="19" borderId="9" xfId="0" applyNumberFormat="1" applyFill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19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18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3" xfId="0" applyFill="1" applyBorder="1"/>
    <xf numFmtId="0" fontId="0" fillId="3" borderId="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169" fontId="0" fillId="19" borderId="27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19" borderId="27" xfId="0" applyFill="1" applyBorder="1" applyAlignment="1">
      <alignment horizontal="center" vertical="center"/>
    </xf>
    <xf numFmtId="0" fontId="0" fillId="19" borderId="54" xfId="0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 zoomScale="100" zoomScaleNormal="100"/>
  </sheetViews>
  <sheetFormatPr defaultRowHeight="15" outlineLevelRow="0" outlineLevelCol="0" x14ac:dyDescent="0"/>
  <cols>
    <col min="1" max="1" width="59.71" customWidth="1"/>
    <col min="2" max="2" width="12.43" customWidth="1"/>
    <col min="3" max="4" width="13" customWidth="1"/>
    <col min="5" max="5" width="12.71" customWidth="1"/>
    <col min="6" max="6" width="20" customWidth="1"/>
    <col min="7" max="7" width="20.43" customWidth="1"/>
    <col min="8" max="8" width="37.14" customWidth="1"/>
    <col min="9" max="9" width="14" customWidth="1"/>
    <col min="10" max="10" width="21.71" customWidth="1"/>
    <col min="11" max="11" width="15.29" customWidth="1"/>
    <col min="12" max="12" width="16.71" customWidth="1"/>
    <col min="13" max="15" width="8.71" customWidth="1"/>
    <col min="16" max="16" width="19.14" customWidth="1"/>
    <col min="17" max="17" width="13.71" customWidth="1"/>
    <col min="18" max="18" width="13.43" customWidth="1"/>
    <col min="19" max="19" width="16.14" customWidth="1"/>
    <col min="20" max="20" width="20.43" customWidth="1"/>
    <col min="21" max="21" width="29.71" customWidth="1"/>
    <col min="22" max="22" width="16.71" customWidth="1"/>
    <col min="23" max="23" width="15.43" customWidth="1"/>
    <col min="24" max="24" width="13.14" customWidth="1"/>
    <col min="25" max="25" width="11.14" customWidth="1"/>
    <col min="26" max="26" width="12.86" customWidth="1"/>
  </cols>
  <sheetData>
    <row r="1" ht="38.25" customHeight="1" spans="1:32" x14ac:dyDescent="0.25">
      <c r="A1" s="1" t="s">
        <v>0</v>
      </c>
      <c r="B1" s="2" t="s">
        <v>1</v>
      </c>
      <c r="C1" s="2"/>
      <c r="D1" s="3" t="s">
        <v>2</v>
      </c>
      <c r="E1" s="4"/>
      <c r="F1" s="4"/>
      <c r="G1" s="5"/>
      <c r="H1" s="6" t="s">
        <v>3</v>
      </c>
      <c r="I1" s="7">
        <f>IF($L$7="",$L$51,$L$7)</f>
        <v>1.11</v>
      </c>
      <c r="J1" s="8" t="s">
        <v>4</v>
      </c>
      <c r="K1" s="8"/>
      <c r="L1" s="9">
        <v>0.02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ht="14.25" customHeight="1" spans="1:32" x14ac:dyDescent="0.25">
      <c r="A2" s="11" t="s">
        <v>5</v>
      </c>
      <c r="B2" s="12" t="s">
        <v>6</v>
      </c>
      <c r="C2" s="12" t="s">
        <v>6</v>
      </c>
      <c r="D2" s="13" t="s">
        <v>6</v>
      </c>
      <c r="E2" s="13" t="s">
        <v>6</v>
      </c>
      <c r="F2" s="14" t="s">
        <v>7</v>
      </c>
      <c r="G2" s="5"/>
      <c r="H2" s="15" t="s">
        <v>8</v>
      </c>
      <c r="I2" s="16">
        <v>0.8</v>
      </c>
      <c r="J2" s="17" t="s">
        <v>9</v>
      </c>
      <c r="K2" s="17"/>
      <c r="L2" s="18">
        <v>0.05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4.25" customHeight="1" spans="1:32" x14ac:dyDescent="0.25">
      <c r="A3" s="19" t="s">
        <v>10</v>
      </c>
      <c r="B3" s="20">
        <v>42094</v>
      </c>
      <c r="C3" s="20">
        <v>42460</v>
      </c>
      <c r="D3" s="21">
        <v>42825</v>
      </c>
      <c r="E3" s="20">
        <v>43190</v>
      </c>
      <c r="F3" s="22"/>
      <c r="G3" s="5"/>
      <c r="H3" s="23" t="s">
        <v>11</v>
      </c>
      <c r="I3" s="24">
        <f>IF(K7&gt;=J7,"1",IF(I1&gt;=J7,"1",0))</f>
        <v>0</v>
      </c>
      <c r="J3" s="25" t="s">
        <v>12</v>
      </c>
      <c r="K3" s="25"/>
      <c r="L3" s="26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4.25" customHeight="1" spans="1:32" x14ac:dyDescent="0.25">
      <c r="A4" s="27" t="s">
        <v>13</v>
      </c>
      <c r="B4" s="28">
        <v>1</v>
      </c>
      <c r="C4" s="29">
        <v>2</v>
      </c>
      <c r="D4" s="29">
        <v>3</v>
      </c>
      <c r="E4" s="29">
        <v>4</v>
      </c>
      <c r="F4" s="22"/>
      <c r="G4" s="30"/>
      <c r="H4" s="31"/>
      <c r="I4" s="31"/>
      <c r="J4" s="31"/>
      <c r="K4" s="31"/>
      <c r="L4" s="3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4.25" customHeight="1" spans="1:32" x14ac:dyDescent="0.25">
      <c r="A5" s="27" t="s">
        <v>14</v>
      </c>
      <c r="B5" s="28">
        <v>1</v>
      </c>
      <c r="C5" s="29">
        <v>2</v>
      </c>
      <c r="D5" s="29">
        <v>3</v>
      </c>
      <c r="E5" s="29">
        <v>4</v>
      </c>
      <c r="F5" s="22"/>
      <c r="G5" s="5"/>
      <c r="H5" s="32" t="s">
        <v>15</v>
      </c>
      <c r="I5" s="33">
        <v>42094</v>
      </c>
      <c r="J5" s="33">
        <v>42460</v>
      </c>
      <c r="K5" s="33">
        <v>42825</v>
      </c>
      <c r="L5" s="34">
        <v>43190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4.25" customHeight="1" spans="1:32" x14ac:dyDescent="0.25">
      <c r="A6" s="27" t="s">
        <v>16</v>
      </c>
      <c r="B6" s="28">
        <v>1</v>
      </c>
      <c r="C6" s="29">
        <v>2</v>
      </c>
      <c r="D6" s="29">
        <v>3</v>
      </c>
      <c r="E6" s="29">
        <v>4</v>
      </c>
      <c r="F6" s="22"/>
      <c r="G6" s="5"/>
      <c r="H6" s="35" t="s">
        <v>17</v>
      </c>
      <c r="I6" s="36"/>
      <c r="J6" s="36"/>
      <c r="K6" s="37"/>
      <c r="L6" s="3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4.25" customHeight="1" spans="1:32" x14ac:dyDescent="0.25">
      <c r="A7" s="39" t="s">
        <v>18</v>
      </c>
      <c r="B7" s="40">
        <f t="shared" ref="B7:E7" si="0">SUM(B4:B6)</f>
        <v>3</v>
      </c>
      <c r="C7" s="40">
        <f t="shared" si="0"/>
        <v>6</v>
      </c>
      <c r="D7" s="41">
        <f t="shared" si="0"/>
        <v>9</v>
      </c>
      <c r="E7" s="40">
        <f t="shared" si="0"/>
        <v>12</v>
      </c>
      <c r="F7" s="22"/>
      <c r="G7" s="5"/>
      <c r="H7" s="42" t="s">
        <v>19</v>
      </c>
      <c r="I7" s="43">
        <f t="shared" ref="I7:J7" si="1">B4</f>
        <v>1</v>
      </c>
      <c r="J7" s="43">
        <f t="shared" si="1"/>
        <v>2</v>
      </c>
      <c r="K7" s="43">
        <v>1.12</v>
      </c>
      <c r="L7" s="44">
        <v>1.11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4.25" customHeight="1" spans="1:32" x14ac:dyDescent="0.25">
      <c r="A8" s="45" t="s">
        <v>20</v>
      </c>
      <c r="B8" s="40">
        <f t="shared" ref="B8:E8" si="2">SUM(B9:B11)</f>
        <v>3</v>
      </c>
      <c r="C8" s="40">
        <f t="shared" si="2"/>
        <v>6</v>
      </c>
      <c r="D8" s="41">
        <f t="shared" si="2"/>
        <v>9</v>
      </c>
      <c r="E8" s="40">
        <f t="shared" si="2"/>
        <v>12</v>
      </c>
      <c r="F8" s="22"/>
      <c r="G8" s="5"/>
      <c r="H8" s="42" t="s">
        <v>14</v>
      </c>
      <c r="I8" s="43">
        <f t="shared" ref="I8:L8" si="3">B5</f>
        <v>1</v>
      </c>
      <c r="J8" s="43">
        <f t="shared" si="3"/>
        <v>2</v>
      </c>
      <c r="K8" s="43">
        <f t="shared" si="3"/>
        <v>3</v>
      </c>
      <c r="L8" s="44">
        <f t="shared" si="3"/>
        <v>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4.25" customHeight="1" spans="1:32" x14ac:dyDescent="0.25">
      <c r="A9" s="27" t="s">
        <v>21</v>
      </c>
      <c r="B9" s="46">
        <v>1</v>
      </c>
      <c r="C9" s="47">
        <v>2</v>
      </c>
      <c r="D9" s="47">
        <v>3</v>
      </c>
      <c r="E9" s="47">
        <v>4</v>
      </c>
      <c r="F9" s="22"/>
      <c r="G9" s="5"/>
      <c r="H9" s="42" t="s">
        <v>16</v>
      </c>
      <c r="I9" s="43">
        <f t="shared" ref="I9:L9" si="4">B6</f>
        <v>1</v>
      </c>
      <c r="J9" s="43">
        <f t="shared" si="4"/>
        <v>2</v>
      </c>
      <c r="K9" s="43">
        <f t="shared" si="4"/>
        <v>3</v>
      </c>
      <c r="L9" s="44">
        <f t="shared" si="4"/>
        <v>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4.25" customHeight="1" spans="1:32" x14ac:dyDescent="0.25">
      <c r="A10" s="27" t="s">
        <v>22</v>
      </c>
      <c r="B10" s="46">
        <v>1</v>
      </c>
      <c r="C10" s="47">
        <v>2</v>
      </c>
      <c r="D10" s="47">
        <v>3</v>
      </c>
      <c r="E10" s="47">
        <v>4</v>
      </c>
      <c r="F10" s="22"/>
      <c r="G10" s="5"/>
      <c r="H10" s="42" t="s">
        <v>23</v>
      </c>
      <c r="I10" s="43">
        <f t="shared" ref="I10:L10" si="5">B23</f>
        <v>-4</v>
      </c>
      <c r="J10" s="43">
        <f t="shared" si="5"/>
        <v>-8</v>
      </c>
      <c r="K10" s="43">
        <f t="shared" si="5"/>
        <v>-12</v>
      </c>
      <c r="L10" s="44">
        <f t="shared" si="5"/>
        <v>-16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4.25" customHeight="1" spans="1:32" x14ac:dyDescent="0.25">
      <c r="A11" s="27" t="s">
        <v>24</v>
      </c>
      <c r="B11" s="46">
        <v>1</v>
      </c>
      <c r="C11" s="47">
        <v>2</v>
      </c>
      <c r="D11" s="47">
        <v>3</v>
      </c>
      <c r="E11" s="47">
        <v>4</v>
      </c>
      <c r="F11" s="22"/>
      <c r="G11" s="5"/>
      <c r="H11" s="42" t="s">
        <v>25</v>
      </c>
      <c r="I11" s="48">
        <f t="shared" ref="I11:L11" si="6">B74</f>
        <v>-2</v>
      </c>
      <c r="J11" s="48">
        <f t="shared" si="6"/>
        <v>-2</v>
      </c>
      <c r="K11" s="48">
        <f t="shared" si="6"/>
        <v>-2</v>
      </c>
      <c r="L11" s="49">
        <f t="shared" si="6"/>
        <v>-2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4.25" customHeight="1" spans="1:32" x14ac:dyDescent="0.25">
      <c r="A12" s="45" t="s">
        <v>26</v>
      </c>
      <c r="B12" s="40">
        <f t="shared" ref="B12:E12" si="7">B7-B8</f>
        <v>0</v>
      </c>
      <c r="C12" s="40">
        <f t="shared" si="7"/>
        <v>0</v>
      </c>
      <c r="D12" s="41">
        <f t="shared" si="7"/>
        <v>0</v>
      </c>
      <c r="E12" s="40">
        <f t="shared" si="7"/>
        <v>0</v>
      </c>
      <c r="F12" s="22"/>
      <c r="G12" s="5"/>
      <c r="H12" s="42" t="s">
        <v>27</v>
      </c>
      <c r="I12" s="43">
        <f t="shared" ref="I12:L12" si="8">B15</f>
        <v>-2</v>
      </c>
      <c r="J12" s="43">
        <f t="shared" si="8"/>
        <v>-4</v>
      </c>
      <c r="K12" s="43">
        <f t="shared" si="8"/>
        <v>-6</v>
      </c>
      <c r="L12" s="44">
        <f t="shared" si="8"/>
        <v>-8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4.25" customHeight="1" spans="1:32" x14ac:dyDescent="0.25">
      <c r="A13" s="45" t="s">
        <v>28</v>
      </c>
      <c r="B13" s="40">
        <f t="shared" ref="B13:E13" si="9">B7-B8-B6</f>
        <v>-1</v>
      </c>
      <c r="C13" s="40">
        <f t="shared" si="9"/>
        <v>-2</v>
      </c>
      <c r="D13" s="41">
        <f t="shared" si="9"/>
        <v>-3</v>
      </c>
      <c r="E13" s="40">
        <f t="shared" si="9"/>
        <v>-4</v>
      </c>
      <c r="F13" s="22"/>
      <c r="G13" s="5"/>
      <c r="H13" s="42" t="s">
        <v>29</v>
      </c>
      <c r="I13" s="48">
        <f t="shared" ref="I13:L13" si="10">B75</f>
        <v>-1</v>
      </c>
      <c r="J13" s="48">
        <f t="shared" si="10"/>
        <v>-1</v>
      </c>
      <c r="K13" s="48">
        <f t="shared" si="10"/>
        <v>-1</v>
      </c>
      <c r="L13" s="49">
        <f t="shared" si="10"/>
        <v>-1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4.25" customHeight="1" spans="1:32" x14ac:dyDescent="0.25">
      <c r="A14" s="27" t="s">
        <v>30</v>
      </c>
      <c r="B14" s="50">
        <v>1</v>
      </c>
      <c r="C14" s="51">
        <v>2</v>
      </c>
      <c r="D14" s="51">
        <v>3</v>
      </c>
      <c r="E14" s="51">
        <v>4</v>
      </c>
      <c r="F14" s="22"/>
      <c r="G14" s="5"/>
      <c r="H14" s="42" t="s">
        <v>31</v>
      </c>
      <c r="I14" s="48">
        <f t="shared" ref="I14:L14" si="11">B72</f>
        <v>-0.5</v>
      </c>
      <c r="J14" s="48">
        <f t="shared" si="11"/>
        <v>-0.51</v>
      </c>
      <c r="K14" s="48">
        <f t="shared" si="11"/>
        <v>-0.52</v>
      </c>
      <c r="L14" s="49">
        <f t="shared" si="11"/>
        <v>-0.5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4.25" customHeight="1" spans="1:32" x14ac:dyDescent="0.25">
      <c r="A15" s="52" t="s">
        <v>27</v>
      </c>
      <c r="B15" s="53">
        <f t="shared" ref="B15:E15" si="12">B13-B14</f>
        <v>-2</v>
      </c>
      <c r="C15" s="53">
        <f t="shared" si="12"/>
        <v>-4</v>
      </c>
      <c r="D15" s="54">
        <f t="shared" si="12"/>
        <v>-6</v>
      </c>
      <c r="E15" s="53">
        <f t="shared" si="12"/>
        <v>-8</v>
      </c>
      <c r="F15" s="22"/>
      <c r="G15" s="5"/>
      <c r="H15" s="42" t="s">
        <v>32</v>
      </c>
      <c r="I15" s="48">
        <f t="shared" ref="I15:L15" si="13">B73</f>
        <v>2.12</v>
      </c>
      <c r="J15" s="48">
        <f t="shared" si="13"/>
        <v>2.11</v>
      </c>
      <c r="K15" s="48">
        <f t="shared" si="13"/>
        <v>2.1</v>
      </c>
      <c r="L15" s="49">
        <f t="shared" si="13"/>
        <v>2.13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4.25" customHeight="1" spans="1:32" x14ac:dyDescent="0.25">
      <c r="A16" s="27" t="s">
        <v>33</v>
      </c>
      <c r="B16" s="50">
        <v>1</v>
      </c>
      <c r="C16" s="51">
        <v>2</v>
      </c>
      <c r="D16" s="51">
        <v>3</v>
      </c>
      <c r="E16" s="51">
        <v>4</v>
      </c>
      <c r="F16" s="22"/>
      <c r="G16" s="5"/>
      <c r="H16" s="42" t="s">
        <v>34</v>
      </c>
      <c r="I16" s="43">
        <f t="shared" ref="I16:L16" si="14">B78</f>
        <v>-2</v>
      </c>
      <c r="J16" s="43">
        <f t="shared" si="14"/>
        <v>-2</v>
      </c>
      <c r="K16" s="43">
        <f t="shared" si="14"/>
        <v>-2</v>
      </c>
      <c r="L16" s="49">
        <f t="shared" si="14"/>
        <v>-2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4.25" customHeight="1" spans="1:32" x14ac:dyDescent="0.25">
      <c r="A17" s="27" t="s">
        <v>35</v>
      </c>
      <c r="B17" s="50">
        <v>1</v>
      </c>
      <c r="C17" s="51">
        <v>2</v>
      </c>
      <c r="D17" s="51">
        <v>3</v>
      </c>
      <c r="E17" s="51">
        <v>4</v>
      </c>
      <c r="F17" s="22"/>
      <c r="G17" s="5"/>
      <c r="H17" s="42" t="s">
        <v>36</v>
      </c>
      <c r="I17" s="43">
        <f t="shared" ref="I17:L17" si="15">B91</f>
        <v>-0.4</v>
      </c>
      <c r="J17" s="43">
        <f t="shared" si="15"/>
        <v>-0.5714285714</v>
      </c>
      <c r="K17" s="43">
        <f t="shared" si="15"/>
        <v>-0.6666666667</v>
      </c>
      <c r="L17" s="49">
        <f t="shared" si="15"/>
        <v>-0.7272727273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4.25" customHeight="1" spans="1:32" x14ac:dyDescent="0.25">
      <c r="A18" s="55" t="s">
        <v>37</v>
      </c>
      <c r="B18" s="56">
        <f t="shared" ref="B18:E18" si="16">B15-B16-B17</f>
        <v>-4</v>
      </c>
      <c r="C18" s="56">
        <f t="shared" si="16"/>
        <v>-8</v>
      </c>
      <c r="D18" s="57">
        <f t="shared" si="16"/>
        <v>-12</v>
      </c>
      <c r="E18" s="56">
        <f t="shared" si="16"/>
        <v>-16</v>
      </c>
      <c r="F18" s="22"/>
      <c r="G18" s="5"/>
      <c r="H18" s="42" t="s">
        <v>38</v>
      </c>
      <c r="I18" s="43"/>
      <c r="J18" s="43"/>
      <c r="K18" s="43"/>
      <c r="L18" s="4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4.25" customHeight="1" spans="1:32" x14ac:dyDescent="0.25">
      <c r="A19" s="45" t="s">
        <v>39</v>
      </c>
      <c r="B19" s="40">
        <f t="shared" ref="B19:E19" si="17">B18+B6</f>
        <v>-3</v>
      </c>
      <c r="C19" s="40">
        <f t="shared" si="17"/>
        <v>-6</v>
      </c>
      <c r="D19" s="41">
        <f t="shared" si="17"/>
        <v>-9</v>
      </c>
      <c r="E19" s="40">
        <f t="shared" si="17"/>
        <v>-12</v>
      </c>
      <c r="F19" s="22"/>
      <c r="G19" s="5"/>
      <c r="H19" s="42" t="s">
        <v>40</v>
      </c>
      <c r="I19" s="58">
        <f t="shared" ref="I19:L19" si="18">B94</f>
        <v>0.5</v>
      </c>
      <c r="J19" s="58">
        <f t="shared" si="18"/>
        <v>0.5</v>
      </c>
      <c r="K19" s="58">
        <f t="shared" si="18"/>
        <v>0.5</v>
      </c>
      <c r="L19" s="59">
        <f t="shared" si="18"/>
        <v>0.5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4.25" customHeight="1" spans="1:32" x14ac:dyDescent="0.25">
      <c r="A20" s="27" t="s">
        <v>41</v>
      </c>
      <c r="B20" s="50">
        <v>1</v>
      </c>
      <c r="C20" s="51">
        <v>2</v>
      </c>
      <c r="D20" s="51">
        <v>3</v>
      </c>
      <c r="E20" s="51">
        <v>4</v>
      </c>
      <c r="F20" s="22"/>
      <c r="G20" s="5"/>
      <c r="H20" s="35" t="s">
        <v>42</v>
      </c>
      <c r="I20" s="36"/>
      <c r="J20" s="36"/>
      <c r="K20" s="37"/>
      <c r="L20" s="3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4.25" customHeight="1" spans="1:32" x14ac:dyDescent="0.25">
      <c r="A21" s="45" t="s">
        <v>43</v>
      </c>
      <c r="B21" s="40">
        <f t="shared" ref="B21:E21" si="19">B19-B20</f>
        <v>-4</v>
      </c>
      <c r="C21" s="40">
        <f t="shared" si="19"/>
        <v>-8</v>
      </c>
      <c r="D21" s="41">
        <f t="shared" si="19"/>
        <v>-12</v>
      </c>
      <c r="E21" s="40">
        <f t="shared" si="19"/>
        <v>-16</v>
      </c>
      <c r="F21" s="22"/>
      <c r="G21" s="5"/>
      <c r="H21" s="42" t="s">
        <v>44</v>
      </c>
      <c r="I21" s="60">
        <f t="shared" ref="I21:L21" si="20">B33</f>
        <v>19</v>
      </c>
      <c r="J21" s="60">
        <f t="shared" si="20"/>
        <v>23</v>
      </c>
      <c r="K21" s="60">
        <f t="shared" si="20"/>
        <v>27</v>
      </c>
      <c r="L21" s="61">
        <f t="shared" si="20"/>
        <v>31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4.25" customHeight="1" spans="1:32" x14ac:dyDescent="0.25">
      <c r="A22" s="45" t="s">
        <v>45</v>
      </c>
      <c r="B22" s="40">
        <f t="shared" ref="B22:E22" si="21">B18-B20</f>
        <v>-5</v>
      </c>
      <c r="C22" s="40">
        <f t="shared" si="21"/>
        <v>-10</v>
      </c>
      <c r="D22" s="41">
        <f t="shared" si="21"/>
        <v>-15</v>
      </c>
      <c r="E22" s="40">
        <f t="shared" si="21"/>
        <v>-20</v>
      </c>
      <c r="F22" s="22"/>
      <c r="G22" s="5"/>
      <c r="H22" s="42" t="s">
        <v>46</v>
      </c>
      <c r="I22" s="60">
        <f t="shared" ref="I22:L22" si="22">B39</f>
        <v>16</v>
      </c>
      <c r="J22" s="60">
        <f t="shared" si="22"/>
        <v>20</v>
      </c>
      <c r="K22" s="60">
        <f t="shared" si="22"/>
        <v>24</v>
      </c>
      <c r="L22" s="61">
        <f t="shared" si="22"/>
        <v>28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4.25" customHeight="1" spans="1:32" x14ac:dyDescent="0.25">
      <c r="A23" s="62" t="s">
        <v>47</v>
      </c>
      <c r="B23" s="63">
        <f t="shared" ref="B23:E23" si="23">B22+B17</f>
        <v>-4</v>
      </c>
      <c r="C23" s="63">
        <f t="shared" si="23"/>
        <v>-8</v>
      </c>
      <c r="D23" s="63">
        <f t="shared" si="23"/>
        <v>-12</v>
      </c>
      <c r="E23" s="63">
        <f t="shared" si="23"/>
        <v>-16</v>
      </c>
      <c r="F23" s="64"/>
      <c r="G23" s="5"/>
      <c r="H23" s="42" t="s">
        <v>48</v>
      </c>
      <c r="I23" s="60">
        <v>4.1</v>
      </c>
      <c r="J23" s="60">
        <v>4.1</v>
      </c>
      <c r="K23" s="60">
        <v>4.1</v>
      </c>
      <c r="L23" s="61">
        <v>4.1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ht="14.25" customHeight="1" spans="1:32" x14ac:dyDescent="0.25">
      <c r="A24" s="65"/>
      <c r="B24" s="66"/>
      <c r="C24" s="66"/>
      <c r="D24" s="66"/>
      <c r="E24" s="66"/>
      <c r="F24" s="65"/>
      <c r="G24" s="10"/>
      <c r="H24" s="42" t="s">
        <v>49</v>
      </c>
      <c r="I24" s="60">
        <f t="shared" ref="I24:L24" si="24">B77</f>
        <v>1.052631579</v>
      </c>
      <c r="J24" s="60">
        <f t="shared" si="24"/>
        <v>1.086956522</v>
      </c>
      <c r="K24" s="60">
        <f t="shared" si="24"/>
        <v>1.111111111</v>
      </c>
      <c r="L24" s="61">
        <f t="shared" si="24"/>
        <v>1.129032258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ht="14.25" customHeight="1" spans="1:32" x14ac:dyDescent="0.25">
      <c r="A25" s="67"/>
      <c r="B25" s="68"/>
      <c r="C25" s="68"/>
      <c r="D25" s="68"/>
      <c r="E25" s="68"/>
      <c r="F25" s="67"/>
      <c r="G25" s="10"/>
      <c r="H25" s="42" t="s">
        <v>50</v>
      </c>
      <c r="I25" s="60">
        <f t="shared" ref="I25:L25" si="25">B92</f>
        <v>-6</v>
      </c>
      <c r="J25" s="60">
        <f t="shared" si="25"/>
        <v>-3.75</v>
      </c>
      <c r="K25" s="60">
        <f t="shared" si="25"/>
        <v>-3</v>
      </c>
      <c r="L25" s="69">
        <f t="shared" si="25"/>
        <v>-2.625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4.25" customHeight="1" spans="1:32" x14ac:dyDescent="0.25">
      <c r="A26" s="70" t="s">
        <v>51</v>
      </c>
      <c r="B26" s="71">
        <f t="shared" ref="B26:E26" si="26">B3</f>
        <v>42094</v>
      </c>
      <c r="C26" s="71">
        <f t="shared" si="26"/>
        <v>42460</v>
      </c>
      <c r="D26" s="71">
        <f t="shared" si="26"/>
        <v>42825</v>
      </c>
      <c r="E26" s="71">
        <f t="shared" si="26"/>
        <v>43190</v>
      </c>
      <c r="F26" s="71" t="s">
        <v>7</v>
      </c>
      <c r="G26" s="5"/>
      <c r="H26" s="42" t="s">
        <v>52</v>
      </c>
      <c r="I26" s="60">
        <f t="shared" ref="I26:L26" si="27">B83</f>
        <v>0.5</v>
      </c>
      <c r="J26" s="60">
        <f t="shared" si="27"/>
        <v>0.8</v>
      </c>
      <c r="K26" s="60">
        <f t="shared" si="27"/>
        <v>1</v>
      </c>
      <c r="L26" s="69">
        <f t="shared" si="27"/>
        <v>1.142857143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ht="14.25" customHeight="1" spans="1:32" x14ac:dyDescent="0.25">
      <c r="A27" s="72" t="s">
        <v>53</v>
      </c>
      <c r="B27" s="72"/>
      <c r="C27" s="72"/>
      <c r="D27" s="72"/>
      <c r="E27" s="72"/>
      <c r="F27" s="72"/>
      <c r="G27" s="5"/>
      <c r="H27" s="42" t="s">
        <v>54</v>
      </c>
      <c r="I27" s="73">
        <v>101</v>
      </c>
      <c r="J27" s="73">
        <v>101</v>
      </c>
      <c r="K27" s="73">
        <v>101</v>
      </c>
      <c r="L27" s="74">
        <v>101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ht="14.25" customHeight="1" spans="1:32" x14ac:dyDescent="0.25">
      <c r="A28" s="27" t="s">
        <v>55</v>
      </c>
      <c r="B28" s="28">
        <v>4</v>
      </c>
      <c r="C28" s="29">
        <v>5</v>
      </c>
      <c r="D28" s="29">
        <v>6</v>
      </c>
      <c r="E28" s="29">
        <v>7</v>
      </c>
      <c r="F28" s="22"/>
      <c r="G28" s="5"/>
      <c r="H28" s="42" t="s">
        <v>56</v>
      </c>
      <c r="I28" s="73">
        <v>101</v>
      </c>
      <c r="J28" s="73">
        <v>101</v>
      </c>
      <c r="K28" s="73">
        <v>101</v>
      </c>
      <c r="L28" s="74">
        <v>101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t="15.75" customHeight="1" spans="1:32" x14ac:dyDescent="0.25">
      <c r="A29" s="27" t="s">
        <v>57</v>
      </c>
      <c r="B29" s="28">
        <v>4</v>
      </c>
      <c r="C29" s="29">
        <v>5</v>
      </c>
      <c r="D29" s="29">
        <v>6</v>
      </c>
      <c r="E29" s="29">
        <v>7</v>
      </c>
      <c r="F29" s="22"/>
      <c r="G29" s="5"/>
      <c r="H29" s="42" t="s">
        <v>58</v>
      </c>
      <c r="I29" s="73">
        <v>101</v>
      </c>
      <c r="J29" s="73">
        <v>101</v>
      </c>
      <c r="K29" s="73">
        <v>101</v>
      </c>
      <c r="L29" s="74">
        <v>101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ht="15.75" customHeight="1" spans="1:32" x14ac:dyDescent="0.25">
      <c r="A30" s="27" t="s">
        <v>59</v>
      </c>
      <c r="B30" s="28">
        <v>4</v>
      </c>
      <c r="C30" s="29">
        <v>5</v>
      </c>
      <c r="D30" s="29">
        <v>6</v>
      </c>
      <c r="E30" s="29">
        <v>7</v>
      </c>
      <c r="F30" s="22"/>
      <c r="G30" s="5"/>
      <c r="H30" s="42" t="s">
        <v>60</v>
      </c>
      <c r="I30" s="73">
        <f t="shared" ref="I30:L30" si="28">B82</f>
        <v>101</v>
      </c>
      <c r="J30" s="73">
        <f t="shared" si="28"/>
        <v>101</v>
      </c>
      <c r="K30" s="73">
        <f t="shared" si="28"/>
        <v>101</v>
      </c>
      <c r="L30" s="74">
        <f t="shared" si="28"/>
        <v>101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ht="14.25" customHeight="1" spans="1:32" x14ac:dyDescent="0.25">
      <c r="A31" s="45" t="s">
        <v>61</v>
      </c>
      <c r="B31" s="40">
        <f t="shared" ref="B31:E31" si="29">SUM(B28:B30)</f>
        <v>12</v>
      </c>
      <c r="C31" s="40">
        <f t="shared" si="29"/>
        <v>15</v>
      </c>
      <c r="D31" s="40">
        <f t="shared" si="29"/>
        <v>18</v>
      </c>
      <c r="E31" s="40">
        <f t="shared" si="29"/>
        <v>21</v>
      </c>
      <c r="F31" s="22"/>
      <c r="G31" s="5"/>
      <c r="H31" s="42" t="s">
        <v>62</v>
      </c>
      <c r="I31" s="48">
        <f t="shared" ref="I31:L31" si="30">B87</f>
        <v>-0.1428571429</v>
      </c>
      <c r="J31" s="48">
        <f t="shared" si="30"/>
        <v>-0.2325581395</v>
      </c>
      <c r="K31" s="48">
        <f t="shared" si="30"/>
        <v>-0.2941176471</v>
      </c>
      <c r="L31" s="49">
        <f t="shared" si="30"/>
        <v>-0.3389830508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ht="14.25" customHeight="1" spans="1:32" x14ac:dyDescent="0.25">
      <c r="A32" s="27" t="s">
        <v>63</v>
      </c>
      <c r="B32" s="46">
        <v>4</v>
      </c>
      <c r="C32" s="47">
        <v>5</v>
      </c>
      <c r="D32" s="47">
        <v>6</v>
      </c>
      <c r="E32" s="47">
        <v>7</v>
      </c>
      <c r="F32" s="22"/>
      <c r="G32" s="5"/>
      <c r="H32" s="42" t="s">
        <v>64</v>
      </c>
      <c r="I32" s="48">
        <f t="shared" ref="I32:L32" si="31">B94</f>
        <v>0.5</v>
      </c>
      <c r="J32" s="48">
        <f t="shared" si="31"/>
        <v>0.5</v>
      </c>
      <c r="K32" s="48">
        <f t="shared" si="31"/>
        <v>0.5</v>
      </c>
      <c r="L32" s="49">
        <f t="shared" si="31"/>
        <v>0.5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ht="13.5" customHeight="1" spans="1:32" x14ac:dyDescent="0.25">
      <c r="A33" s="45" t="s">
        <v>65</v>
      </c>
      <c r="B33" s="40">
        <f t="shared" ref="B33:E33" si="32">B31+B40+B41-B55</f>
        <v>19</v>
      </c>
      <c r="C33" s="40">
        <f t="shared" si="32"/>
        <v>23</v>
      </c>
      <c r="D33" s="40">
        <f t="shared" si="32"/>
        <v>27</v>
      </c>
      <c r="E33" s="40">
        <f t="shared" si="32"/>
        <v>31</v>
      </c>
      <c r="F33" s="22"/>
      <c r="G33" s="75"/>
      <c r="H33" s="76" t="s">
        <v>66</v>
      </c>
      <c r="I33" s="77">
        <f t="shared" ref="I33:L33" si="33">B89</f>
        <v>2</v>
      </c>
      <c r="J33" s="77">
        <f t="shared" si="33"/>
        <v>2</v>
      </c>
      <c r="K33" s="77">
        <f t="shared" si="33"/>
        <v>2</v>
      </c>
      <c r="L33" s="78">
        <f t="shared" si="33"/>
        <v>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ht="18.75" customHeight="1" spans="1:32" x14ac:dyDescent="0.25">
      <c r="A34" s="45" t="s">
        <v>67</v>
      </c>
      <c r="B34" s="40">
        <v>3</v>
      </c>
      <c r="C34" s="40">
        <v>3</v>
      </c>
      <c r="D34" s="40">
        <v>3</v>
      </c>
      <c r="E34" s="40">
        <v>3</v>
      </c>
      <c r="F34" s="22"/>
      <c r="G34" s="6" t="s">
        <v>68</v>
      </c>
      <c r="H34" s="31"/>
      <c r="I34" s="31"/>
      <c r="J34" s="31"/>
      <c r="K34" s="31"/>
      <c r="L34" s="3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ht="14.25" customHeight="1" spans="1:32" x14ac:dyDescent="0.25">
      <c r="A35" s="27" t="s">
        <v>69</v>
      </c>
      <c r="B35" s="46">
        <v>4</v>
      </c>
      <c r="C35" s="47">
        <v>5</v>
      </c>
      <c r="D35" s="47">
        <v>6</v>
      </c>
      <c r="E35" s="47">
        <v>7</v>
      </c>
      <c r="F35" s="22"/>
      <c r="G35" s="79" t="b">
        <f>I36=K36+K37+K38</f>
        <v>1</v>
      </c>
      <c r="H35" s="8" t="s">
        <v>70</v>
      </c>
      <c r="I35" s="8"/>
      <c r="J35" s="8" t="s">
        <v>71</v>
      </c>
      <c r="K35" s="8"/>
      <c r="L35" s="80" t="s">
        <v>72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ht="14.25" customHeight="1" spans="1:32" x14ac:dyDescent="0.25">
      <c r="A36" s="27" t="s">
        <v>73</v>
      </c>
      <c r="B36" s="46">
        <v>4</v>
      </c>
      <c r="C36" s="47">
        <v>5</v>
      </c>
      <c r="D36" s="47">
        <v>6</v>
      </c>
      <c r="E36" s="47">
        <v>7</v>
      </c>
      <c r="F36" s="22"/>
      <c r="G36" s="79"/>
      <c r="H36" s="81" t="s">
        <v>74</v>
      </c>
      <c r="I36" s="82"/>
      <c r="J36" s="83">
        <v>43207</v>
      </c>
      <c r="K36" s="84"/>
      <c r="L36" s="85">
        <f>IF(I36="",K36+K37+K38,I36)</f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14.25" customHeight="1" spans="1:32" x14ac:dyDescent="0.25">
      <c r="A37" s="27" t="s">
        <v>75</v>
      </c>
      <c r="B37" s="46">
        <v>4</v>
      </c>
      <c r="C37" s="47">
        <v>5</v>
      </c>
      <c r="D37" s="47">
        <v>6</v>
      </c>
      <c r="E37" s="47">
        <v>7</v>
      </c>
      <c r="F37" s="22"/>
      <c r="G37" s="79"/>
      <c r="H37" s="81"/>
      <c r="I37" s="82"/>
      <c r="J37" s="86">
        <v>43237</v>
      </c>
      <c r="K37" s="84"/>
      <c r="L37" s="85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ht="14.25" customHeight="1" spans="1:32" x14ac:dyDescent="0.25">
      <c r="A38" s="27" t="s">
        <v>76</v>
      </c>
      <c r="B38" s="46">
        <v>4</v>
      </c>
      <c r="C38" s="47">
        <v>5</v>
      </c>
      <c r="D38" s="47">
        <v>6</v>
      </c>
      <c r="E38" s="47">
        <v>7</v>
      </c>
      <c r="F38" s="22"/>
      <c r="G38" s="87" t="b">
        <f t="shared" ref="G38:G46" si="35">I39=K39</f>
        <v>1</v>
      </c>
      <c r="H38" s="81"/>
      <c r="I38" s="82"/>
      <c r="J38" s="83">
        <v>43268</v>
      </c>
      <c r="K38" s="84"/>
      <c r="L38" s="85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ht="14.25" customHeight="1" spans="1:32" x14ac:dyDescent="0.25">
      <c r="A39" s="45" t="s">
        <v>77</v>
      </c>
      <c r="B39" s="40">
        <f t="shared" ref="B39:E39" si="34">SUM(B35:B38)</f>
        <v>16</v>
      </c>
      <c r="C39" s="40">
        <f t="shared" si="34"/>
        <v>20</v>
      </c>
      <c r="D39" s="40">
        <f t="shared" si="34"/>
        <v>24</v>
      </c>
      <c r="E39" s="40">
        <f t="shared" si="34"/>
        <v>28</v>
      </c>
      <c r="F39" s="22"/>
      <c r="G39" s="87" t="b">
        <f t="shared" si="35"/>
        <v>1</v>
      </c>
      <c r="H39" s="83">
        <v>43298</v>
      </c>
      <c r="I39" s="84"/>
      <c r="J39" s="83">
        <v>43298</v>
      </c>
      <c r="K39" s="84"/>
      <c r="L39" s="88">
        <f t="shared" ref="L39:L47" si="36">IF(K39="",I39,K39)</f>
      </c>
      <c r="M39" s="5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ht="15.75" customHeight="1" spans="1:32" x14ac:dyDescent="0.25">
      <c r="A40" s="89" t="s">
        <v>78</v>
      </c>
      <c r="B40" s="50">
        <v>4</v>
      </c>
      <c r="C40" s="51">
        <v>5</v>
      </c>
      <c r="D40" s="51">
        <v>6</v>
      </c>
      <c r="E40" s="51">
        <v>7</v>
      </c>
      <c r="F40" s="22"/>
      <c r="G40" s="87" t="b">
        <f t="shared" si="35"/>
        <v>1</v>
      </c>
      <c r="H40" s="83">
        <v>43329</v>
      </c>
      <c r="I40" s="84"/>
      <c r="J40" s="83">
        <v>43329</v>
      </c>
      <c r="K40" s="84"/>
      <c r="L40" s="88">
        <f t="shared" si="36"/>
      </c>
      <c r="M40" s="5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ht="15.75" customHeight="1" spans="1:32" x14ac:dyDescent="0.25">
      <c r="A41" s="89" t="s">
        <v>79</v>
      </c>
      <c r="B41" s="50">
        <v>4</v>
      </c>
      <c r="C41" s="51">
        <v>5</v>
      </c>
      <c r="D41" s="51">
        <v>6</v>
      </c>
      <c r="E41" s="51">
        <v>7</v>
      </c>
      <c r="F41" s="22"/>
      <c r="G41" s="87" t="b">
        <f t="shared" si="35"/>
        <v>1</v>
      </c>
      <c r="H41" s="83">
        <v>43360</v>
      </c>
      <c r="I41" s="84"/>
      <c r="J41" s="83">
        <v>43360</v>
      </c>
      <c r="K41" s="84"/>
      <c r="L41" s="88">
        <f t="shared" si="36"/>
      </c>
      <c r="M41" s="5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ht="14.25" customHeight="1" spans="1:32" x14ac:dyDescent="0.25">
      <c r="A42" s="45" t="s">
        <v>80</v>
      </c>
      <c r="B42" s="40">
        <f t="shared" ref="B42:E42" si="37">SUM(B43:B44)</f>
        <v>8</v>
      </c>
      <c r="C42" s="40">
        <f t="shared" si="37"/>
        <v>10</v>
      </c>
      <c r="D42" s="40">
        <f t="shared" si="37"/>
        <v>12</v>
      </c>
      <c r="E42" s="40">
        <f t="shared" si="37"/>
        <v>14</v>
      </c>
      <c r="F42" s="22"/>
      <c r="G42" s="87" t="b">
        <f t="shared" si="35"/>
        <v>1</v>
      </c>
      <c r="H42" s="83">
        <v>43390</v>
      </c>
      <c r="I42" s="84"/>
      <c r="J42" s="83">
        <v>43390</v>
      </c>
      <c r="K42" s="84"/>
      <c r="L42" s="88">
        <f t="shared" si="36"/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ht="14.25" customHeight="1" spans="1:32" x14ac:dyDescent="0.25">
      <c r="A43" s="27" t="s">
        <v>81</v>
      </c>
      <c r="B43" s="50">
        <v>4</v>
      </c>
      <c r="C43" s="51">
        <v>5</v>
      </c>
      <c r="D43" s="51">
        <v>6</v>
      </c>
      <c r="E43" s="51">
        <v>7</v>
      </c>
      <c r="F43" s="22"/>
      <c r="G43" s="87" t="b">
        <f t="shared" si="35"/>
        <v>1</v>
      </c>
      <c r="H43" s="83">
        <v>43421</v>
      </c>
      <c r="I43" s="84"/>
      <c r="J43" s="83">
        <v>43421</v>
      </c>
      <c r="K43" s="84"/>
      <c r="L43" s="88">
        <f t="shared" si="36"/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14.25" customHeight="1" spans="1:32" x14ac:dyDescent="0.25">
      <c r="A44" s="27" t="s">
        <v>82</v>
      </c>
      <c r="B44" s="50">
        <v>4</v>
      </c>
      <c r="C44" s="51">
        <v>5</v>
      </c>
      <c r="D44" s="51">
        <v>6</v>
      </c>
      <c r="E44" s="51">
        <v>7</v>
      </c>
      <c r="F44" s="22"/>
      <c r="G44" s="87" t="b">
        <f t="shared" si="35"/>
        <v>1</v>
      </c>
      <c r="H44" s="83">
        <v>43451</v>
      </c>
      <c r="I44" s="84"/>
      <c r="J44" s="83">
        <v>43451</v>
      </c>
      <c r="K44" s="84"/>
      <c r="L44" s="88">
        <f t="shared" si="36"/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ht="14.25" customHeight="1" spans="1:32" x14ac:dyDescent="0.25">
      <c r="A45" s="27" t="s">
        <v>83</v>
      </c>
      <c r="B45" s="50">
        <v>4</v>
      </c>
      <c r="C45" s="51">
        <v>5</v>
      </c>
      <c r="D45" s="51">
        <v>6</v>
      </c>
      <c r="E45" s="51">
        <v>7</v>
      </c>
      <c r="F45" s="22"/>
      <c r="G45" s="87" t="b">
        <f t="shared" si="35"/>
        <v>1</v>
      </c>
      <c r="H45" s="83">
        <v>43483</v>
      </c>
      <c r="I45" s="84"/>
      <c r="J45" s="83">
        <v>43483</v>
      </c>
      <c r="K45" s="84"/>
      <c r="L45" s="88">
        <f t="shared" si="36"/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ht="14.25" customHeight="1" spans="1:32" x14ac:dyDescent="0.25">
      <c r="A46" s="27" t="s">
        <v>84</v>
      </c>
      <c r="B46" s="50">
        <v>4</v>
      </c>
      <c r="C46" s="51">
        <v>5</v>
      </c>
      <c r="D46" s="51">
        <v>6</v>
      </c>
      <c r="E46" s="51">
        <v>7</v>
      </c>
      <c r="F46" s="22"/>
      <c r="G46" s="90" t="b">
        <f t="shared" si="35"/>
        <v>1</v>
      </c>
      <c r="H46" s="83">
        <v>43514</v>
      </c>
      <c r="I46" s="84"/>
      <c r="J46" s="83">
        <v>43514</v>
      </c>
      <c r="K46" s="84"/>
      <c r="L46" s="88">
        <f t="shared" si="36"/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ht="14.25" customHeight="1" spans="1:32" x14ac:dyDescent="0.25">
      <c r="A47" s="45" t="s">
        <v>85</v>
      </c>
      <c r="B47" s="40">
        <f t="shared" ref="B47:E47" si="38">B39+B42+B45</f>
        <v>28</v>
      </c>
      <c r="C47" s="40">
        <f t="shared" si="38"/>
        <v>35</v>
      </c>
      <c r="D47" s="40">
        <f t="shared" si="38"/>
        <v>42</v>
      </c>
      <c r="E47" s="40">
        <f t="shared" si="38"/>
        <v>49</v>
      </c>
      <c r="F47" s="22"/>
      <c r="G47" s="91"/>
      <c r="H47" s="83">
        <v>43542</v>
      </c>
      <c r="I47" s="84"/>
      <c r="J47" s="83">
        <v>43542</v>
      </c>
      <c r="K47" s="84"/>
      <c r="L47" s="88">
        <f t="shared" si="36"/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ht="14.25" customHeight="1" spans="1:32" x14ac:dyDescent="0.25">
      <c r="A48" s="45" t="s">
        <v>86</v>
      </c>
      <c r="B48" s="40">
        <f t="shared" ref="B48:E48" si="39">B31+B32+B39+B40+B41+B42+B45+B46</f>
        <v>56</v>
      </c>
      <c r="C48" s="40">
        <f t="shared" si="39"/>
        <v>70</v>
      </c>
      <c r="D48" s="40">
        <f t="shared" si="39"/>
        <v>84</v>
      </c>
      <c r="E48" s="40">
        <f t="shared" si="39"/>
        <v>98</v>
      </c>
      <c r="F48" s="22"/>
      <c r="G48" s="5"/>
      <c r="H48" s="92"/>
      <c r="I48" s="84"/>
      <c r="J48" s="93"/>
      <c r="K48" s="84"/>
      <c r="L48" s="8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ht="14.25" customHeight="1" spans="1:32" x14ac:dyDescent="0.25">
      <c r="A49" s="72" t="s">
        <v>87</v>
      </c>
      <c r="B49" s="72"/>
      <c r="C49" s="72"/>
      <c r="D49" s="72"/>
      <c r="E49" s="72"/>
      <c r="F49" s="72"/>
      <c r="G49" s="5"/>
      <c r="H49" s="94" t="s">
        <v>88</v>
      </c>
      <c r="I49" s="95">
        <f>SUM(I36:I47)</f>
        <v>0</v>
      </c>
      <c r="J49" s="96" t="s">
        <v>88</v>
      </c>
      <c r="K49" s="95">
        <f t="shared" ref="K49:L49" si="40">SUM(K36:K47)</f>
        <v>0</v>
      </c>
      <c r="L49" s="88">
        <f t="shared" si="40"/>
        <v>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ht="14.25" customHeight="1" spans="1:32" x14ac:dyDescent="0.25">
      <c r="A50" s="27" t="s">
        <v>89</v>
      </c>
      <c r="B50" s="28">
        <v>1</v>
      </c>
      <c r="C50" s="29">
        <v>2</v>
      </c>
      <c r="D50" s="29">
        <v>3</v>
      </c>
      <c r="E50" s="29">
        <v>4</v>
      </c>
      <c r="F50" s="22"/>
      <c r="G50" s="5"/>
      <c r="H50" s="94" t="s">
        <v>90</v>
      </c>
      <c r="I50" s="97">
        <f>COUNT(I39:I47)+IF(I36="","0","3")</f>
        <v>0</v>
      </c>
      <c r="J50" s="96" t="s">
        <v>90</v>
      </c>
      <c r="K50" s="97">
        <f>COUNT(K36:K47)</f>
        <v>0</v>
      </c>
      <c r="L50" s="98">
        <f>COUNT(L39:L47)+IF(I36&gt;0,"3",IF(K36="","0","1")+IF(K37="","0","1")+IF(K38="","0","1"))</f>
        <v>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ht="14.25" customHeight="1" spans="1:32" x14ac:dyDescent="0.25">
      <c r="A51" s="27" t="s">
        <v>91</v>
      </c>
      <c r="B51" s="28">
        <v>1</v>
      </c>
      <c r="C51" s="29">
        <v>2</v>
      </c>
      <c r="D51" s="29">
        <v>3</v>
      </c>
      <c r="E51" s="29">
        <v>4</v>
      </c>
      <c r="F51" s="22"/>
      <c r="G51" s="5"/>
      <c r="H51" s="94" t="s">
        <v>92</v>
      </c>
      <c r="I51" s="97">
        <f>IFERROR(I49/I50*12,0)</f>
        <v>0</v>
      </c>
      <c r="J51" s="96" t="s">
        <v>92</v>
      </c>
      <c r="K51" s="95">
        <f t="shared" ref="K51:L51" si="41">IFERROR(K49/K50*12,0)</f>
        <v>0</v>
      </c>
      <c r="L51" s="88">
        <f t="shared" si="41"/>
        <v>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ht="14.25" customHeight="1" spans="1:32" x14ac:dyDescent="0.25">
      <c r="A52" s="27" t="s">
        <v>93</v>
      </c>
      <c r="B52" s="28">
        <v>1</v>
      </c>
      <c r="C52" s="29">
        <v>2</v>
      </c>
      <c r="D52" s="29">
        <v>3</v>
      </c>
      <c r="E52" s="29">
        <v>4</v>
      </c>
      <c r="F52" s="22"/>
      <c r="G52" s="5"/>
      <c r="H52" s="99" t="s">
        <v>94</v>
      </c>
      <c r="I52" s="99"/>
      <c r="J52" s="99"/>
      <c r="K52" s="99"/>
      <c r="L52" s="88">
        <f>IF(L50&gt;5,L51,"")</f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ht="14.25" customHeight="1" spans="1:32" x14ac:dyDescent="0.25">
      <c r="A53" s="45" t="s">
        <v>95</v>
      </c>
      <c r="B53" s="40">
        <f t="shared" ref="B53:E53" si="42">B50+B51-B52</f>
        <v>1</v>
      </c>
      <c r="C53" s="40">
        <f t="shared" si="42"/>
        <v>2</v>
      </c>
      <c r="D53" s="40">
        <f t="shared" si="42"/>
        <v>3</v>
      </c>
      <c r="E53" s="40">
        <f t="shared" si="42"/>
        <v>4</v>
      </c>
      <c r="F53" s="22"/>
      <c r="G53" s="5"/>
      <c r="H53" s="99" t="s">
        <v>96</v>
      </c>
      <c r="I53" s="99"/>
      <c r="J53" s="99"/>
      <c r="K53" s="99"/>
      <c r="L53" s="88" t="str">
        <f>'BANKING ANALYSIS'!AK39</f>
        <v>#REF!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ht="15.75" customHeight="1" spans="1:32" x14ac:dyDescent="0.25">
      <c r="A54" s="27" t="s">
        <v>97</v>
      </c>
      <c r="B54" s="46">
        <v>1</v>
      </c>
      <c r="C54" s="47">
        <v>2</v>
      </c>
      <c r="D54" s="47">
        <v>3</v>
      </c>
      <c r="E54" s="47">
        <v>4</v>
      </c>
      <c r="F54" s="22"/>
      <c r="G54" s="5"/>
      <c r="H54" s="100" t="s">
        <v>98</v>
      </c>
      <c r="I54" s="100"/>
      <c r="J54" s="101" t="str">
        <f>'BANKING ANALYSIS'!AH42</f>
        <v>#REF!</v>
      </c>
      <c r="K54" s="102"/>
      <c r="L54" s="103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ht="15.75" customHeight="1" spans="1:32" x14ac:dyDescent="0.25">
      <c r="A55" s="27" t="s">
        <v>99</v>
      </c>
      <c r="B55" s="46">
        <v>1</v>
      </c>
      <c r="C55" s="47">
        <v>2</v>
      </c>
      <c r="D55" s="47">
        <v>3</v>
      </c>
      <c r="E55" s="47">
        <v>4</v>
      </c>
      <c r="F55" s="22"/>
      <c r="G55" s="5"/>
      <c r="H55" s="100"/>
      <c r="I55" s="100"/>
      <c r="J55" s="104"/>
      <c r="K55" s="105"/>
      <c r="L55" s="10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ht="14.25" customHeight="1" spans="1:32" x14ac:dyDescent="0.25">
      <c r="A56" s="27" t="s">
        <v>100</v>
      </c>
      <c r="B56" s="46">
        <v>1</v>
      </c>
      <c r="C56" s="47">
        <v>2</v>
      </c>
      <c r="D56" s="47">
        <v>3</v>
      </c>
      <c r="E56" s="47">
        <v>4</v>
      </c>
      <c r="F56" s="22"/>
      <c r="G56" s="107"/>
      <c r="H56" s="65"/>
      <c r="I56" s="65"/>
      <c r="J56" s="107"/>
      <c r="K56" s="108"/>
      <c r="L56" s="10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ht="14.25" customHeight="1" spans="1:32" x14ac:dyDescent="0.25">
      <c r="A57" s="45" t="s">
        <v>101</v>
      </c>
      <c r="B57" s="40">
        <f t="shared" ref="B57:E57" si="43">B58+B61+B62+B63+B64</f>
        <v>6</v>
      </c>
      <c r="C57" s="40">
        <f t="shared" si="43"/>
        <v>12</v>
      </c>
      <c r="D57" s="40">
        <f t="shared" si="43"/>
        <v>18</v>
      </c>
      <c r="E57" s="40">
        <f t="shared" si="43"/>
        <v>24</v>
      </c>
      <c r="F57" s="22"/>
      <c r="G57" s="107"/>
      <c r="H57" s="67"/>
      <c r="I57" s="67"/>
      <c r="J57" s="67"/>
      <c r="K57" s="67"/>
      <c r="L57" s="67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t="14.25" customHeight="1" spans="1:32" x14ac:dyDescent="0.25">
      <c r="A58" s="27" t="s">
        <v>102</v>
      </c>
      <c r="B58" s="50">
        <v>1</v>
      </c>
      <c r="C58" s="51">
        <v>2</v>
      </c>
      <c r="D58" s="51">
        <v>3</v>
      </c>
      <c r="E58" s="51">
        <v>4</v>
      </c>
      <c r="F58" s="22"/>
      <c r="G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ht="14.25" customHeight="1" spans="1:32" x14ac:dyDescent="0.25">
      <c r="A59" s="27" t="s">
        <v>103</v>
      </c>
      <c r="B59" s="50">
        <v>1</v>
      </c>
      <c r="C59" s="51">
        <v>2</v>
      </c>
      <c r="D59" s="51">
        <v>3</v>
      </c>
      <c r="E59" s="51">
        <v>4</v>
      </c>
      <c r="F59" s="22"/>
      <c r="G59" s="10"/>
      <c r="M59" s="5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ht="14.25" customHeight="1" spans="1:32" x14ac:dyDescent="0.25">
      <c r="A60" s="27" t="s">
        <v>104</v>
      </c>
      <c r="B60" s="50">
        <v>1</v>
      </c>
      <c r="C60" s="51">
        <v>2</v>
      </c>
      <c r="D60" s="51">
        <v>3</v>
      </c>
      <c r="E60" s="51">
        <v>4</v>
      </c>
      <c r="F60" s="22"/>
      <c r="G60" s="10"/>
      <c r="M60" s="5"/>
      <c r="N60" s="107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ht="14.25" customHeight="1" spans="1:32" x14ac:dyDescent="0.25">
      <c r="A61" s="45" t="s">
        <v>105</v>
      </c>
      <c r="B61" s="40">
        <f t="shared" ref="B61:E61" si="44">B59+B60</f>
        <v>2</v>
      </c>
      <c r="C61" s="40">
        <f t="shared" si="44"/>
        <v>4</v>
      </c>
      <c r="D61" s="40">
        <f t="shared" si="44"/>
        <v>6</v>
      </c>
      <c r="E61" s="40">
        <f t="shared" si="44"/>
        <v>8</v>
      </c>
      <c r="F61" s="22"/>
      <c r="G61" s="10"/>
      <c r="M61" s="30"/>
      <c r="N61" s="107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ht="14.25" customHeight="1" spans="1:32" x14ac:dyDescent="0.25">
      <c r="A62" s="27" t="s">
        <v>106</v>
      </c>
      <c r="B62" s="50">
        <v>1</v>
      </c>
      <c r="C62" s="51">
        <v>2</v>
      </c>
      <c r="D62" s="51">
        <v>3</v>
      </c>
      <c r="E62" s="51">
        <v>4</v>
      </c>
      <c r="F62" s="22"/>
      <c r="G62" s="10"/>
      <c r="M62" s="30"/>
      <c r="N62" s="107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ht="14.25" customHeight="1" spans="1:32" x14ac:dyDescent="0.25">
      <c r="A63" s="27" t="s">
        <v>107</v>
      </c>
      <c r="B63" s="50">
        <v>1</v>
      </c>
      <c r="C63" s="51">
        <v>2</v>
      </c>
      <c r="D63" s="51">
        <v>3</v>
      </c>
      <c r="E63" s="51">
        <v>4</v>
      </c>
      <c r="F63" s="22"/>
      <c r="G63" s="10"/>
      <c r="M63" s="30"/>
      <c r="N63" s="107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ht="14.25" customHeight="1" spans="1:32" x14ac:dyDescent="0.25">
      <c r="A64" s="27" t="s">
        <v>108</v>
      </c>
      <c r="B64" s="50">
        <v>1</v>
      </c>
      <c r="C64" s="51">
        <v>2</v>
      </c>
      <c r="D64" s="51">
        <v>3</v>
      </c>
      <c r="E64" s="51">
        <v>4</v>
      </c>
      <c r="F64" s="22"/>
      <c r="G64" s="10"/>
      <c r="H64" s="109"/>
      <c r="I64" s="110"/>
      <c r="J64" s="110"/>
      <c r="K64" s="110"/>
      <c r="L64" s="110"/>
      <c r="M64" s="30"/>
      <c r="N64" s="107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ht="14.25" customHeight="1" spans="1:32" x14ac:dyDescent="0.25">
      <c r="A65" s="27" t="s">
        <v>109</v>
      </c>
      <c r="B65" s="50">
        <v>1</v>
      </c>
      <c r="C65" s="51">
        <v>2</v>
      </c>
      <c r="D65" s="51">
        <v>3</v>
      </c>
      <c r="E65" s="51">
        <v>4</v>
      </c>
      <c r="F65" s="22"/>
      <c r="G65" s="10"/>
      <c r="H65" s="110"/>
      <c r="I65" s="110"/>
      <c r="J65" s="110"/>
      <c r="K65" s="110"/>
      <c r="L65" s="110"/>
      <c r="M65" s="30"/>
      <c r="N65" s="107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ht="14.25" customHeight="1" spans="1:32" x14ac:dyDescent="0.25">
      <c r="A66" s="111" t="s">
        <v>110</v>
      </c>
      <c r="B66" s="40">
        <f t="shared" ref="B66:E66" si="45">B53+B54+B55+B56+B57+B65</f>
        <v>11</v>
      </c>
      <c r="C66" s="40">
        <f t="shared" si="45"/>
        <v>22</v>
      </c>
      <c r="D66" s="40">
        <f t="shared" si="45"/>
        <v>33</v>
      </c>
      <c r="E66" s="40">
        <f t="shared" si="45"/>
        <v>44</v>
      </c>
      <c r="F66" s="22"/>
      <c r="G66" s="107"/>
      <c r="H66" s="65"/>
      <c r="I66" s="65"/>
      <c r="J66" s="65"/>
      <c r="K66" s="65"/>
      <c r="L66" s="65"/>
      <c r="M66" s="107"/>
      <c r="N66" s="107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ht="14.25" customHeight="1" spans="1:32" x14ac:dyDescent="0.25">
      <c r="A67" s="112" t="s">
        <v>111</v>
      </c>
      <c r="B67" s="113">
        <f t="shared" ref="B67:E67" si="46">ROUND(B48-B66,5)</f>
        <v>45</v>
      </c>
      <c r="C67" s="113">
        <f t="shared" si="46"/>
        <v>48</v>
      </c>
      <c r="D67" s="113">
        <f t="shared" si="46"/>
        <v>51</v>
      </c>
      <c r="E67" s="113">
        <f t="shared" si="46"/>
        <v>54</v>
      </c>
      <c r="F67" s="64"/>
      <c r="G67" s="107"/>
      <c r="H67" s="107"/>
      <c r="I67" s="107"/>
      <c r="J67" s="107"/>
      <c r="K67" s="107"/>
      <c r="L67" s="107"/>
      <c r="M67" s="107"/>
      <c r="N67" s="107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ht="14.25" customHeight="1" spans="1:32" x14ac:dyDescent="0.25">
      <c r="A68" s="65"/>
      <c r="B68" s="66"/>
      <c r="C68" s="66"/>
      <c r="D68" s="66"/>
      <c r="E68" s="66"/>
      <c r="F68" s="66"/>
      <c r="G68" s="107"/>
      <c r="H68" s="107"/>
      <c r="I68" s="107"/>
      <c r="J68" s="107"/>
      <c r="K68" s="107"/>
      <c r="L68" s="107"/>
      <c r="M68" s="107"/>
      <c r="N68" s="107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ht="14.25" customHeight="1" spans="1:32" x14ac:dyDescent="0.25">
      <c r="A69" s="67"/>
      <c r="B69" s="68"/>
      <c r="C69" s="68"/>
      <c r="D69" s="68"/>
      <c r="E69" s="68"/>
      <c r="F69" s="68"/>
      <c r="G69" s="107"/>
      <c r="H69" s="107"/>
      <c r="I69" s="107"/>
      <c r="J69" s="107"/>
      <c r="K69" s="107"/>
      <c r="L69" s="107"/>
      <c r="M69" s="107"/>
      <c r="N69" s="107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ht="27.75" customHeight="1" spans="1:32" x14ac:dyDescent="0.25">
      <c r="A70" s="114" t="s">
        <v>112</v>
      </c>
      <c r="B70" s="115">
        <f t="shared" ref="B70:E70" si="47">B3</f>
        <v>42094</v>
      </c>
      <c r="C70" s="115">
        <f t="shared" si="47"/>
        <v>42460</v>
      </c>
      <c r="D70" s="115">
        <f t="shared" si="47"/>
        <v>42825</v>
      </c>
      <c r="E70" s="115">
        <f t="shared" si="47"/>
        <v>43190</v>
      </c>
      <c r="F70" s="115" t="s">
        <v>7</v>
      </c>
      <c r="G70" s="107"/>
      <c r="H70" s="107"/>
      <c r="I70" s="107"/>
      <c r="J70" s="107"/>
      <c r="K70" s="107"/>
      <c r="L70" s="107"/>
      <c r="M70" s="107"/>
      <c r="N70" s="107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ht="14.25" customHeight="1" spans="1:32" x14ac:dyDescent="0.25">
      <c r="A71" s="116" t="s">
        <v>113</v>
      </c>
      <c r="B71" s="117"/>
      <c r="C71" s="118">
        <f t="shared" ref="C71:D71" si="48">IFERROR((C4-B4)/B4,"")</f>
        <v>1</v>
      </c>
      <c r="D71" s="118">
        <f t="shared" si="48"/>
        <v>0.5</v>
      </c>
      <c r="E71" s="118">
        <f>IF(E4="","",(E4-D4)/D4)</f>
        <v>0.3333333333</v>
      </c>
      <c r="F71" s="119"/>
      <c r="G71" s="107"/>
      <c r="H71" s="107"/>
      <c r="I71" s="107"/>
      <c r="J71" s="107"/>
      <c r="K71" s="107"/>
      <c r="L71" s="107"/>
      <c r="M71" s="107"/>
      <c r="N71" s="107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ht="14.25" customHeight="1" spans="1:32" x14ac:dyDescent="0.25">
      <c r="A72" s="116" t="s">
        <v>114</v>
      </c>
      <c r="B72" s="117">
        <f>IFERROR(B13/(B4+B5),"")</f>
        <v>-0.5</v>
      </c>
      <c r="C72" s="117">
        <v>-0.51</v>
      </c>
      <c r="D72" s="117">
        <v>-0.52</v>
      </c>
      <c r="E72" s="117">
        <f>IFERROR(E13/(E4+E5),"")</f>
        <v>-0.5</v>
      </c>
      <c r="F72" s="119"/>
      <c r="G72" s="107"/>
      <c r="H72" s="107"/>
      <c r="I72" s="107"/>
      <c r="J72" s="107"/>
      <c r="K72" s="107"/>
      <c r="L72" s="107"/>
      <c r="M72" s="107"/>
      <c r="N72" s="107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ht="14.25" customHeight="1" spans="1:32" x14ac:dyDescent="0.25">
      <c r="A73" s="116" t="s">
        <v>115</v>
      </c>
      <c r="B73" s="117">
        <v>2.12</v>
      </c>
      <c r="C73" s="117">
        <v>2.11</v>
      </c>
      <c r="D73" s="117">
        <v>2.1</v>
      </c>
      <c r="E73" s="117">
        <v>2.13</v>
      </c>
      <c r="F73" s="119"/>
      <c r="G73" s="107"/>
      <c r="H73" s="107"/>
      <c r="I73" s="107"/>
      <c r="J73" s="107"/>
      <c r="K73" s="107"/>
      <c r="L73" s="107"/>
      <c r="M73" s="107"/>
      <c r="N73" s="107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ht="14.25" customHeight="1" spans="1:32" x14ac:dyDescent="0.25">
      <c r="A74" s="116" t="s">
        <v>25</v>
      </c>
      <c r="B74" s="117">
        <f t="shared" ref="B74:E74" si="49">IFERROR(B23/(B4+B5),"")</f>
        <v>-2</v>
      </c>
      <c r="C74" s="117">
        <f t="shared" si="49"/>
        <v>-2</v>
      </c>
      <c r="D74" s="117">
        <f t="shared" si="49"/>
        <v>-2</v>
      </c>
      <c r="E74" s="117">
        <f t="shared" si="49"/>
        <v>-2</v>
      </c>
      <c r="F74" s="119"/>
      <c r="G74" s="107"/>
      <c r="H74" s="107"/>
      <c r="I74" s="107"/>
      <c r="J74" s="107"/>
      <c r="K74" s="107"/>
      <c r="L74" s="107"/>
      <c r="M74" s="107"/>
      <c r="N74" s="107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ht="14.25" customHeight="1" spans="1:32" x14ac:dyDescent="0.25">
      <c r="A75" s="116" t="s">
        <v>116</v>
      </c>
      <c r="B75" s="117">
        <f t="shared" ref="B75:E75" si="50">IFERROR(B15/(B4+B5),"")</f>
        <v>-1</v>
      </c>
      <c r="C75" s="117">
        <f t="shared" si="50"/>
        <v>-1</v>
      </c>
      <c r="D75" s="117">
        <f t="shared" si="50"/>
        <v>-1</v>
      </c>
      <c r="E75" s="117">
        <f t="shared" si="50"/>
        <v>-1</v>
      </c>
      <c r="F75" s="119"/>
      <c r="G75" s="107"/>
      <c r="H75" s="107"/>
      <c r="I75" s="107"/>
      <c r="J75" s="107"/>
      <c r="K75" s="107"/>
      <c r="L75" s="107"/>
      <c r="M75" s="107"/>
      <c r="N75" s="107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ht="14.25" customHeight="1" spans="1:32" x14ac:dyDescent="0.25">
      <c r="A76" s="116" t="s">
        <v>117</v>
      </c>
      <c r="B76" s="120">
        <v>4.1</v>
      </c>
      <c r="C76" s="120">
        <v>4.1</v>
      </c>
      <c r="D76" s="120">
        <v>4.1</v>
      </c>
      <c r="E76" s="120">
        <v>4.1</v>
      </c>
      <c r="F76" s="119"/>
      <c r="G76" s="107"/>
      <c r="H76" s="107"/>
      <c r="I76" s="107"/>
      <c r="J76" s="107"/>
      <c r="K76" s="107"/>
      <c r="L76" s="107"/>
      <c r="M76" s="107"/>
      <c r="N76" s="107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ht="14.25" customHeight="1" spans="1:32" x14ac:dyDescent="0.25">
      <c r="A77" s="116" t="s">
        <v>118</v>
      </c>
      <c r="B77" s="120">
        <f t="shared" ref="B77:E77" si="51">IFERROR((B39+B43)/B33,"")</f>
        <v>1.052631579</v>
      </c>
      <c r="C77" s="120">
        <f t="shared" si="51"/>
        <v>1.086956522</v>
      </c>
      <c r="D77" s="120">
        <f t="shared" si="51"/>
        <v>1.111111111</v>
      </c>
      <c r="E77" s="120">
        <f t="shared" si="51"/>
        <v>1.129032258</v>
      </c>
      <c r="F77" s="119"/>
      <c r="G77" s="107"/>
      <c r="H77" s="107"/>
      <c r="I77" s="107"/>
      <c r="J77" s="107"/>
      <c r="K77" s="107"/>
      <c r="L77" s="107"/>
      <c r="M77" s="107"/>
      <c r="N77" s="107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ht="14.25" customHeight="1" spans="1:32" x14ac:dyDescent="0.25">
      <c r="A78" s="116" t="s">
        <v>119</v>
      </c>
      <c r="B78" s="120">
        <f t="shared" ref="B78:E78" si="52">IFERROR(B15/B16,"")</f>
        <v>-2</v>
      </c>
      <c r="C78" s="120">
        <f t="shared" si="52"/>
        <v>-2</v>
      </c>
      <c r="D78" s="120">
        <f t="shared" si="52"/>
        <v>-2</v>
      </c>
      <c r="E78" s="120">
        <f t="shared" si="52"/>
        <v>-2</v>
      </c>
      <c r="F78" s="119"/>
      <c r="G78" s="107"/>
      <c r="H78" s="107"/>
      <c r="I78" s="107"/>
      <c r="J78" s="107"/>
      <c r="K78" s="107"/>
      <c r="L78" s="107"/>
      <c r="M78" s="107"/>
      <c r="N78" s="107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ht="14.25" customHeight="1" spans="1:32" x14ac:dyDescent="0.25">
      <c r="A79" s="116" t="s">
        <v>120</v>
      </c>
      <c r="B79" s="121">
        <v>101</v>
      </c>
      <c r="C79" s="121">
        <v>101</v>
      </c>
      <c r="D79" s="121">
        <v>101</v>
      </c>
      <c r="E79" s="121">
        <v>101</v>
      </c>
      <c r="F79" s="119"/>
      <c r="G79" s="107"/>
      <c r="H79" s="107"/>
      <c r="I79" s="107"/>
      <c r="J79" s="107"/>
      <c r="K79" s="107"/>
      <c r="L79" s="107"/>
      <c r="M79" s="107"/>
      <c r="N79" s="107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ht="14.25" customHeight="1" spans="1:32" x14ac:dyDescent="0.25">
      <c r="A80" s="116" t="s">
        <v>121</v>
      </c>
      <c r="B80" s="121">
        <v>101</v>
      </c>
      <c r="C80" s="121">
        <v>101</v>
      </c>
      <c r="D80" s="121">
        <v>101</v>
      </c>
      <c r="E80" s="121">
        <v>101</v>
      </c>
      <c r="F80" s="119"/>
      <c r="G80" s="107"/>
      <c r="H80" s="107"/>
      <c r="I80" s="107"/>
      <c r="J80" s="107"/>
      <c r="K80" s="107"/>
      <c r="L80" s="107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ht="14.25" customHeight="1" spans="1:32" x14ac:dyDescent="0.25">
      <c r="A81" s="116" t="s">
        <v>122</v>
      </c>
      <c r="B81" s="121">
        <v>101</v>
      </c>
      <c r="C81" s="121">
        <v>101</v>
      </c>
      <c r="D81" s="121">
        <v>101</v>
      </c>
      <c r="E81" s="121">
        <v>101</v>
      </c>
      <c r="F81" s="119"/>
      <c r="G81" s="107"/>
      <c r="H81" s="107"/>
      <c r="I81" s="107"/>
      <c r="J81" s="107"/>
      <c r="K81" s="107"/>
      <c r="L81" s="10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ht="14.25" customHeight="1" spans="1:32" x14ac:dyDescent="0.25">
      <c r="A82" s="116" t="s">
        <v>123</v>
      </c>
      <c r="B82" s="121">
        <f t="shared" ref="B82:E82" si="53">B79+B80-B81</f>
        <v>101</v>
      </c>
      <c r="C82" s="121">
        <f t="shared" si="53"/>
        <v>101</v>
      </c>
      <c r="D82" s="121">
        <f t="shared" si="53"/>
        <v>101</v>
      </c>
      <c r="E82" s="121">
        <f t="shared" si="53"/>
        <v>101</v>
      </c>
      <c r="F82" s="119"/>
      <c r="G82" s="107"/>
      <c r="H82" s="107"/>
      <c r="I82" s="107"/>
      <c r="J82" s="107"/>
      <c r="K82" s="107"/>
      <c r="L82" s="10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ht="14.25" customHeight="1" spans="1:32" x14ac:dyDescent="0.25">
      <c r="A83" s="116" t="s">
        <v>124</v>
      </c>
      <c r="B83" s="120">
        <f t="shared" ref="B83:E83" si="54">IFERROR((B57)/(B42+B38),"")</f>
        <v>0.5</v>
      </c>
      <c r="C83" s="120">
        <f t="shared" si="54"/>
        <v>0.8</v>
      </c>
      <c r="D83" s="120">
        <f t="shared" si="54"/>
        <v>1</v>
      </c>
      <c r="E83" s="120">
        <f t="shared" si="54"/>
        <v>1.142857143</v>
      </c>
      <c r="F83" s="119"/>
      <c r="G83" s="107"/>
      <c r="H83" s="107"/>
      <c r="I83" s="107"/>
      <c r="J83" s="107"/>
      <c r="K83" s="107"/>
      <c r="L83" s="10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ht="14.25" customHeight="1" spans="1:32" x14ac:dyDescent="0.25">
      <c r="A84" s="116" t="s">
        <v>125</v>
      </c>
      <c r="B84" s="120">
        <f t="shared" ref="B84:E84" si="55">IFERROR(B39/(B4+B5),"")</f>
        <v>8</v>
      </c>
      <c r="C84" s="120">
        <f t="shared" si="55"/>
        <v>5</v>
      </c>
      <c r="D84" s="120">
        <f t="shared" si="55"/>
        <v>4</v>
      </c>
      <c r="E84" s="120">
        <f t="shared" si="55"/>
        <v>3.5</v>
      </c>
      <c r="F84" s="22"/>
      <c r="G84" s="107"/>
      <c r="H84" s="107"/>
      <c r="I84" s="107"/>
      <c r="J84" s="107"/>
      <c r="K84" s="107"/>
      <c r="L84" s="10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ht="14.25" customHeight="1" spans="1:32" x14ac:dyDescent="0.25">
      <c r="A85" s="116" t="s">
        <v>126</v>
      </c>
      <c r="B85" s="120">
        <f t="shared" ref="B85:E85" si="56">IFERROR(B33/(B4+B5),"")</f>
        <v>9.5</v>
      </c>
      <c r="C85" s="120">
        <f t="shared" si="56"/>
        <v>5.75</v>
      </c>
      <c r="D85" s="120">
        <f t="shared" si="56"/>
        <v>4.5</v>
      </c>
      <c r="E85" s="120">
        <f t="shared" si="56"/>
        <v>3.875</v>
      </c>
      <c r="F85" s="22"/>
      <c r="G85" s="107"/>
      <c r="H85" s="107"/>
      <c r="I85" s="107"/>
      <c r="J85" s="107"/>
      <c r="K85" s="107"/>
      <c r="L85" s="10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ht="14.25" customHeight="1" spans="1:32" x14ac:dyDescent="0.25">
      <c r="A86" s="116" t="s">
        <v>127</v>
      </c>
      <c r="B86" s="117">
        <f t="shared" ref="B86:E86" si="57">IFERROR(B22/B33,"")</f>
        <v>-0.2631578947</v>
      </c>
      <c r="C86" s="117">
        <f t="shared" si="57"/>
        <v>-0.4347826087</v>
      </c>
      <c r="D86" s="117">
        <f t="shared" si="57"/>
        <v>-0.5555555556</v>
      </c>
      <c r="E86" s="117">
        <f t="shared" si="57"/>
        <v>-0.6451612903</v>
      </c>
      <c r="F86" s="22"/>
      <c r="G86" s="107"/>
      <c r="H86" s="107"/>
      <c r="I86" s="107"/>
      <c r="J86" s="107"/>
      <c r="K86" s="107"/>
      <c r="L86" s="10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ht="14.25" customHeight="1" spans="1:32" x14ac:dyDescent="0.25">
      <c r="A87" s="116" t="s">
        <v>128</v>
      </c>
      <c r="B87" s="117">
        <f t="shared" ref="B87:E87" si="58">IFERROR(B22/(B33+B39),"")</f>
        <v>-0.1428571429</v>
      </c>
      <c r="C87" s="117">
        <f t="shared" si="58"/>
        <v>-0.2325581395</v>
      </c>
      <c r="D87" s="117">
        <f t="shared" si="58"/>
        <v>-0.2941176471</v>
      </c>
      <c r="E87" s="117">
        <f t="shared" si="58"/>
        <v>-0.3389830508</v>
      </c>
      <c r="F87" s="22"/>
      <c r="G87" s="107"/>
      <c r="H87" s="107"/>
      <c r="I87" s="107"/>
      <c r="J87" s="107"/>
      <c r="K87" s="107"/>
      <c r="L87" s="10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ht="14.25" customHeight="1" spans="1:32" x14ac:dyDescent="0.25">
      <c r="A88" s="116" t="s">
        <v>129</v>
      </c>
      <c r="B88" s="117">
        <f t="shared" ref="B88:E88" si="59">IFERROR(B22/B53,"")</f>
        <v>-5</v>
      </c>
      <c r="C88" s="117">
        <f t="shared" si="59"/>
        <v>-5</v>
      </c>
      <c r="D88" s="117">
        <f t="shared" si="59"/>
        <v>-5</v>
      </c>
      <c r="E88" s="117">
        <f t="shared" si="59"/>
        <v>-5</v>
      </c>
      <c r="F88" s="22"/>
      <c r="G88" s="107"/>
      <c r="H88" s="107"/>
      <c r="I88" s="107"/>
      <c r="J88" s="107"/>
      <c r="K88" s="107"/>
      <c r="L88" s="10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ht="14.25" customHeight="1" spans="1:32" x14ac:dyDescent="0.25">
      <c r="A89" s="116" t="s">
        <v>130</v>
      </c>
      <c r="B89" s="120">
        <f t="shared" ref="B89:E89" si="60">IFERROR((B4+B5)/B53,"")</f>
        <v>2</v>
      </c>
      <c r="C89" s="120">
        <f t="shared" si="60"/>
        <v>2</v>
      </c>
      <c r="D89" s="120">
        <f t="shared" si="60"/>
        <v>2</v>
      </c>
      <c r="E89" s="120">
        <f t="shared" si="60"/>
        <v>2</v>
      </c>
      <c r="F89" s="22"/>
      <c r="G89" s="107"/>
      <c r="H89" s="107"/>
      <c r="I89" s="107"/>
      <c r="J89" s="107"/>
      <c r="K89" s="107"/>
      <c r="L89" s="10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ht="14.25" customHeight="1" spans="1:32" x14ac:dyDescent="0.25">
      <c r="A90" s="116" t="s">
        <v>131</v>
      </c>
      <c r="B90" s="120">
        <f t="shared" ref="B90:E90" si="61">((B35+B36+B37)/B34)+B16</f>
        <v>5</v>
      </c>
      <c r="C90" s="120">
        <f t="shared" si="61"/>
        <v>7</v>
      </c>
      <c r="D90" s="120">
        <f t="shared" si="61"/>
        <v>9</v>
      </c>
      <c r="E90" s="120">
        <f t="shared" si="61"/>
        <v>11</v>
      </c>
      <c r="F90" s="22"/>
      <c r="G90" s="107"/>
      <c r="H90" s="107"/>
      <c r="I90" s="107"/>
      <c r="J90" s="107"/>
      <c r="K90" s="107"/>
      <c r="L90" s="10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ht="14.25" customHeight="1" spans="1:32" x14ac:dyDescent="0.25">
      <c r="A91" s="116" t="s">
        <v>132</v>
      </c>
      <c r="B91" s="120">
        <f t="shared" ref="B91:E91" si="62">IFERROR(B15/B90,"")</f>
        <v>-0.4</v>
      </c>
      <c r="C91" s="120">
        <f t="shared" si="62"/>
        <v>-0.5714285714</v>
      </c>
      <c r="D91" s="120">
        <f t="shared" si="62"/>
        <v>-0.6666666667</v>
      </c>
      <c r="E91" s="120">
        <f t="shared" si="62"/>
        <v>-0.7272727273</v>
      </c>
      <c r="F91" s="22"/>
      <c r="G91" s="107"/>
      <c r="H91" s="107"/>
      <c r="I91" s="107"/>
      <c r="J91" s="107"/>
      <c r="K91" s="107"/>
      <c r="L91" s="10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ht="14.25" customHeight="1" spans="1:32" x14ac:dyDescent="0.25">
      <c r="A92" s="116" t="s">
        <v>133</v>
      </c>
      <c r="B92" s="120">
        <f t="shared" ref="B92:E92" si="63">IFERROR(SUM(B35:B37)/B15,"")</f>
        <v>-6</v>
      </c>
      <c r="C92" s="120">
        <f t="shared" si="63"/>
        <v>-3.75</v>
      </c>
      <c r="D92" s="120">
        <f t="shared" si="63"/>
        <v>-3</v>
      </c>
      <c r="E92" s="120">
        <f t="shared" si="63"/>
        <v>-2.625</v>
      </c>
      <c r="F92" s="22"/>
      <c r="G92" s="107"/>
      <c r="H92" s="107"/>
      <c r="I92" s="107"/>
      <c r="J92" s="107"/>
      <c r="K92" s="107"/>
      <c r="L92" s="10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ht="14.25" customHeight="1" spans="1:32" x14ac:dyDescent="0.25">
      <c r="A93" s="116" t="s">
        <v>134</v>
      </c>
      <c r="B93" s="120"/>
      <c r="C93" s="120"/>
      <c r="D93" s="120"/>
      <c r="E93" s="120">
        <f>'LOAN SHEET'!G2</f>
        <v>1</v>
      </c>
      <c r="F93" s="22"/>
      <c r="G93" s="107"/>
      <c r="H93" s="107"/>
      <c r="I93" s="107"/>
      <c r="J93" s="107"/>
      <c r="K93" s="107"/>
      <c r="L93" s="10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ht="14.25" customHeight="1" spans="1:32" x14ac:dyDescent="0.25">
      <c r="A94" s="116" t="s">
        <v>135</v>
      </c>
      <c r="B94" s="117">
        <f t="shared" ref="B94:E94" si="64">IFERROR(B16/(B4+B5),"")</f>
        <v>0.5</v>
      </c>
      <c r="C94" s="117">
        <f t="shared" si="64"/>
        <v>0.5</v>
      </c>
      <c r="D94" s="117">
        <f t="shared" si="64"/>
        <v>0.5</v>
      </c>
      <c r="E94" s="117">
        <f t="shared" si="64"/>
        <v>0.5</v>
      </c>
      <c r="F94" s="22"/>
      <c r="G94" s="107"/>
      <c r="H94" s="107"/>
      <c r="I94" s="107"/>
      <c r="J94" s="107"/>
      <c r="K94" s="107"/>
      <c r="L94" s="10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ht="14.25" customHeight="1" spans="1:32" x14ac:dyDescent="0.25">
      <c r="A95" s="116" t="s">
        <v>136</v>
      </c>
      <c r="B95" s="117">
        <f t="shared" ref="B95:E95" si="65">IFERROR(B16/B39,"")</f>
        <v>0.0625</v>
      </c>
      <c r="C95" s="117">
        <f t="shared" si="65"/>
        <v>0.1</v>
      </c>
      <c r="D95" s="117">
        <f t="shared" si="65"/>
        <v>0.125</v>
      </c>
      <c r="E95" s="117">
        <f t="shared" si="65"/>
        <v>0.1428571429</v>
      </c>
      <c r="F95" s="119"/>
      <c r="G95" s="107"/>
      <c r="H95" s="107"/>
      <c r="I95" s="107"/>
      <c r="J95" s="107"/>
      <c r="K95" s="107"/>
      <c r="L95" s="10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ht="14.25" customHeight="1" spans="1:32" x14ac:dyDescent="0.25">
      <c r="A96" s="122" t="s">
        <v>137</v>
      </c>
      <c r="B96" s="123">
        <f>($E$9/360)*30*10%</f>
        <v>0.03333333333</v>
      </c>
      <c r="C96" s="123">
        <f>($E$9/360)*30*15%</f>
        <v>0.05</v>
      </c>
      <c r="D96" s="123"/>
      <c r="E96" s="124"/>
      <c r="F96" s="125"/>
      <c r="G96" s="107"/>
      <c r="H96" s="107"/>
      <c r="I96" s="107"/>
      <c r="J96" s="107"/>
      <c r="K96" s="107"/>
      <c r="L96" s="10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ht="14.25" customHeight="1" spans="1:32" x14ac:dyDescent="0.25">
      <c r="A97" s="126" t="s">
        <v>138</v>
      </c>
      <c r="B97" s="123">
        <f>($E$9/360)*60*10%</f>
        <v>0.06666666667</v>
      </c>
      <c r="C97" s="123">
        <f>($E$9/360)*60*15%</f>
        <v>0.1</v>
      </c>
      <c r="D97" s="120"/>
      <c r="E97" s="127"/>
      <c r="F97" s="128"/>
      <c r="G97" s="107"/>
      <c r="H97" s="107"/>
      <c r="I97" s="107"/>
      <c r="J97" s="107"/>
      <c r="K97" s="107"/>
      <c r="L97" s="10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ht="14.25" customHeight="1" spans="1:32" x14ac:dyDescent="0.25">
      <c r="A98" s="126" t="s">
        <v>139</v>
      </c>
      <c r="B98" s="123">
        <f>($E$9/360)*90*10%</f>
        <v>0.1</v>
      </c>
      <c r="C98" s="123">
        <f>($E$9/360)*90*15%</f>
        <v>0.15</v>
      </c>
      <c r="D98" s="120"/>
      <c r="E98" s="127"/>
      <c r="F98" s="128"/>
      <c r="G98" s="107"/>
      <c r="H98" s="107"/>
      <c r="I98" s="107"/>
      <c r="J98" s="107"/>
      <c r="K98" s="107"/>
      <c r="L98" s="10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ht="14.25" customHeight="1" spans="1:32" x14ac:dyDescent="0.25">
      <c r="A99" s="129" t="s">
        <v>140</v>
      </c>
      <c r="B99" s="130">
        <f>($E$9/360)*120*10%</f>
        <v>0.1333333333</v>
      </c>
      <c r="C99" s="130">
        <f>($E$9/360)*120*15%</f>
        <v>0.2</v>
      </c>
      <c r="D99" s="130"/>
      <c r="E99" s="131"/>
      <c r="F99" s="132"/>
      <c r="G99" s="107"/>
      <c r="H99" s="107"/>
      <c r="I99" s="107"/>
      <c r="J99" s="107"/>
      <c r="K99" s="107"/>
      <c r="L99" s="10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ht="14.25" customHeight="1" spans="1:32" x14ac:dyDescent="0.25">
      <c r="A100" s="107"/>
      <c r="B100" s="65"/>
      <c r="C100" s="6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ht="14.25" customHeight="1" spans="1:32" x14ac:dyDescent="0.25">
      <c r="A101" s="133" t="s">
        <v>141</v>
      </c>
      <c r="B101" s="134">
        <v>42094</v>
      </c>
      <c r="C101" s="134">
        <v>42460</v>
      </c>
      <c r="D101" s="134">
        <v>42825</v>
      </c>
      <c r="E101" s="134">
        <v>43190</v>
      </c>
      <c r="F101" s="107"/>
      <c r="G101" s="107"/>
      <c r="H101" s="107"/>
      <c r="I101" s="107"/>
      <c r="J101" s="107"/>
      <c r="K101" s="107"/>
      <c r="L101" s="10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ht="14.25" customHeight="1" spans="1:32" x14ac:dyDescent="0.25">
      <c r="A102" s="135" t="s">
        <v>142</v>
      </c>
      <c r="B102" s="135">
        <f t="shared" ref="B102:E102" si="66">IFERROR(SUM(B50:B51),0)</f>
        <v>2</v>
      </c>
      <c r="C102" s="135">
        <f t="shared" si="66"/>
        <v>4</v>
      </c>
      <c r="D102" s="135">
        <f t="shared" si="66"/>
        <v>6</v>
      </c>
      <c r="E102" s="135">
        <f t="shared" si="66"/>
        <v>8</v>
      </c>
      <c r="F102" s="107"/>
      <c r="G102" s="107"/>
      <c r="H102" s="107"/>
      <c r="I102" s="107"/>
      <c r="J102" s="107"/>
      <c r="K102" s="107"/>
      <c r="L102" s="10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ht="14.25" customHeight="1" spans="1:32" x14ac:dyDescent="0.25">
      <c r="A103" s="136" t="s">
        <v>143</v>
      </c>
      <c r="B103" s="137">
        <f t="shared" ref="B103:E103" si="67">IFERROR(SUM(B58:B60)-B43, 0)</f>
        <v>-1</v>
      </c>
      <c r="C103" s="137">
        <f t="shared" si="67"/>
        <v>1</v>
      </c>
      <c r="D103" s="137">
        <f t="shared" si="67"/>
        <v>3</v>
      </c>
      <c r="E103" s="137">
        <f t="shared" si="67"/>
        <v>5</v>
      </c>
      <c r="F103" s="107"/>
      <c r="G103" s="107"/>
      <c r="H103" s="107"/>
      <c r="I103" s="107"/>
      <c r="J103" s="107"/>
      <c r="K103" s="107"/>
      <c r="L103" s="10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ht="14.25" customHeight="1" spans="1:32" x14ac:dyDescent="0.25">
      <c r="A104" s="136" t="s">
        <v>108</v>
      </c>
      <c r="B104" s="135">
        <f t="shared" ref="B104:E104" si="68">IFERROR(SUM(B63:B64),0)</f>
        <v>2</v>
      </c>
      <c r="C104" s="135">
        <f t="shared" si="68"/>
        <v>4</v>
      </c>
      <c r="D104" s="135">
        <f t="shared" si="68"/>
        <v>6</v>
      </c>
      <c r="E104" s="135">
        <f t="shared" si="68"/>
        <v>8</v>
      </c>
      <c r="F104" s="107"/>
      <c r="G104" s="107"/>
      <c r="H104" s="107"/>
      <c r="I104" s="107"/>
      <c r="J104" s="107"/>
      <c r="K104" s="107"/>
      <c r="L104" s="107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ht="14.25" customHeight="1" spans="1:32" x14ac:dyDescent="0.25">
      <c r="A105" s="136" t="s">
        <v>144</v>
      </c>
      <c r="B105" s="135">
        <f t="shared" ref="B105:E105" si="69">IFERROR(SUM(B45,B35,B36),0)</f>
        <v>12</v>
      </c>
      <c r="C105" s="135">
        <f t="shared" si="69"/>
        <v>15</v>
      </c>
      <c r="D105" s="135">
        <f t="shared" si="69"/>
        <v>18</v>
      </c>
      <c r="E105" s="135">
        <f t="shared" si="69"/>
        <v>21</v>
      </c>
      <c r="F105" s="107"/>
      <c r="G105" s="138"/>
      <c r="H105" s="107"/>
      <c r="I105" s="107"/>
      <c r="J105" s="107"/>
      <c r="K105" s="107"/>
      <c r="L105" s="10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ht="14.25" customHeight="1" spans="1:32" x14ac:dyDescent="0.25">
      <c r="A106" s="136" t="s">
        <v>82</v>
      </c>
      <c r="B106" s="135">
        <f t="shared" ref="B106:E106" si="70">IFERROR(SUM(B37,B44),0)</f>
        <v>8</v>
      </c>
      <c r="C106" s="135">
        <f t="shared" si="70"/>
        <v>10</v>
      </c>
      <c r="D106" s="135">
        <f t="shared" si="70"/>
        <v>12</v>
      </c>
      <c r="E106" s="135">
        <f t="shared" si="70"/>
        <v>14</v>
      </c>
      <c r="F106" s="107"/>
      <c r="G106" s="107"/>
      <c r="H106" s="107"/>
      <c r="I106" s="107"/>
      <c r="J106" s="107"/>
      <c r="K106" s="107"/>
      <c r="L106" s="107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ht="14.25" customHeight="1" spans="1:32" x14ac:dyDescent="0.25">
      <c r="A107" s="6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ht="14.25" customHeight="1" spans="1:32" x14ac:dyDescent="0.25">
      <c r="A108" s="139"/>
      <c r="B108" s="139"/>
      <c r="C108" s="139"/>
      <c r="D108" s="139"/>
      <c r="E108" s="139"/>
      <c r="F108" s="139"/>
      <c r="G108" s="139"/>
      <c r="H108" s="107"/>
      <c r="I108" s="107"/>
      <c r="J108" s="107"/>
      <c r="K108" s="107"/>
      <c r="L108" s="107"/>
      <c r="M108" s="139"/>
      <c r="N108" s="139"/>
      <c r="O108" s="14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t="14.25" customHeight="1" spans="1:32" x14ac:dyDescent="0.25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4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ht="14.25" customHeight="1" spans="1:32" x14ac:dyDescent="0.25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4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ht="14.25" customHeight="1" spans="1:32" x14ac:dyDescent="0.25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4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ht="14.25" customHeight="1" spans="1:32" x14ac:dyDescent="0.25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4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ht="14.25" customHeight="1" spans="1:32" x14ac:dyDescent="0.25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4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ht="14.25" customHeight="1" spans="1:32" x14ac:dyDescent="0.25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4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ht="14.25" customHeight="1" spans="1:32" x14ac:dyDescent="0.25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4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ht="14.25" customHeight="1" spans="1:32" x14ac:dyDescent="0.25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4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ht="14.25" customHeight="1" spans="1:32" x14ac:dyDescent="0.25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4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ht="14.25" customHeight="1" spans="1:32" x14ac:dyDescent="0.25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4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ht="14.25" customHeight="1" spans="1:32" x14ac:dyDescent="0.25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4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ht="14.25" customHeight="1" spans="1:32" x14ac:dyDescent="0.25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4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ht="14.25" customHeight="1" spans="1:32" x14ac:dyDescent="0.25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4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ht="14.25" customHeight="1" spans="1:32" x14ac:dyDescent="0.25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4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ht="14.25" customHeight="1" spans="1:32" x14ac:dyDescent="0.25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4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ht="14.25" customHeight="1" spans="1:32" x14ac:dyDescent="0.25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4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ht="14.25" customHeight="1" spans="1:32" x14ac:dyDescent="0.25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4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ht="14.25" customHeight="1" spans="1:32" x14ac:dyDescent="0.25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4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ht="14.25" customHeight="1" spans="1:32" x14ac:dyDescent="0.25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4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ht="14.25" customHeight="1" spans="1:32" x14ac:dyDescent="0.25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4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ht="14.25" customHeight="1" spans="1:32" x14ac:dyDescent="0.25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4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ht="14.25" customHeight="1" spans="1:32" x14ac:dyDescent="0.25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4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ht="14.25" customHeight="1" spans="1:32" x14ac:dyDescent="0.25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4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ht="14.25" customHeight="1" spans="1:32" x14ac:dyDescent="0.25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4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ht="14.25" customHeight="1" spans="1:32" x14ac:dyDescent="0.25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4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ht="14.25" customHeight="1" spans="1:32" x14ac:dyDescent="0.25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4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ht="14.25" customHeight="1" spans="1:32" x14ac:dyDescent="0.25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4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ht="14.25" customHeight="1" spans="1:32" x14ac:dyDescent="0.25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4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ht="14.25" customHeight="1" spans="1:32" x14ac:dyDescent="0.25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4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ht="14.25" customHeight="1" spans="1:32" x14ac:dyDescent="0.25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4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ht="14.25" customHeight="1" spans="1:32" x14ac:dyDescent="0.25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4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ht="14.25" customHeight="1" spans="1:32" x14ac:dyDescent="0.25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4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ht="14.25" customHeight="1" spans="1:32" x14ac:dyDescent="0.25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4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ht="14.25" customHeight="1" spans="1:32" x14ac:dyDescent="0.25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4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ht="14.25" customHeight="1" spans="1:32" x14ac:dyDescent="0.25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4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ht="14.25" customHeight="1" spans="1:32" x14ac:dyDescent="0.25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4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ht="14.25" customHeight="1" spans="1:32" x14ac:dyDescent="0.25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4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ht="14.25" customHeight="1" spans="1:32" x14ac:dyDescent="0.25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4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 ht="14.25" customHeight="1" spans="1:32" x14ac:dyDescent="0.25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4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ht="14.25" customHeight="1" spans="1:32" x14ac:dyDescent="0.25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4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ht="14.25" customHeight="1" spans="1:32" x14ac:dyDescent="0.25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4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ht="14.25" customHeight="1" spans="1:32" x14ac:dyDescent="0.25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4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ht="14.25" customHeight="1" spans="1:32" x14ac:dyDescent="0.25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4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ht="14.25" customHeight="1" spans="1:32" x14ac:dyDescent="0.25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4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ht="14.25" customHeight="1" spans="1:32" x14ac:dyDescent="0.25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4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ht="14.25" customHeight="1" spans="1:32" x14ac:dyDescent="0.25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4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ht="14.25" customHeight="1" spans="1:32" x14ac:dyDescent="0.25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4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ht="14.25" customHeight="1" spans="1:32" x14ac:dyDescent="0.25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4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ht="14.25" customHeight="1" spans="1:32" x14ac:dyDescent="0.25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4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ht="14.25" customHeight="1" spans="1:32" x14ac:dyDescent="0.25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4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ht="14.25" customHeight="1" spans="1:32" x14ac:dyDescent="0.25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4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ht="14.25" customHeight="1" spans="1:32" x14ac:dyDescent="0.25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4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ht="14.25" customHeight="1" spans="1:32" x14ac:dyDescent="0.25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4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ht="14.25" customHeight="1" spans="1:32" x14ac:dyDescent="0.25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4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ht="14.25" customHeight="1" spans="1:32" x14ac:dyDescent="0.25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4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ht="14.25" customHeight="1" spans="1:32" x14ac:dyDescent="0.25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4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ht="14.25" customHeight="1" spans="1:32" x14ac:dyDescent="0.25">
      <c r="A165" s="139"/>
      <c r="B165" s="139"/>
      <c r="C165" s="139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4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ht="14.25" customHeight="1" spans="1:32" x14ac:dyDescent="0.25">
      <c r="A166" s="139"/>
      <c r="B166" s="139"/>
      <c r="C166" s="139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4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ht="14.25" customHeight="1" spans="1:32" x14ac:dyDescent="0.25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4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ht="14.25" customHeight="1" spans="1:32" x14ac:dyDescent="0.25">
      <c r="A168" s="139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4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ht="14.25" customHeight="1" spans="1:32" x14ac:dyDescent="0.25">
      <c r="A169" s="139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4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ht="14.25" customHeight="1" spans="1:32" x14ac:dyDescent="0.25">
      <c r="A170" s="139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4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ht="14.25" customHeight="1" spans="1:32" x14ac:dyDescent="0.25">
      <c r="A171" s="139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4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ht="14.25" customHeight="1" spans="1:32" x14ac:dyDescent="0.25">
      <c r="A172" s="139"/>
      <c r="B172" s="139"/>
      <c r="C172" s="139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4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 ht="14.25" customHeight="1" spans="1:32" x14ac:dyDescent="0.25">
      <c r="A173" s="139"/>
      <c r="B173" s="139"/>
      <c r="C173" s="139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4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ht="14.25" customHeight="1" spans="1:32" x14ac:dyDescent="0.25">
      <c r="A174" s="139"/>
      <c r="B174" s="139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4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ht="14.25" customHeight="1" spans="1:32" x14ac:dyDescent="0.25">
      <c r="A175" s="139"/>
      <c r="B175" s="139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4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ht="14.25" customHeight="1" spans="1:32" x14ac:dyDescent="0.25">
      <c r="A176" s="139"/>
      <c r="B176" s="139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4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ht="14.25" customHeight="1" spans="1:32" x14ac:dyDescent="0.25">
      <c r="A177" s="139"/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4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ht="14.25" customHeight="1" spans="1:32" x14ac:dyDescent="0.25">
      <c r="A178" s="139"/>
      <c r="B178" s="139"/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4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ht="14.25" customHeight="1" spans="1:32" x14ac:dyDescent="0.25">
      <c r="A179" s="139"/>
      <c r="B179" s="139"/>
      <c r="C179" s="139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4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ht="14.25" customHeight="1" spans="1:32" x14ac:dyDescent="0.25">
      <c r="A180" s="139"/>
      <c r="B180" s="139"/>
      <c r="C180" s="139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4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 ht="14.25" customHeight="1" spans="1:32" x14ac:dyDescent="0.25">
      <c r="A181" s="139"/>
      <c r="B181" s="139"/>
      <c r="C181" s="139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4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 ht="14.25" customHeight="1" spans="1:32" x14ac:dyDescent="0.25">
      <c r="A182" s="139"/>
      <c r="B182" s="139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4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 ht="14.25" customHeight="1" spans="1:32" x14ac:dyDescent="0.25">
      <c r="A183" s="139"/>
      <c r="B183" s="139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4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 ht="14.25" customHeight="1" spans="1:32" x14ac:dyDescent="0.25">
      <c r="A184" s="139"/>
      <c r="B184" s="139"/>
      <c r="C184" s="139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4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ht="14.25" customHeight="1" spans="1:32" x14ac:dyDescent="0.25">
      <c r="A185" s="139"/>
      <c r="B185" s="139"/>
      <c r="C185" s="139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4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ht="14.25" customHeight="1" spans="1:32" x14ac:dyDescent="0.25">
      <c r="A186" s="139"/>
      <c r="B186" s="139"/>
      <c r="C186" s="139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4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ht="14.25" customHeight="1" spans="1:32" x14ac:dyDescent="0.25">
      <c r="A187" s="139"/>
      <c r="B187" s="139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4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 ht="14.25" customHeight="1" spans="1:32" x14ac:dyDescent="0.25">
      <c r="A188" s="139"/>
      <c r="B188" s="139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4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ht="14.25" customHeight="1" spans="1:32" x14ac:dyDescent="0.25">
      <c r="A189" s="139"/>
      <c r="B189" s="139"/>
      <c r="C189" s="139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4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ht="14.25" customHeight="1" spans="1:32" x14ac:dyDescent="0.25">
      <c r="A190" s="139"/>
      <c r="B190" s="139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4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ht="14.25" customHeight="1" spans="1:32" x14ac:dyDescent="0.25">
      <c r="A191" s="139"/>
      <c r="B191" s="139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4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ht="14.25" customHeight="1" spans="1:32" x14ac:dyDescent="0.25">
      <c r="A192" s="139"/>
      <c r="B192" s="139"/>
      <c r="C192" s="139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4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ht="14.25" customHeight="1" spans="1:32" x14ac:dyDescent="0.25">
      <c r="A193" s="139"/>
      <c r="B193" s="139"/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4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ht="14.25" customHeight="1" spans="1:32" x14ac:dyDescent="0.25">
      <c r="A194" s="139"/>
      <c r="B194" s="139"/>
      <c r="C194" s="139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4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ht="14.25" customHeight="1" spans="1:32" x14ac:dyDescent="0.25">
      <c r="A195" s="139"/>
      <c r="B195" s="139"/>
      <c r="C195" s="139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4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ht="14.25" customHeight="1" spans="1:32" x14ac:dyDescent="0.25">
      <c r="A196" s="139"/>
      <c r="B196" s="139"/>
      <c r="C196" s="139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4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ht="14.25" customHeight="1" spans="1:32" x14ac:dyDescent="0.25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4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ht="14.25" customHeight="1" spans="1:32" x14ac:dyDescent="0.25">
      <c r="A198" s="139"/>
      <c r="B198" s="139"/>
      <c r="C198" s="139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4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ht="14.25" customHeight="1" spans="1:32" x14ac:dyDescent="0.25">
      <c r="A199" s="139"/>
      <c r="B199" s="139"/>
      <c r="C199" s="139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4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ht="14.25" customHeight="1" spans="1:32" x14ac:dyDescent="0.25">
      <c r="A200" s="139"/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4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ht="14.25" customHeight="1" spans="1:32" x14ac:dyDescent="0.25">
      <c r="A201" s="139"/>
      <c r="B201" s="139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4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ht="14.25" customHeight="1" spans="1:32" x14ac:dyDescent="0.25">
      <c r="A202" s="139"/>
      <c r="B202" s="139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4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ht="14.25" customHeight="1" spans="1:32" x14ac:dyDescent="0.25">
      <c r="A203" s="139"/>
      <c r="B203" s="139"/>
      <c r="C203" s="139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4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ht="14.25" customHeight="1" spans="1:32" x14ac:dyDescent="0.25">
      <c r="A204" s="139"/>
      <c r="B204" s="139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4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ht="14.25" customHeight="1" spans="1:32" x14ac:dyDescent="0.25">
      <c r="A205" s="139"/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4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ht="14.25" customHeight="1" spans="1:32" x14ac:dyDescent="0.25">
      <c r="A206" s="139"/>
      <c r="B206" s="139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4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ht="14.25" customHeight="1" spans="1:32" x14ac:dyDescent="0.25">
      <c r="A207" s="139"/>
      <c r="B207" s="139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4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ht="14.25" customHeight="1" spans="1:32" x14ac:dyDescent="0.25">
      <c r="A208" s="139"/>
      <c r="B208" s="139"/>
      <c r="C208" s="139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4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ht="14.25" customHeight="1" spans="1:32" x14ac:dyDescent="0.25">
      <c r="A209" s="139"/>
      <c r="B209" s="139"/>
      <c r="C209" s="139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4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ht="14.25" customHeight="1" spans="1:32" x14ac:dyDescent="0.25">
      <c r="A210" s="139"/>
      <c r="B210" s="139"/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4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ht="14.25" customHeight="1" spans="1:32" x14ac:dyDescent="0.25">
      <c r="A211" s="139"/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4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ht="14.25" customHeight="1" spans="1:32" x14ac:dyDescent="0.25">
      <c r="A212" s="139"/>
      <c r="B212" s="139"/>
      <c r="C212" s="139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4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ht="14.25" customHeight="1" spans="1:32" x14ac:dyDescent="0.25">
      <c r="A213" s="139"/>
      <c r="B213" s="139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4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ht="14.25" customHeight="1" spans="1:32" x14ac:dyDescent="0.25">
      <c r="A214" s="139"/>
      <c r="B214" s="139"/>
      <c r="C214" s="139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4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ht="14.25" customHeight="1" spans="1:32" x14ac:dyDescent="0.25">
      <c r="A215" s="139"/>
      <c r="B215" s="139"/>
      <c r="C215" s="139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4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ht="14.25" customHeight="1" spans="1:32" x14ac:dyDescent="0.25">
      <c r="A216" s="139"/>
      <c r="B216" s="139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4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ht="14.25" customHeight="1" spans="1:32" x14ac:dyDescent="0.25">
      <c r="A217" s="139"/>
      <c r="B217" s="139"/>
      <c r="C217" s="139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4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ht="14.25" customHeight="1" spans="1:32" x14ac:dyDescent="0.25">
      <c r="A218" s="139"/>
      <c r="B218" s="139"/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4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ht="14.25" customHeight="1" spans="1:32" x14ac:dyDescent="0.25">
      <c r="A219" s="139"/>
      <c r="B219" s="139"/>
      <c r="C219" s="139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4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ht="14.25" customHeight="1" spans="1:32" x14ac:dyDescent="0.25">
      <c r="A220" s="139"/>
      <c r="B220" s="139"/>
      <c r="C220" s="139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4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ht="14.25" customHeight="1" spans="1:32" x14ac:dyDescent="0.25">
      <c r="A221" s="139"/>
      <c r="B221" s="139"/>
      <c r="C221" s="139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4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 ht="14.25" customHeight="1" spans="1:32" x14ac:dyDescent="0.25">
      <c r="A222" s="139"/>
      <c r="B222" s="139"/>
      <c r="C222" s="139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4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 ht="14.25" customHeight="1" spans="1:32" x14ac:dyDescent="0.25">
      <c r="A223" s="139"/>
      <c r="B223" s="139"/>
      <c r="C223" s="139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4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 ht="14.25" customHeight="1" spans="1:32" x14ac:dyDescent="0.25">
      <c r="A224" s="139"/>
      <c r="B224" s="139"/>
      <c r="C224" s="139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4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 ht="14.25" customHeight="1" spans="1:32" x14ac:dyDescent="0.25">
      <c r="A225" s="139"/>
      <c r="B225" s="139"/>
      <c r="C225" s="139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4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 ht="14.25" customHeight="1" spans="1:32" x14ac:dyDescent="0.25">
      <c r="A226" s="139"/>
      <c r="B226" s="139"/>
      <c r="C226" s="139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4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 ht="14.25" customHeight="1" spans="1:32" x14ac:dyDescent="0.25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4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 ht="14.25" customHeight="1" spans="1:32" x14ac:dyDescent="0.25">
      <c r="A228" s="139"/>
      <c r="B228" s="139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4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ht="14.25" customHeight="1" spans="1:32" x14ac:dyDescent="0.25">
      <c r="A229" s="139"/>
      <c r="B229" s="139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4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ht="14.25" customHeight="1" spans="1:32" x14ac:dyDescent="0.25">
      <c r="A230" s="139"/>
      <c r="B230" s="13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4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ht="14.25" customHeight="1" spans="1:32" x14ac:dyDescent="0.25">
      <c r="A231" s="139"/>
      <c r="B231" s="139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4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ht="14.25" customHeight="1" spans="1:32" x14ac:dyDescent="0.25">
      <c r="A232" s="139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4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ht="14.25" customHeight="1" spans="1:32" x14ac:dyDescent="0.25">
      <c r="A233" s="139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4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ht="14.25" customHeight="1" spans="1:32" x14ac:dyDescent="0.25">
      <c r="A234" s="139"/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4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ht="14.25" customHeight="1" spans="1:32" x14ac:dyDescent="0.25">
      <c r="A235" s="139"/>
      <c r="B235" s="139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4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 ht="14.25" customHeight="1" spans="1:32" x14ac:dyDescent="0.25">
      <c r="A236" s="139"/>
      <c r="B236" s="139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4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 ht="14.25" customHeight="1" spans="1:32" x14ac:dyDescent="0.25">
      <c r="A237" s="139"/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4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 ht="14.25" customHeight="1" spans="1:32" x14ac:dyDescent="0.25">
      <c r="A238" s="139"/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4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 ht="14.25" customHeight="1" spans="1:32" x14ac:dyDescent="0.25">
      <c r="A239" s="139"/>
      <c r="B239" s="139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4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 ht="14.25" customHeight="1" spans="1:32" x14ac:dyDescent="0.25">
      <c r="A240" s="139"/>
      <c r="B240" s="139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4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 ht="14.25" customHeight="1" spans="1:32" x14ac:dyDescent="0.25">
      <c r="A241" s="139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4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 ht="14.25" customHeight="1" spans="1:32" x14ac:dyDescent="0.25">
      <c r="A242" s="139"/>
      <c r="B242" s="139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4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 ht="14.25" customHeight="1" spans="1:32" x14ac:dyDescent="0.25">
      <c r="A243" s="139"/>
      <c r="B243" s="139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4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 ht="14.25" customHeight="1" spans="1:32" x14ac:dyDescent="0.25">
      <c r="A244" s="139"/>
      <c r="B244" s="139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4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ht="14.25" customHeight="1" spans="1:32" x14ac:dyDescent="0.25">
      <c r="A245" s="139"/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4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ht="14.25" customHeight="1" spans="1:32" x14ac:dyDescent="0.25">
      <c r="A246" s="139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4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ht="14.25" customHeight="1" spans="1:32" x14ac:dyDescent="0.25">
      <c r="A247" s="139"/>
      <c r="B247" s="139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4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 ht="14.25" customHeight="1" spans="1:32" x14ac:dyDescent="0.25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4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ht="14.25" customHeight="1" spans="1:32" x14ac:dyDescent="0.25">
      <c r="A249" s="139"/>
      <c r="B249" s="139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4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 ht="14.25" customHeight="1" spans="1:32" x14ac:dyDescent="0.25">
      <c r="A250" s="139"/>
      <c r="B250" s="139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4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 ht="14.25" customHeight="1" spans="1:32" x14ac:dyDescent="0.25">
      <c r="A251" s="139"/>
      <c r="B251" s="139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4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 ht="14.25" customHeight="1" spans="1:32" x14ac:dyDescent="0.25">
      <c r="A252" s="139"/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4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ht="14.25" customHeight="1" spans="1:32" x14ac:dyDescent="0.25">
      <c r="A253" s="139"/>
      <c r="B253" s="139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4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ht="14.25" customHeight="1" spans="1:32" x14ac:dyDescent="0.25">
      <c r="A254" s="139"/>
      <c r="B254" s="139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4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 ht="14.25" customHeight="1" spans="1:32" x14ac:dyDescent="0.25">
      <c r="A255" s="139"/>
      <c r="B255" s="139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4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 ht="14.25" customHeight="1" spans="1:32" x14ac:dyDescent="0.25">
      <c r="A256" s="139"/>
      <c r="B256" s="139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4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 ht="14.25" customHeight="1" spans="1:32" x14ac:dyDescent="0.25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4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 ht="14.25" customHeight="1" spans="1:32" x14ac:dyDescent="0.25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4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 ht="14.25" customHeight="1" spans="1:32" x14ac:dyDescent="0.25">
      <c r="A259" s="139"/>
      <c r="B259" s="139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4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 ht="14.25" customHeight="1" spans="1:32" x14ac:dyDescent="0.25">
      <c r="A260" s="139"/>
      <c r="B260" s="139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4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 ht="14.25" customHeight="1" spans="1:32" x14ac:dyDescent="0.25">
      <c r="A261" s="139"/>
      <c r="B261" s="139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4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 ht="14.25" customHeight="1" spans="1:32" x14ac:dyDescent="0.25">
      <c r="A262" s="139"/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4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 ht="14.25" customHeight="1" spans="1:32" x14ac:dyDescent="0.25">
      <c r="A263" s="139"/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4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 ht="14.25" customHeight="1" spans="1:32" x14ac:dyDescent="0.25">
      <c r="A264" s="139"/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4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 ht="14.25" customHeight="1" spans="1:32" x14ac:dyDescent="0.25">
      <c r="A265" s="139"/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4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 ht="14.25" customHeight="1" spans="1:32" x14ac:dyDescent="0.25">
      <c r="A266" s="139"/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4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 ht="14.25" customHeight="1" spans="1:32" x14ac:dyDescent="0.25">
      <c r="A267" s="139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4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 ht="14.25" customHeight="1" spans="1:32" x14ac:dyDescent="0.25">
      <c r="A268" s="139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4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 ht="14.25" customHeight="1" spans="1:32" x14ac:dyDescent="0.25">
      <c r="A269" s="139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4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ht="14.25" customHeight="1" spans="1:32" x14ac:dyDescent="0.25">
      <c r="A270" s="139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4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 ht="14.25" customHeight="1" spans="1:32" x14ac:dyDescent="0.25">
      <c r="A271" s="139"/>
      <c r="B271" s="139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4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 ht="14.25" customHeight="1" spans="1:32" x14ac:dyDescent="0.25">
      <c r="A272" s="139"/>
      <c r="B272" s="139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4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 ht="14.25" customHeight="1" spans="1:32" x14ac:dyDescent="0.25">
      <c r="A273" s="139"/>
      <c r="B273" s="139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4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 ht="14.25" customHeight="1" spans="1:32" x14ac:dyDescent="0.25">
      <c r="A274" s="139"/>
      <c r="B274" s="139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4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 ht="14.25" customHeight="1" spans="1:32" x14ac:dyDescent="0.25">
      <c r="A275" s="139"/>
      <c r="B275" s="139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4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 ht="14.25" customHeight="1" spans="1:32" x14ac:dyDescent="0.25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4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 ht="14.25" customHeight="1" spans="1:32" x14ac:dyDescent="0.25">
      <c r="A277" s="139"/>
      <c r="B277" s="139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4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 ht="14.25" customHeight="1" spans="1:32" x14ac:dyDescent="0.25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4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 ht="14.25" customHeight="1" spans="1:32" x14ac:dyDescent="0.25">
      <c r="A279" s="139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4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 ht="14.25" customHeight="1" spans="1:32" x14ac:dyDescent="0.25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4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 ht="14.25" customHeight="1" spans="1:32" x14ac:dyDescent="0.25">
      <c r="A281" s="139"/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4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 ht="14.25" customHeight="1" spans="1:32" x14ac:dyDescent="0.25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4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 ht="14.25" customHeight="1" spans="1:32" x14ac:dyDescent="0.25">
      <c r="A283" s="139"/>
      <c r="B283" s="139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4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 ht="14.25" customHeight="1" spans="1:32" x14ac:dyDescent="0.25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4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 ht="14.25" customHeight="1" spans="1:32" x14ac:dyDescent="0.25">
      <c r="A285" s="139"/>
      <c r="B285" s="139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4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 ht="14.25" customHeight="1" spans="1:32" x14ac:dyDescent="0.25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4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 ht="14.25" customHeight="1" spans="1:32" x14ac:dyDescent="0.25">
      <c r="A287" s="139"/>
      <c r="B287" s="139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4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 ht="14.25" customHeight="1" spans="1:32" x14ac:dyDescent="0.25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4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 ht="14.25" customHeight="1" spans="1:32" x14ac:dyDescent="0.25">
      <c r="A289" s="139"/>
      <c r="B289" s="139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4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 ht="14.25" customHeight="1" spans="1:32" x14ac:dyDescent="0.25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4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 ht="14.25" customHeight="1" spans="1:32" x14ac:dyDescent="0.25">
      <c r="A291" s="139"/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4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ht="14.25" customHeight="1" spans="1:32" x14ac:dyDescent="0.25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4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ht="14.25" customHeight="1" spans="1:32" x14ac:dyDescent="0.25">
      <c r="A293" s="139"/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4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 ht="14.25" customHeight="1" spans="1:32" x14ac:dyDescent="0.25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4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 ht="14.25" customHeight="1" spans="1:32" x14ac:dyDescent="0.25">
      <c r="A295" s="139"/>
      <c r="B295" s="139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4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ht="14.25" customHeight="1" spans="1:32" x14ac:dyDescent="0.25">
      <c r="A296" s="139"/>
      <c r="B296" s="139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4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 ht="14.25" customHeight="1" spans="1:32" x14ac:dyDescent="0.25">
      <c r="A297" s="139"/>
      <c r="B297" s="139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4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 ht="14.25" customHeight="1" spans="1:32" x14ac:dyDescent="0.25">
      <c r="A298" s="139"/>
      <c r="B298" s="139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4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 ht="15.75" customHeight="1" spans="8:12" x14ac:dyDescent="0.25">
      <c r="H299" s="139"/>
      <c r="I299" s="139"/>
      <c r="J299" s="139"/>
      <c r="K299" s="139"/>
      <c r="L299" s="139"/>
    </row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B1:C1"/>
    <mergeCell ref="E1:F1"/>
    <mergeCell ref="J1:K1"/>
    <mergeCell ref="J2:K2"/>
    <mergeCell ref="J3:K3"/>
    <mergeCell ref="A27:F27"/>
    <mergeCell ref="H35:I35"/>
    <mergeCell ref="J35:K35"/>
    <mergeCell ref="G35:G37"/>
    <mergeCell ref="H36:H38"/>
    <mergeCell ref="I36:I38"/>
    <mergeCell ref="L36:L38"/>
    <mergeCell ref="A49:F49"/>
    <mergeCell ref="H52:K52"/>
    <mergeCell ref="H53:K53"/>
    <mergeCell ref="H54:I55"/>
  </mergeCells>
  <dataValidations count="1">
    <dataValidation type="list" allowBlank="1" showErrorMessage="1" sqref="R39 R58 R77 R96 R115 R133 R151">
      <formula1>"OD,CC,Current"</formula1>
    </dataValidation>
  </dataValidation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9"/>
  <sheetViews>
    <sheetView workbookViewId="0" showGridLines="0" zoomScale="100" zoomScaleNormal="100"/>
  </sheetViews>
  <sheetFormatPr defaultRowHeight="15" outlineLevelRow="0" outlineLevelCol="0" x14ac:dyDescent="0"/>
  <cols>
    <col min="1" max="1" width="3.14" customWidth="1"/>
    <col min="2" max="2" width="8.57" customWidth="1"/>
    <col min="3" max="3" width="12.43" customWidth="1"/>
    <col min="4" max="4" width="11.14" customWidth="1"/>
    <col min="5" max="5" width="13.57" customWidth="1"/>
    <col min="6" max="6" width="14.86" customWidth="1"/>
    <col min="7" max="7" width="7.14" customWidth="1"/>
    <col min="8" max="8" width="8.86" customWidth="1"/>
    <col min="9" max="9" width="10.43" customWidth="1"/>
    <col min="10" max="10" width="17.86" customWidth="1"/>
    <col min="11" max="11" width="13.71" customWidth="1"/>
    <col min="12" max="12" width="13.43" customWidth="1"/>
    <col min="13" max="13" width="16.29" customWidth="1"/>
    <col min="14" max="14" width="17.86" customWidth="1"/>
    <col min="15" max="15" width="10.57" customWidth="1"/>
    <col min="16" max="16" width="17" customWidth="1"/>
    <col min="17" max="17" width="12.57" customWidth="1"/>
    <col min="18" max="18" width="16.14" customWidth="1"/>
    <col min="19" max="19" width="11.14" customWidth="1"/>
    <col min="20" max="20" width="12" customWidth="1"/>
    <col min="21" max="21" width="12.71" customWidth="1"/>
    <col min="22" max="23" width="13.86" customWidth="1"/>
    <col min="24" max="24" width="7" customWidth="1"/>
    <col min="25" max="34" width="8.71" customWidth="1"/>
  </cols>
  <sheetData>
    <row r="1" ht="12.75" customHeight="1" x14ac:dyDescent="0.25"/>
    <row r="2" ht="12.75" customHeight="1" spans="2:46" x14ac:dyDescent="0.25">
      <c r="B2" s="141" t="s">
        <v>145</v>
      </c>
      <c r="C2" s="141"/>
      <c r="D2" s="141"/>
      <c r="E2" s="141"/>
      <c r="F2" s="141"/>
      <c r="G2" s="141"/>
      <c r="H2" s="141"/>
      <c r="AJ2" s="142" t="s">
        <v>146</v>
      </c>
      <c r="AK2" s="142"/>
      <c r="AL2" s="142"/>
      <c r="AM2" s="142"/>
      <c r="AN2" s="142"/>
      <c r="AO2" s="142"/>
      <c r="AP2" s="142"/>
      <c r="AQ2" s="142"/>
      <c r="AR2" s="142"/>
      <c r="AS2" s="142"/>
      <c r="AT2" s="142"/>
    </row>
    <row r="3" ht="12.75" customHeight="1" spans="2:8" x14ac:dyDescent="0.25">
      <c r="B3" s="143" t="s">
        <v>147</v>
      </c>
      <c r="C3" s="144" t="s">
        <v>148</v>
      </c>
      <c r="D3" s="144" t="s">
        <v>149</v>
      </c>
      <c r="E3" s="144" t="s">
        <v>150</v>
      </c>
      <c r="F3" s="144" t="s">
        <v>151</v>
      </c>
      <c r="G3" s="144" t="s">
        <v>152</v>
      </c>
      <c r="H3" s="144" t="s">
        <v>153</v>
      </c>
    </row>
    <row r="4" ht="12.75" customHeight="1" spans="2:46" x14ac:dyDescent="0.25">
      <c r="B4" s="145">
        <v>42964</v>
      </c>
      <c r="C4" s="146">
        <f t="shared" ref="C4:C35" si="0">SUMIFS($K$10:$K$41,$J$10:$J$41,B4)+SUMIFS($K$54:$K$85,$J$54:$J$85,B4)+SUMIFS($K$98:$K$129,$J$98:$J$129,B4)+SUMIFS($K$142:$K$173,$J$142:$J$173,B4)+SUMIFS($K$186:$K$217,$J$186:$J$217,B4)+SUMIFS($K$230:$K$261,$J$230:$J$261,B4)+SUMIFS($K$274:$K$305,$J$274:$J$305,B4)+SUMIFS($K$318:$K$349,$J$318:$J$349,B4)+SUMIFS($K$362:$K$393,$J$362:$J$393,B4)+SUMIFS($K$406:$K$437,$J$406:$J$437,B4)</f>
        <v>0</v>
      </c>
      <c r="D4" s="146">
        <f t="shared" ref="D4:D35" si="1">SUMIFS($L$10:$L$41,$J$10:$J$41,B4)+SUMIFS($L$54:$L$85,$J$54:$J$85,B4)+SUMIFS($L$98:$L$129,$J$98:$J$129,B4)+SUMIFS($L$142:$L$173,$J$142:$J$173,B4)+SUMIFS($L$186:$L$217,$J$186:$J$217,B4)+SUMIFS($L$230:$L$261,$J$230:$J$261,B4)+SUMIFS($L$274:$L$305,$J$274:$J$305,B4)+SUMIFS($L$318:$L$349,$J$318:$J$349,B4)+SUMIFS($L$362:$L$393,$J$362:$J$393,B4)+SUMIFS($L$406:$L$437,$J$406:$J$437,B4)</f>
        <v>0</v>
      </c>
      <c r="E4" s="147">
        <f t="shared" ref="E4:E35" si="2">SUMIFS($Q$10:$Q$41,$J$10:$J$41,B4)+SUMIFS($Q$54:$Q$85,$J$54:$J$85,B4)+SUMIFS($Q$98:$Q$129,$J$98:$J$129,B4)+SUMIFS($Q$142:$Q$173,$J$142:$J$173,B4)+SUMIFS($Q$186:$Q$217,$J$186:$J$217,B4)+SUMIFS($Q$230:$Q$261,$J$230:$J$261,B4)+SUMIFS($Q$274:$Q$305,$J$274:$J$305,B4)+SUMIFS($Q$318:$Q$349,$J$318:$J$349,B4)+SUMIFS($Q$362:$Q$393,$J$362:$J$393,B4)+SUMIFS($Q$406:$Q$437,$J$406:$J$437,B4)</f>
        <v>0</v>
      </c>
      <c r="F4" s="147">
        <f t="shared" ref="F4:F35" si="3">SUMIFS($R$10:$R$41,$J$10:$J$41,B4)+SUMIFS($R$54:$R$85,$J$54:$J$85,B4)+SUMIFS($R$98:$R$129,$J$98:$J$129,B4)+SUMIFS($R$142:$R$173,$J$142:$J$173,B4)+SUMIFS($R$186:$R$217,$J$186:$J$217,B4)+SUMIFS($R$230:$R$261,$J$230:$J$261,B4)+SUMIFS($R$274:$R$305,$J$274:$J$305,B4)+SUMIFS($R$318:$R$349,$J$318:$J$349,B4)+SUMIFS($R$362:$R$393,$J$362:$J$393,B4)+SUMIFS($R$406:$R$437,$J$406:$J$437,B4)</f>
        <v>0</v>
      </c>
      <c r="G4" s="147">
        <f t="shared" ref="G4:G35" si="4">SUMIFS($S$10:$S$41,$J$10:$J$41,B4)+SUMIFS($S$54:$S$85,$J$54:$J$85,B4)+SUMIFS($S$98:$S$129,$J$98:$J$129,B4)+SUMIFS($S$142:$S$173,$J$142:$J$173,B4)+SUMIFS($S$186:$S$217,$J$186:$J$217,B4)+SUMIFS($S$230:$S$261,$J$230:$J$261,B4)+SUMIFS($S$274:$S$305,$J$274:$J$305,B4)+SUMIFS($S$318:$S$349,$J$318:$J$349,B4)+SUMIFS($S$362:$S$393,$J$362:$J$393,B4)+SUMIFS($S$406:$S$437,$J$406:$J$437,B4)</f>
        <v>0</v>
      </c>
      <c r="H4" s="147">
        <f t="shared" ref="H4:H35" si="5">SUMIFS($T$10:$T$41,$J$10:$J$41,B4)+SUMIFS($T$54:$T$85,$J$54:$J$85,B4)+SUMIFS($T$98:$T$129,$J$98:$J$129,B4)+SUMIFS($T$142:$T$173,$J$142:$J$173,B4)+SUMIFS($T$186:$T$217,$J$186:$J$217,B4)+SUMIFS($T$230:$T$261,$J$230:$J$261,B4)+SUMIFS($T$274:$T$305,$J$274:$J$305,B4)+SUMIFS($T$318:$T$349,$J$318:$J$349,B4)+SUMIFS($T$362:$T$393,$J$362:$J$393,B4)+SUMIFS($T$406:$T$437,$J$406:$J$437,B4)</f>
        <v>0</v>
      </c>
      <c r="AH4" s="148">
        <f t="shared" ref="AH4:AH35" si="6">C4+D4</f>
        <v>0</v>
      </c>
      <c r="AJ4" s="149" t="s">
        <v>154</v>
      </c>
      <c r="AK4" s="150" t="str">
        <f>CONCATENATE($J$8,"(",RIGHT($R$8,5),")")</f>
        <v>Axis(57966)</v>
      </c>
      <c r="AL4" s="150" t="str">
        <f>CONCATENATE($J$52,"(",RIGHT($R$52,5),")")</f>
        <v>IDBI(4856)</v>
      </c>
      <c r="AM4" s="150" t="str">
        <f>CONCATENATE($J$96,"(",RIGHT($R$96,5),")")</f>
        <v>SBI(21784)</v>
      </c>
      <c r="AN4" s="150" t="str">
        <f>CONCATENATE($J$140,"(",RIGHT($R$140,5),")")</f>
        <v>Syndicate Bank(21784)</v>
      </c>
      <c r="AO4" s="150" t="str">
        <f>CONCATENATE($J$184,"(",RIGHT($R$184,5),")")</f>
        <v>()</v>
      </c>
      <c r="AP4" s="150" t="str">
        <f>CONCATENATE($J$228,"(",RIGHT($R$228,5),")")</f>
        <v>()</v>
      </c>
      <c r="AQ4" s="150" t="str">
        <f>CONCATENATE($J$272,"(",RIGHT($R$272,5),")")</f>
        <v>()</v>
      </c>
      <c r="AR4" s="150" t="str">
        <f>CONCATENATE($J$316,"(",RIGHT($R$316,5),")")</f>
        <v>()</v>
      </c>
      <c r="AS4" s="150" t="str">
        <f>CONCATENATE($J$360,"(",RIGHT($R$360,5),")")</f>
        <v>()</v>
      </c>
      <c r="AT4" s="151" t="str">
        <f>CONCATENATE($J$404,"(",RIGHT($R$404,5),")")</f>
        <v>()</v>
      </c>
    </row>
    <row r="5" ht="12.75" customHeight="1" spans="2:46" x14ac:dyDescent="0.25">
      <c r="B5" s="145">
        <v>42995</v>
      </c>
      <c r="C5" s="146">
        <f t="shared" si="0"/>
        <v>0</v>
      </c>
      <c r="D5" s="146">
        <f t="shared" si="1"/>
        <v>0</v>
      </c>
      <c r="E5" s="147">
        <f t="shared" si="2"/>
        <v>0</v>
      </c>
      <c r="F5" s="147">
        <f t="shared" si="3"/>
        <v>0</v>
      </c>
      <c r="G5" s="147">
        <f t="shared" si="4"/>
        <v>0</v>
      </c>
      <c r="H5" s="147">
        <f t="shared" si="5"/>
        <v>0</v>
      </c>
      <c r="N5" s="152"/>
      <c r="Q5" s="153"/>
      <c r="AH5" s="148">
        <f t="shared" si="6"/>
        <v>0</v>
      </c>
      <c r="AJ5" s="154">
        <v>42964</v>
      </c>
      <c r="AK5" s="155">
        <f>VLOOKUP(AJ5,$J$10:$K$41,2,0)</f>
      </c>
      <c r="AL5" s="155">
        <f t="shared" ref="AL5:AL36" si="7">VLOOKUP(AJ5,$J$54:$K$85,2,FALSE)</f>
      </c>
      <c r="AM5" s="155">
        <f t="shared" ref="AM5:AM36" si="8">VLOOKUP(AJ5,$J$98:$K$129,2,FALSE)</f>
      </c>
      <c r="AN5" s="155">
        <f t="shared" ref="AN5:AN36" si="9">VLOOKUP(AJ5,$J$142:$K$173,2,FALSE)</f>
      </c>
      <c r="AO5" s="155">
        <f t="shared" ref="AO5:AO36" si="10">VLOOKUP(AJ5,$J$186:$K$217,2,FALSE)</f>
      </c>
      <c r="AP5" s="155">
        <f t="shared" ref="AP5:AP36" si="11">VLOOKUP(AJ5,$J$230:$K$261,2,FALSE)</f>
      </c>
      <c r="AQ5" s="155">
        <f t="shared" ref="AQ5:AQ36" si="12">VLOOKUP(AJ5,$J$274:$K$305,2,FALSE)</f>
      </c>
      <c r="AR5" s="155">
        <f t="shared" ref="AR5:AR36" si="13">VLOOKUP(AJ5,$J$318:$K$349,2,FALSE)</f>
      </c>
      <c r="AS5" s="155">
        <f t="shared" ref="AS5:AS36" si="14">VLOOKUP(AJ5,$J$362:$K$393,2,FALSE)</f>
      </c>
      <c r="AT5" s="156">
        <f t="shared" ref="AT5:AT36" si="15">VLOOKUP(AJ5,$J$406:$K$437,2,FALSE)</f>
      </c>
    </row>
    <row r="6" ht="12.75" customHeight="1" spans="2:46" x14ac:dyDescent="0.25">
      <c r="B6" s="145">
        <v>43025</v>
      </c>
      <c r="C6" s="146">
        <f t="shared" si="0"/>
        <v>0</v>
      </c>
      <c r="D6" s="146">
        <f t="shared" si="1"/>
        <v>0</v>
      </c>
      <c r="E6" s="147">
        <f t="shared" si="2"/>
        <v>0</v>
      </c>
      <c r="F6" s="147">
        <f t="shared" si="3"/>
        <v>0</v>
      </c>
      <c r="G6" s="147">
        <f t="shared" si="4"/>
        <v>0</v>
      </c>
      <c r="H6" s="147">
        <f t="shared" si="5"/>
        <v>0</v>
      </c>
      <c r="W6" s="107"/>
      <c r="X6" s="107"/>
      <c r="AH6" s="148">
        <f t="shared" si="6"/>
        <v>0</v>
      </c>
      <c r="AJ6" s="157">
        <v>42995</v>
      </c>
      <c r="AK6" s="155">
        <f t="shared" ref="AK6:AK36" si="16">VLOOKUP(AJ6,$J$10:$K$41,2,FALSE)</f>
      </c>
      <c r="AL6" s="155">
        <f t="shared" si="7"/>
      </c>
      <c r="AM6" s="155">
        <f t="shared" si="8"/>
      </c>
      <c r="AN6" s="155">
        <f t="shared" si="9"/>
      </c>
      <c r="AO6" s="155">
        <f t="shared" si="10"/>
      </c>
      <c r="AP6" s="155">
        <f t="shared" si="11"/>
      </c>
      <c r="AQ6" s="155">
        <f t="shared" si="12"/>
      </c>
      <c r="AR6" s="155">
        <f t="shared" si="13"/>
      </c>
      <c r="AS6" s="155">
        <f t="shared" si="14"/>
      </c>
      <c r="AT6" s="156">
        <f t="shared" si="15"/>
      </c>
    </row>
    <row r="7" ht="12.75" customHeight="1" spans="2:46" x14ac:dyDescent="0.25">
      <c r="B7" s="145">
        <v>43056</v>
      </c>
      <c r="C7" s="146">
        <f t="shared" si="0"/>
        <v>0</v>
      </c>
      <c r="D7" s="146">
        <f t="shared" si="1"/>
        <v>0</v>
      </c>
      <c r="E7" s="147">
        <f t="shared" si="2"/>
        <v>0</v>
      </c>
      <c r="F7" s="147">
        <f t="shared" si="3"/>
        <v>0</v>
      </c>
      <c r="G7" s="147">
        <f t="shared" si="4"/>
        <v>0</v>
      </c>
      <c r="H7" s="147">
        <f t="shared" si="5"/>
        <v>0</v>
      </c>
      <c r="J7" s="158" t="s">
        <v>155</v>
      </c>
      <c r="K7" s="159"/>
      <c r="L7" s="158" t="s">
        <v>156</v>
      </c>
      <c r="M7" s="160" t="s">
        <v>157</v>
      </c>
      <c r="N7" s="160" t="s">
        <v>158</v>
      </c>
      <c r="O7" s="160" t="s">
        <v>159</v>
      </c>
      <c r="P7" s="161" t="s">
        <v>160</v>
      </c>
      <c r="Q7" s="161" t="s">
        <v>161</v>
      </c>
      <c r="R7" s="162" t="s">
        <v>162</v>
      </c>
      <c r="S7" s="163"/>
      <c r="T7" s="164" t="s">
        <v>163</v>
      </c>
      <c r="U7" s="163"/>
      <c r="X7" s="107"/>
      <c r="AH7" s="148">
        <f t="shared" si="6"/>
        <v>0</v>
      </c>
      <c r="AJ7" s="157">
        <v>43025</v>
      </c>
      <c r="AK7" s="155">
        <f t="shared" si="16"/>
      </c>
      <c r="AL7" s="155">
        <f t="shared" si="7"/>
      </c>
      <c r="AM7" s="155">
        <f t="shared" si="8"/>
      </c>
      <c r="AN7" s="155">
        <f t="shared" si="9"/>
      </c>
      <c r="AO7" s="155">
        <f t="shared" si="10"/>
      </c>
      <c r="AP7" s="155">
        <f t="shared" si="11"/>
      </c>
      <c r="AQ7" s="155">
        <f t="shared" si="12"/>
      </c>
      <c r="AR7" s="155">
        <f t="shared" si="13"/>
      </c>
      <c r="AS7" s="155">
        <f t="shared" si="14"/>
      </c>
      <c r="AT7" s="156">
        <f t="shared" si="15"/>
      </c>
    </row>
    <row r="8" ht="12.75" customHeight="1" spans="2:46" x14ac:dyDescent="0.25">
      <c r="B8" s="145">
        <v>43086</v>
      </c>
      <c r="C8" s="146">
        <f t="shared" si="0"/>
        <v>0</v>
      </c>
      <c r="D8" s="146">
        <f t="shared" si="1"/>
        <v>0</v>
      </c>
      <c r="E8" s="147">
        <f t="shared" si="2"/>
        <v>0</v>
      </c>
      <c r="F8" s="147">
        <f t="shared" si="3"/>
        <v>0</v>
      </c>
      <c r="G8" s="147">
        <f t="shared" si="4"/>
        <v>0</v>
      </c>
      <c r="H8" s="147">
        <f t="shared" si="5"/>
        <v>0</v>
      </c>
      <c r="J8" s="165" t="s">
        <v>164</v>
      </c>
      <c r="K8" s="166"/>
      <c r="L8" s="167" t="s">
        <v>165</v>
      </c>
      <c r="M8" s="168">
        <v>43101</v>
      </c>
      <c r="N8" s="168">
        <v>43373</v>
      </c>
      <c r="O8" s="169">
        <f>IFERROR(IF(OR((R8=""),(N8=""),(M8="")),"",DAYS(N8,M8))+1,"")</f>
        <v>273</v>
      </c>
      <c r="P8" s="170">
        <v>250</v>
      </c>
      <c r="Q8" s="170"/>
      <c r="R8" s="171" t="s">
        <v>166</v>
      </c>
      <c r="S8" s="166"/>
      <c r="T8" s="166" t="s">
        <v>167</v>
      </c>
      <c r="U8" s="166"/>
      <c r="V8" s="172"/>
      <c r="W8" s="173"/>
      <c r="X8" s="173"/>
      <c r="AH8" s="148">
        <f t="shared" si="6"/>
        <v>0</v>
      </c>
      <c r="AJ8" s="157">
        <v>43056</v>
      </c>
      <c r="AK8" s="155">
        <f t="shared" si="16"/>
      </c>
      <c r="AL8" s="155">
        <f t="shared" si="7"/>
      </c>
      <c r="AM8" s="155">
        <f t="shared" si="8"/>
      </c>
      <c r="AN8" s="155">
        <f t="shared" si="9"/>
      </c>
      <c r="AO8" s="155">
        <f t="shared" si="10"/>
      </c>
      <c r="AP8" s="155">
        <f t="shared" si="11"/>
      </c>
      <c r="AQ8" s="155">
        <f t="shared" si="12"/>
      </c>
      <c r="AR8" s="155">
        <f t="shared" si="13"/>
      </c>
      <c r="AS8" s="155">
        <f t="shared" si="14"/>
      </c>
      <c r="AT8" s="156">
        <f t="shared" si="15"/>
      </c>
    </row>
    <row r="9" ht="12.75" customHeight="1" spans="2:46" x14ac:dyDescent="0.25">
      <c r="B9" s="145">
        <v>43118</v>
      </c>
      <c r="C9" s="146">
        <f t="shared" si="0"/>
        <v>5.22776</v>
      </c>
      <c r="D9" s="146">
        <f t="shared" si="1"/>
        <v>78.1091343</v>
      </c>
      <c r="E9" s="147">
        <f t="shared" si="2"/>
        <v>250</v>
      </c>
      <c r="F9" s="147">
        <f t="shared" si="3"/>
        <v>2</v>
      </c>
      <c r="G9" s="147">
        <f t="shared" si="4"/>
        <v>0</v>
      </c>
      <c r="H9" s="147">
        <f t="shared" si="5"/>
        <v>0</v>
      </c>
      <c r="J9" s="174" t="s">
        <v>168</v>
      </c>
      <c r="K9" s="12" t="s">
        <v>169</v>
      </c>
      <c r="L9" s="12" t="s">
        <v>170</v>
      </c>
      <c r="M9" s="12" t="s">
        <v>171</v>
      </c>
      <c r="N9" s="12" t="s">
        <v>172</v>
      </c>
      <c r="O9" s="12" t="s">
        <v>173</v>
      </c>
      <c r="P9" s="12" t="s">
        <v>174</v>
      </c>
      <c r="Q9" s="12" t="s">
        <v>175</v>
      </c>
      <c r="R9" s="12" t="s">
        <v>176</v>
      </c>
      <c r="S9" s="12" t="s">
        <v>177</v>
      </c>
      <c r="T9" s="12" t="s">
        <v>178</v>
      </c>
      <c r="U9" s="12" t="s">
        <v>179</v>
      </c>
      <c r="V9" s="175" t="s">
        <v>180</v>
      </c>
      <c r="W9" s="175" t="s">
        <v>181</v>
      </c>
      <c r="X9" s="176" t="s">
        <v>182</v>
      </c>
      <c r="AH9" s="148">
        <f t="shared" si="6"/>
        <v>83.3368943</v>
      </c>
      <c r="AJ9" s="157">
        <v>43086</v>
      </c>
      <c r="AK9" s="155">
        <f t="shared" si="16"/>
      </c>
      <c r="AL9" s="155">
        <f t="shared" si="7"/>
      </c>
      <c r="AM9" s="155">
        <f t="shared" si="8"/>
      </c>
      <c r="AN9" s="155">
        <f t="shared" si="9"/>
      </c>
      <c r="AO9" s="155">
        <f t="shared" si="10"/>
      </c>
      <c r="AP9" s="155">
        <f t="shared" si="11"/>
      </c>
      <c r="AQ9" s="155">
        <f t="shared" si="12"/>
      </c>
      <c r="AR9" s="155">
        <f t="shared" si="13"/>
      </c>
      <c r="AS9" s="155">
        <f t="shared" si="14"/>
      </c>
      <c r="AT9" s="156">
        <f t="shared" si="15"/>
      </c>
    </row>
    <row r="10" ht="12.75" customHeight="1" spans="2:46" x14ac:dyDescent="0.25">
      <c r="B10" s="145">
        <v>43149</v>
      </c>
      <c r="C10" s="146">
        <f t="shared" si="0"/>
        <v>0</v>
      </c>
      <c r="D10" s="146">
        <f t="shared" si="1"/>
        <v>145.7478146</v>
      </c>
      <c r="E10" s="147">
        <f t="shared" si="2"/>
        <v>316</v>
      </c>
      <c r="F10" s="147">
        <f t="shared" si="3"/>
        <v>0</v>
      </c>
      <c r="G10" s="147">
        <f t="shared" si="4"/>
        <v>0</v>
      </c>
      <c r="H10" s="147">
        <f t="shared" si="5"/>
        <v>0</v>
      </c>
      <c r="I10" s="177"/>
      <c r="J10" s="178">
        <v>42964</v>
      </c>
      <c r="K10" s="179"/>
      <c r="L10" s="179"/>
      <c r="M10" s="179"/>
      <c r="N10" s="180">
        <f t="shared" ref="N10:N41" si="17">IF(M10="","",IF(O10&gt;0,M10/O10,""))</f>
      </c>
      <c r="O10" s="181">
        <f t="shared" ref="O10:O41" si="18">IF(M10="","",IF($Q$8="",$P$8,$Q$8))</f>
      </c>
      <c r="P10" s="182"/>
      <c r="Q10" s="183"/>
      <c r="R10" s="183"/>
      <c r="S10" s="183"/>
      <c r="T10" s="183"/>
      <c r="U10" s="179"/>
      <c r="V10" s="179"/>
      <c r="W10" s="179"/>
      <c r="X10" s="184">
        <f t="shared" ref="X10:X41" si="19">IF(K10="","",IF($L$8="OD",O10-SUM(U10:W10)/3,IF($L$8="CC",O10-SUM(U10:W10)/3,SUM(U10:W10)/3)))</f>
      </c>
      <c r="AH10" s="148">
        <f t="shared" si="6"/>
        <v>145.7478146</v>
      </c>
      <c r="AJ10" s="157">
        <v>43118</v>
      </c>
      <c r="AK10" s="155">
        <f t="shared" si="16"/>
        <v>5.22776</v>
      </c>
      <c r="AL10" s="155">
        <f t="shared" si="7"/>
      </c>
      <c r="AM10" s="155">
        <f t="shared" si="8"/>
      </c>
      <c r="AN10" s="155">
        <f t="shared" si="9"/>
      </c>
      <c r="AO10" s="155">
        <f t="shared" si="10"/>
      </c>
      <c r="AP10" s="155">
        <f t="shared" si="11"/>
      </c>
      <c r="AQ10" s="155">
        <f t="shared" si="12"/>
      </c>
      <c r="AR10" s="155">
        <f t="shared" si="13"/>
      </c>
      <c r="AS10" s="155">
        <f t="shared" si="14"/>
      </c>
      <c r="AT10" s="156">
        <f t="shared" si="15"/>
      </c>
    </row>
    <row r="11" ht="12.75" customHeight="1" spans="2:46" x14ac:dyDescent="0.25">
      <c r="B11" s="145">
        <v>43177</v>
      </c>
      <c r="C11" s="146">
        <f t="shared" si="0"/>
        <v>623.834667</v>
      </c>
      <c r="D11" s="146">
        <f t="shared" si="1"/>
        <v>3461.118463</v>
      </c>
      <c r="E11" s="147">
        <f t="shared" si="2"/>
        <v>781</v>
      </c>
      <c r="F11" s="147">
        <f t="shared" si="3"/>
        <v>62</v>
      </c>
      <c r="G11" s="147">
        <f t="shared" si="4"/>
        <v>0</v>
      </c>
      <c r="H11" s="147">
        <f t="shared" si="5"/>
        <v>0</v>
      </c>
      <c r="J11" s="178">
        <v>42995</v>
      </c>
      <c r="K11" s="179"/>
      <c r="L11" s="179"/>
      <c r="M11" s="179"/>
      <c r="N11" s="180">
        <f t="shared" si="17"/>
      </c>
      <c r="O11" s="181">
        <f t="shared" si="18"/>
      </c>
      <c r="P11" s="182"/>
      <c r="Q11" s="183"/>
      <c r="R11" s="183"/>
      <c r="S11" s="183"/>
      <c r="T11" s="183"/>
      <c r="U11" s="179"/>
      <c r="V11" s="179"/>
      <c r="W11" s="179"/>
      <c r="X11" s="184">
        <f t="shared" si="19"/>
      </c>
      <c r="AH11" s="148">
        <f t="shared" si="6"/>
        <v>4084.95313</v>
      </c>
      <c r="AJ11" s="157">
        <v>43149</v>
      </c>
      <c r="AK11" s="155">
        <f t="shared" si="16"/>
        <v>0</v>
      </c>
      <c r="AL11" s="155">
        <f t="shared" si="7"/>
      </c>
      <c r="AM11" s="155">
        <f t="shared" si="8"/>
      </c>
      <c r="AN11" s="155">
        <f t="shared" si="9"/>
      </c>
      <c r="AO11" s="155">
        <f t="shared" si="10"/>
      </c>
      <c r="AP11" s="155">
        <f t="shared" si="11"/>
      </c>
      <c r="AQ11" s="155">
        <f t="shared" si="12"/>
      </c>
      <c r="AR11" s="155">
        <f t="shared" si="13"/>
      </c>
      <c r="AS11" s="155">
        <f t="shared" si="14"/>
      </c>
      <c r="AT11" s="156">
        <f t="shared" si="15"/>
      </c>
    </row>
    <row r="12" ht="12.75" customHeight="1" spans="2:46" x14ac:dyDescent="0.25">
      <c r="B12" s="145">
        <v>43208</v>
      </c>
      <c r="C12" s="146">
        <f t="shared" si="0"/>
        <v>369.966687</v>
      </c>
      <c r="D12" s="146">
        <f t="shared" si="1"/>
        <v>2398.509572</v>
      </c>
      <c r="E12" s="147">
        <f t="shared" si="2"/>
        <v>719</v>
      </c>
      <c r="F12" s="147">
        <f t="shared" si="3"/>
        <v>61</v>
      </c>
      <c r="G12" s="147">
        <f t="shared" si="4"/>
        <v>0</v>
      </c>
      <c r="H12" s="147">
        <f t="shared" si="5"/>
        <v>0</v>
      </c>
      <c r="J12" s="178">
        <v>43025</v>
      </c>
      <c r="K12" s="179"/>
      <c r="L12" s="179"/>
      <c r="M12" s="179"/>
      <c r="N12" s="180">
        <f t="shared" si="17"/>
      </c>
      <c r="O12" s="181">
        <f t="shared" si="18"/>
      </c>
      <c r="P12" s="182"/>
      <c r="Q12" s="183"/>
      <c r="R12" s="183"/>
      <c r="S12" s="183"/>
      <c r="T12" s="183"/>
      <c r="U12" s="179"/>
      <c r="V12" s="179"/>
      <c r="W12" s="179"/>
      <c r="X12" s="184">
        <f t="shared" si="19"/>
      </c>
      <c r="AH12" s="148">
        <f t="shared" si="6"/>
        <v>2768.476259</v>
      </c>
      <c r="AJ12" s="157">
        <v>43177</v>
      </c>
      <c r="AK12" s="155">
        <f t="shared" si="16"/>
        <v>0</v>
      </c>
      <c r="AL12" s="155">
        <f t="shared" si="7"/>
        <v>26.633737</v>
      </c>
      <c r="AM12" s="155">
        <f t="shared" si="8"/>
        <v>596.71214</v>
      </c>
      <c r="AN12" s="155">
        <f t="shared" si="9"/>
        <v>0.48879</v>
      </c>
      <c r="AO12" s="155">
        <f t="shared" si="10"/>
      </c>
      <c r="AP12" s="155">
        <f t="shared" si="11"/>
      </c>
      <c r="AQ12" s="155">
        <f t="shared" si="12"/>
      </c>
      <c r="AR12" s="155">
        <f t="shared" si="13"/>
      </c>
      <c r="AS12" s="155">
        <f t="shared" si="14"/>
      </c>
      <c r="AT12" s="156">
        <f t="shared" si="15"/>
      </c>
    </row>
    <row r="13" ht="12.75" customHeight="1" spans="2:46" x14ac:dyDescent="0.25">
      <c r="B13" s="145">
        <v>43238</v>
      </c>
      <c r="C13" s="146">
        <f t="shared" si="0"/>
        <v>646.7274886</v>
      </c>
      <c r="D13" s="146">
        <f t="shared" si="1"/>
        <v>3058.696051</v>
      </c>
      <c r="E13" s="147">
        <f t="shared" si="2"/>
        <v>874</v>
      </c>
      <c r="F13" s="147">
        <f t="shared" si="3"/>
        <v>88</v>
      </c>
      <c r="G13" s="147">
        <f t="shared" si="4"/>
        <v>0</v>
      </c>
      <c r="H13" s="147">
        <f t="shared" si="5"/>
        <v>0</v>
      </c>
      <c r="J13" s="178">
        <v>43056</v>
      </c>
      <c r="K13" s="179"/>
      <c r="L13" s="179"/>
      <c r="M13" s="179"/>
      <c r="N13" s="180">
        <f t="shared" si="17"/>
      </c>
      <c r="O13" s="181">
        <f t="shared" si="18"/>
      </c>
      <c r="P13" s="182"/>
      <c r="Q13" s="183"/>
      <c r="R13" s="183"/>
      <c r="S13" s="183"/>
      <c r="T13" s="183"/>
      <c r="U13" s="179"/>
      <c r="V13" s="179"/>
      <c r="W13" s="179"/>
      <c r="X13" s="184">
        <f t="shared" si="19"/>
      </c>
      <c r="AH13" s="148">
        <f t="shared" si="6"/>
        <v>3705.423539</v>
      </c>
      <c r="AJ13" s="157">
        <v>43208</v>
      </c>
      <c r="AK13" s="155">
        <f t="shared" si="16"/>
        <v>0</v>
      </c>
      <c r="AL13" s="155">
        <f t="shared" si="7"/>
        <v>41.291957</v>
      </c>
      <c r="AM13" s="155">
        <f t="shared" si="8"/>
        <v>328.67473</v>
      </c>
      <c r="AN13" s="155">
        <f t="shared" si="9"/>
        <v>0</v>
      </c>
      <c r="AO13" s="155">
        <f t="shared" si="10"/>
      </c>
      <c r="AP13" s="155">
        <f t="shared" si="11"/>
      </c>
      <c r="AQ13" s="155">
        <f t="shared" si="12"/>
      </c>
      <c r="AR13" s="155">
        <f t="shared" si="13"/>
      </c>
      <c r="AS13" s="155">
        <f t="shared" si="14"/>
      </c>
      <c r="AT13" s="156">
        <f t="shared" si="15"/>
      </c>
    </row>
    <row r="14" ht="12.75" customHeight="1" spans="2:46" x14ac:dyDescent="0.25">
      <c r="B14" s="145">
        <v>43269</v>
      </c>
      <c r="C14" s="146">
        <f t="shared" si="0"/>
        <v>711.428679</v>
      </c>
      <c r="D14" s="146">
        <f t="shared" si="1"/>
        <v>2576.454532</v>
      </c>
      <c r="E14" s="147">
        <f t="shared" si="2"/>
        <v>929</v>
      </c>
      <c r="F14" s="147">
        <f t="shared" si="3"/>
        <v>91</v>
      </c>
      <c r="G14" s="147">
        <f t="shared" si="4"/>
        <v>0</v>
      </c>
      <c r="H14" s="147">
        <f t="shared" si="5"/>
        <v>0</v>
      </c>
      <c r="J14" s="178">
        <v>43086</v>
      </c>
      <c r="K14" s="179"/>
      <c r="L14" s="179"/>
      <c r="M14" s="179"/>
      <c r="N14" s="180">
        <f t="shared" si="17"/>
      </c>
      <c r="O14" s="181">
        <f t="shared" si="18"/>
      </c>
      <c r="P14" s="182"/>
      <c r="Q14" s="183"/>
      <c r="R14" s="183"/>
      <c r="S14" s="183"/>
      <c r="T14" s="183"/>
      <c r="U14" s="179"/>
      <c r="V14" s="179"/>
      <c r="W14" s="179"/>
      <c r="X14" s="184">
        <f t="shared" si="19"/>
      </c>
      <c r="AH14" s="148">
        <f t="shared" si="6"/>
        <v>3287.883211</v>
      </c>
      <c r="AJ14" s="157">
        <v>43238</v>
      </c>
      <c r="AK14" s="155">
        <f t="shared" si="16"/>
        <v>60.76834</v>
      </c>
      <c r="AL14" s="155">
        <f t="shared" si="7"/>
        <v>200.037737</v>
      </c>
      <c r="AM14" s="155">
        <f t="shared" si="8"/>
        <v>385.9214116</v>
      </c>
      <c r="AN14" s="155">
        <f t="shared" si="9"/>
        <v>0</v>
      </c>
      <c r="AO14" s="155">
        <f t="shared" si="10"/>
      </c>
      <c r="AP14" s="155">
        <f t="shared" si="11"/>
      </c>
      <c r="AQ14" s="155">
        <f t="shared" si="12"/>
      </c>
      <c r="AR14" s="155">
        <f t="shared" si="13"/>
      </c>
      <c r="AS14" s="155">
        <f t="shared" si="14"/>
      </c>
      <c r="AT14" s="156">
        <f t="shared" si="15"/>
      </c>
    </row>
    <row r="15" ht="12.75" customHeight="1" spans="2:46" x14ac:dyDescent="0.25">
      <c r="B15" s="145">
        <v>43299</v>
      </c>
      <c r="C15" s="146">
        <f t="shared" si="0"/>
        <v>395.8230441</v>
      </c>
      <c r="D15" s="146">
        <f t="shared" si="1"/>
        <v>2803.178928</v>
      </c>
      <c r="E15" s="147">
        <f t="shared" si="2"/>
        <v>841</v>
      </c>
      <c r="F15" s="147">
        <f t="shared" si="3"/>
        <v>61</v>
      </c>
      <c r="G15" s="147">
        <f t="shared" si="4"/>
        <v>2</v>
      </c>
      <c r="H15" s="147">
        <f t="shared" si="5"/>
        <v>0</v>
      </c>
      <c r="J15" s="178">
        <v>43118</v>
      </c>
      <c r="K15" s="179">
        <v>5.22776</v>
      </c>
      <c r="L15" s="179">
        <v>78.10913430000001</v>
      </c>
      <c r="M15" s="179">
        <v>249.8866382</v>
      </c>
      <c r="N15" s="180">
        <f t="shared" si="17"/>
        <v>0.9995465528</v>
      </c>
      <c r="O15" s="181">
        <f t="shared" si="18"/>
        <v>250</v>
      </c>
      <c r="P15" s="182">
        <v>2.24089</v>
      </c>
      <c r="Q15" s="183">
        <v>250</v>
      </c>
      <c r="R15" s="183">
        <v>2</v>
      </c>
      <c r="S15" s="183">
        <v>0</v>
      </c>
      <c r="T15" s="183">
        <v>0</v>
      </c>
      <c r="U15" s="179">
        <v>238.8264924</v>
      </c>
      <c r="V15" s="179">
        <v>241.2658038</v>
      </c>
      <c r="W15" s="179">
        <v>245.8831967</v>
      </c>
      <c r="X15" s="184">
        <f t="shared" si="19"/>
        <v>8.008169033</v>
      </c>
      <c r="AH15" s="148">
        <f t="shared" si="6"/>
        <v>3199.001972</v>
      </c>
      <c r="AJ15" s="157">
        <v>43269</v>
      </c>
      <c r="AK15" s="155">
        <f t="shared" si="16"/>
        <v>103.89554</v>
      </c>
      <c r="AL15" s="155">
        <f t="shared" si="7"/>
        <v>112.5929756</v>
      </c>
      <c r="AM15" s="155">
        <f t="shared" si="8"/>
        <v>494.3501634</v>
      </c>
      <c r="AN15" s="155">
        <f t="shared" si="9"/>
        <v>0.59</v>
      </c>
      <c r="AO15" s="155">
        <f t="shared" si="10"/>
      </c>
      <c r="AP15" s="155">
        <f t="shared" si="11"/>
      </c>
      <c r="AQ15" s="155">
        <f t="shared" si="12"/>
      </c>
      <c r="AR15" s="155">
        <f t="shared" si="13"/>
      </c>
      <c r="AS15" s="155">
        <f t="shared" si="14"/>
      </c>
      <c r="AT15" s="156">
        <f t="shared" si="15"/>
      </c>
    </row>
    <row r="16" ht="12.75" customHeight="1" spans="2:46" x14ac:dyDescent="0.25">
      <c r="B16" s="145">
        <v>43330</v>
      </c>
      <c r="C16" s="146">
        <f t="shared" si="0"/>
        <v>408.6789669</v>
      </c>
      <c r="D16" s="146">
        <f t="shared" si="1"/>
        <v>2931.053664</v>
      </c>
      <c r="E16" s="147">
        <f t="shared" si="2"/>
        <v>952</v>
      </c>
      <c r="F16" s="147">
        <f t="shared" si="3"/>
        <v>63</v>
      </c>
      <c r="G16" s="147">
        <f t="shared" si="4"/>
        <v>0</v>
      </c>
      <c r="H16" s="147">
        <f t="shared" si="5"/>
        <v>1</v>
      </c>
      <c r="J16" s="178">
        <v>43149</v>
      </c>
      <c r="K16" s="179">
        <v>0</v>
      </c>
      <c r="L16" s="179">
        <v>145.7478146</v>
      </c>
      <c r="M16" s="179">
        <v>249.9233615</v>
      </c>
      <c r="N16" s="180">
        <f t="shared" si="17"/>
        <v>0.999693446</v>
      </c>
      <c r="O16" s="181">
        <f t="shared" si="18"/>
        <v>250</v>
      </c>
      <c r="P16" s="182">
        <v>2.03342</v>
      </c>
      <c r="Q16" s="183">
        <v>316</v>
      </c>
      <c r="R16" s="183">
        <v>0</v>
      </c>
      <c r="S16" s="183">
        <v>0</v>
      </c>
      <c r="T16" s="183">
        <v>0</v>
      </c>
      <c r="U16" s="179">
        <v>239.1862167</v>
      </c>
      <c r="V16" s="179">
        <v>245.0878615</v>
      </c>
      <c r="W16" s="179">
        <v>0</v>
      </c>
      <c r="X16" s="184">
        <f t="shared" si="19"/>
        <v>88.57530727</v>
      </c>
      <c r="AH16" s="148">
        <f t="shared" si="6"/>
        <v>3339.732631</v>
      </c>
      <c r="AJ16" s="157">
        <v>43299</v>
      </c>
      <c r="AK16" s="155">
        <f t="shared" si="16"/>
        <v>12.24</v>
      </c>
      <c r="AL16" s="155">
        <f t="shared" si="7"/>
        <v>110.492067</v>
      </c>
      <c r="AM16" s="155">
        <f t="shared" si="8"/>
        <v>273.0909771</v>
      </c>
      <c r="AN16" s="155">
        <f t="shared" si="9"/>
        <v>0</v>
      </c>
      <c r="AO16" s="155">
        <f t="shared" si="10"/>
      </c>
      <c r="AP16" s="155">
        <f t="shared" si="11"/>
      </c>
      <c r="AQ16" s="155">
        <f t="shared" si="12"/>
      </c>
      <c r="AR16" s="155">
        <f t="shared" si="13"/>
      </c>
      <c r="AS16" s="155">
        <f t="shared" si="14"/>
      </c>
      <c r="AT16" s="156">
        <f t="shared" si="15"/>
      </c>
    </row>
    <row r="17" ht="12.75" customHeight="1" spans="2:46" x14ac:dyDescent="0.25">
      <c r="B17" s="145">
        <v>43361</v>
      </c>
      <c r="C17" s="146">
        <f t="shared" si="0"/>
        <v>551.18195</v>
      </c>
      <c r="D17" s="146">
        <f t="shared" si="1"/>
        <v>2152.181125</v>
      </c>
      <c r="E17" s="147">
        <f t="shared" si="2"/>
        <v>819</v>
      </c>
      <c r="F17" s="147">
        <f t="shared" si="3"/>
        <v>80</v>
      </c>
      <c r="G17" s="147">
        <f t="shared" si="4"/>
        <v>0</v>
      </c>
      <c r="H17" s="147">
        <f t="shared" si="5"/>
        <v>0</v>
      </c>
      <c r="J17" s="178">
        <v>43177</v>
      </c>
      <c r="K17" s="179">
        <v>0</v>
      </c>
      <c r="L17" s="179">
        <v>92.77104049999998</v>
      </c>
      <c r="M17" s="179">
        <v>249.9299218</v>
      </c>
      <c r="N17" s="180">
        <f t="shared" si="17"/>
        <v>0.9997196872</v>
      </c>
      <c r="O17" s="181">
        <f t="shared" si="18"/>
        <v>250</v>
      </c>
      <c r="P17" s="182">
        <v>2.26899</v>
      </c>
      <c r="Q17" s="183">
        <v>292</v>
      </c>
      <c r="R17" s="183">
        <v>0</v>
      </c>
      <c r="S17" s="183">
        <v>0</v>
      </c>
      <c r="T17" s="183">
        <v>0</v>
      </c>
      <c r="U17" s="179">
        <v>241.9564313</v>
      </c>
      <c r="V17" s="179">
        <v>240.9078625</v>
      </c>
      <c r="W17" s="179">
        <v>241.7612918</v>
      </c>
      <c r="X17" s="184">
        <f t="shared" si="19"/>
        <v>8.458138133</v>
      </c>
      <c r="AH17" s="148">
        <f t="shared" si="6"/>
        <v>2703.363075</v>
      </c>
      <c r="AJ17" s="157">
        <v>43330</v>
      </c>
      <c r="AK17" s="155">
        <f t="shared" si="16"/>
        <v>4</v>
      </c>
      <c r="AL17" s="155">
        <f t="shared" si="7"/>
        <v>2.604027</v>
      </c>
      <c r="AM17" s="155">
        <f t="shared" si="8"/>
        <v>402.0749399</v>
      </c>
      <c r="AN17" s="155">
        <f t="shared" si="9"/>
        <v>0</v>
      </c>
      <c r="AO17" s="155">
        <f t="shared" si="10"/>
      </c>
      <c r="AP17" s="155">
        <f t="shared" si="11"/>
      </c>
      <c r="AQ17" s="155">
        <f t="shared" si="12"/>
      </c>
      <c r="AR17" s="155">
        <f t="shared" si="13"/>
      </c>
      <c r="AS17" s="155">
        <f t="shared" si="14"/>
      </c>
      <c r="AT17" s="156">
        <f t="shared" si="15"/>
      </c>
    </row>
    <row r="18" ht="12.75" customHeight="1" spans="2:46" x14ac:dyDescent="0.25">
      <c r="B18" s="145">
        <v>43391</v>
      </c>
      <c r="C18" s="146">
        <f t="shared" si="0"/>
        <v>0</v>
      </c>
      <c r="D18" s="146">
        <f t="shared" si="1"/>
        <v>0</v>
      </c>
      <c r="E18" s="147">
        <f t="shared" si="2"/>
        <v>0</v>
      </c>
      <c r="F18" s="147">
        <f t="shared" si="3"/>
        <v>0</v>
      </c>
      <c r="G18" s="147">
        <f t="shared" si="4"/>
        <v>0</v>
      </c>
      <c r="H18" s="147">
        <f t="shared" si="5"/>
        <v>0</v>
      </c>
      <c r="J18" s="178">
        <v>43208</v>
      </c>
      <c r="K18" s="179">
        <v>0</v>
      </c>
      <c r="L18" s="179">
        <v>87.80063579999998</v>
      </c>
      <c r="M18" s="179">
        <v>249.678113</v>
      </c>
      <c r="N18" s="180">
        <f t="shared" si="17"/>
        <v>0.998712452</v>
      </c>
      <c r="O18" s="181">
        <f t="shared" si="18"/>
        <v>250</v>
      </c>
      <c r="P18" s="182">
        <v>2.20947</v>
      </c>
      <c r="Q18" s="183">
        <v>245</v>
      </c>
      <c r="R18" s="183">
        <v>0</v>
      </c>
      <c r="S18" s="183">
        <v>0</v>
      </c>
      <c r="T18" s="183">
        <v>0</v>
      </c>
      <c r="U18" s="179">
        <v>244.585123</v>
      </c>
      <c r="V18" s="179">
        <v>244.7320767</v>
      </c>
      <c r="W18" s="179">
        <v>242.9767288</v>
      </c>
      <c r="X18" s="184">
        <f t="shared" si="19"/>
        <v>5.902023833</v>
      </c>
      <c r="AH18" s="148">
        <f t="shared" si="6"/>
        <v>0</v>
      </c>
      <c r="AJ18" s="157">
        <v>43361</v>
      </c>
      <c r="AK18" s="155">
        <f t="shared" si="16"/>
        <v>28.37</v>
      </c>
      <c r="AL18" s="155">
        <f t="shared" si="7"/>
        <v>172.40201</v>
      </c>
      <c r="AM18" s="155">
        <f t="shared" si="8"/>
        <v>350.40994</v>
      </c>
      <c r="AN18" s="155">
        <f t="shared" si="9"/>
        <v>0</v>
      </c>
      <c r="AO18" s="155">
        <f t="shared" si="10"/>
      </c>
      <c r="AP18" s="155">
        <f t="shared" si="11"/>
      </c>
      <c r="AQ18" s="155">
        <f t="shared" si="12"/>
      </c>
      <c r="AR18" s="155">
        <f t="shared" si="13"/>
      </c>
      <c r="AS18" s="155">
        <f t="shared" si="14"/>
      </c>
      <c r="AT18" s="156">
        <f t="shared" si="15"/>
      </c>
    </row>
    <row r="19" ht="12.75" customHeight="1" spans="2:46" x14ac:dyDescent="0.25">
      <c r="B19" s="145">
        <v>43422</v>
      </c>
      <c r="C19" s="146">
        <f t="shared" si="0"/>
        <v>0</v>
      </c>
      <c r="D19" s="146">
        <f t="shared" si="1"/>
        <v>0</v>
      </c>
      <c r="E19" s="147">
        <f t="shared" si="2"/>
        <v>0</v>
      </c>
      <c r="F19" s="147">
        <f t="shared" si="3"/>
        <v>0</v>
      </c>
      <c r="G19" s="147">
        <f t="shared" si="4"/>
        <v>0</v>
      </c>
      <c r="H19" s="147">
        <f t="shared" si="5"/>
        <v>0</v>
      </c>
      <c r="J19" s="178">
        <v>43238</v>
      </c>
      <c r="K19" s="179">
        <v>60.76834</v>
      </c>
      <c r="L19" s="179">
        <v>150.4471969</v>
      </c>
      <c r="M19" s="179">
        <v>249.1772757</v>
      </c>
      <c r="N19" s="180">
        <f t="shared" si="17"/>
        <v>0.9967091028</v>
      </c>
      <c r="O19" s="181">
        <f t="shared" si="18"/>
        <v>250</v>
      </c>
      <c r="P19" s="182">
        <v>2.24147</v>
      </c>
      <c r="Q19" s="183">
        <v>291</v>
      </c>
      <c r="R19" s="183">
        <v>14</v>
      </c>
      <c r="S19" s="183">
        <v>0</v>
      </c>
      <c r="T19" s="183">
        <v>0</v>
      </c>
      <c r="U19" s="179">
        <v>237.4376488</v>
      </c>
      <c r="V19" s="179">
        <v>248.2502857</v>
      </c>
      <c r="W19" s="179">
        <v>211.4550757</v>
      </c>
      <c r="X19" s="184">
        <f t="shared" si="19"/>
        <v>17.6189966</v>
      </c>
      <c r="AH19" s="148">
        <f t="shared" si="6"/>
        <v>0</v>
      </c>
      <c r="AJ19" s="157">
        <v>43391</v>
      </c>
      <c r="AK19" s="155">
        <f t="shared" si="16"/>
      </c>
      <c r="AL19" s="155">
        <f t="shared" si="7"/>
      </c>
      <c r="AM19" s="155">
        <f t="shared" si="8"/>
      </c>
      <c r="AN19" s="155">
        <f t="shared" si="9"/>
      </c>
      <c r="AO19" s="155">
        <f t="shared" si="10"/>
      </c>
      <c r="AP19" s="155">
        <f t="shared" si="11"/>
      </c>
      <c r="AQ19" s="155">
        <f t="shared" si="12"/>
      </c>
      <c r="AR19" s="155">
        <f t="shared" si="13"/>
      </c>
      <c r="AS19" s="155">
        <f t="shared" si="14"/>
      </c>
      <c r="AT19" s="156">
        <f t="shared" si="15"/>
      </c>
    </row>
    <row r="20" ht="12.75" customHeight="1" spans="2:46" x14ac:dyDescent="0.25">
      <c r="B20" s="145">
        <v>43452</v>
      </c>
      <c r="C20" s="146">
        <f t="shared" si="0"/>
        <v>0</v>
      </c>
      <c r="D20" s="146">
        <f t="shared" si="1"/>
        <v>0</v>
      </c>
      <c r="E20" s="147">
        <f t="shared" si="2"/>
        <v>0</v>
      </c>
      <c r="F20" s="147">
        <f t="shared" si="3"/>
        <v>0</v>
      </c>
      <c r="G20" s="147">
        <f t="shared" si="4"/>
        <v>0</v>
      </c>
      <c r="H20" s="147">
        <f t="shared" si="5"/>
        <v>0</v>
      </c>
      <c r="J20" s="178">
        <v>43269</v>
      </c>
      <c r="K20" s="179">
        <v>103.89554</v>
      </c>
      <c r="L20" s="179">
        <v>268.33721149999997</v>
      </c>
      <c r="M20" s="179">
        <v>249.9994922</v>
      </c>
      <c r="N20" s="180">
        <f t="shared" si="17"/>
        <v>0.9999979688</v>
      </c>
      <c r="O20" s="181">
        <f t="shared" si="18"/>
        <v>250</v>
      </c>
      <c r="P20" s="182">
        <v>2.19878</v>
      </c>
      <c r="Q20" s="183">
        <v>357</v>
      </c>
      <c r="R20" s="183">
        <v>5</v>
      </c>
      <c r="S20" s="183">
        <v>0</v>
      </c>
      <c r="T20" s="183">
        <v>0</v>
      </c>
      <c r="U20" s="179">
        <v>229.7506407</v>
      </c>
      <c r="V20" s="179">
        <v>241.3534607</v>
      </c>
      <c r="W20" s="179">
        <v>237.9972572</v>
      </c>
      <c r="X20" s="184">
        <f t="shared" si="19"/>
        <v>13.63288047</v>
      </c>
      <c r="AH20" s="148">
        <f t="shared" si="6"/>
        <v>0</v>
      </c>
      <c r="AJ20" s="157">
        <v>43422</v>
      </c>
      <c r="AK20" s="155">
        <f t="shared" si="16"/>
      </c>
      <c r="AL20" s="155">
        <f t="shared" si="7"/>
      </c>
      <c r="AM20" s="155">
        <f t="shared" si="8"/>
      </c>
      <c r="AN20" s="155">
        <f t="shared" si="9"/>
      </c>
      <c r="AO20" s="155">
        <f t="shared" si="10"/>
      </c>
      <c r="AP20" s="155">
        <f t="shared" si="11"/>
      </c>
      <c r="AQ20" s="155">
        <f t="shared" si="12"/>
      </c>
      <c r="AR20" s="155">
        <f t="shared" si="13"/>
      </c>
      <c r="AS20" s="155">
        <f t="shared" si="14"/>
      </c>
      <c r="AT20" s="156">
        <f t="shared" si="15"/>
      </c>
    </row>
    <row r="21" ht="12.75" customHeight="1" spans="2:46" x14ac:dyDescent="0.25">
      <c r="B21" s="145">
        <v>43484</v>
      </c>
      <c r="C21" s="146">
        <f t="shared" si="0"/>
        <v>0</v>
      </c>
      <c r="D21" s="146">
        <f t="shared" si="1"/>
        <v>0</v>
      </c>
      <c r="E21" s="147">
        <f t="shared" si="2"/>
        <v>0</v>
      </c>
      <c r="F21" s="147">
        <f t="shared" si="3"/>
        <v>0</v>
      </c>
      <c r="G21" s="147">
        <f t="shared" si="4"/>
        <v>0</v>
      </c>
      <c r="H21" s="147">
        <f t="shared" si="5"/>
        <v>0</v>
      </c>
      <c r="J21" s="178">
        <v>43299</v>
      </c>
      <c r="K21" s="179">
        <v>12.24</v>
      </c>
      <c r="L21" s="179">
        <v>137.8299528</v>
      </c>
      <c r="M21" s="179">
        <v>249.27255</v>
      </c>
      <c r="N21" s="180">
        <f t="shared" si="17"/>
        <v>0.9970902</v>
      </c>
      <c r="O21" s="181">
        <f t="shared" si="18"/>
        <v>250</v>
      </c>
      <c r="P21" s="182">
        <v>2.30546</v>
      </c>
      <c r="Q21" s="183">
        <v>308</v>
      </c>
      <c r="R21" s="183">
        <v>3</v>
      </c>
      <c r="S21" s="183">
        <v>0</v>
      </c>
      <c r="T21" s="183">
        <v>0</v>
      </c>
      <c r="U21" s="179">
        <v>238.0038172</v>
      </c>
      <c r="V21" s="179">
        <v>241.61763850000003</v>
      </c>
      <c r="W21" s="179">
        <v>244.09064</v>
      </c>
      <c r="X21" s="184">
        <f t="shared" si="19"/>
        <v>8.762634767</v>
      </c>
      <c r="AH21" s="148">
        <f t="shared" si="6"/>
        <v>0</v>
      </c>
      <c r="AJ21" s="157">
        <v>43452</v>
      </c>
      <c r="AK21" s="155">
        <f t="shared" si="16"/>
      </c>
      <c r="AL21" s="155">
        <f t="shared" si="7"/>
      </c>
      <c r="AM21" s="155">
        <f t="shared" si="8"/>
      </c>
      <c r="AN21" s="155">
        <f t="shared" si="9"/>
      </c>
      <c r="AO21" s="155">
        <f t="shared" si="10"/>
      </c>
      <c r="AP21" s="155">
        <f t="shared" si="11"/>
      </c>
      <c r="AQ21" s="155">
        <f t="shared" si="12"/>
      </c>
      <c r="AR21" s="155">
        <f t="shared" si="13"/>
      </c>
      <c r="AS21" s="155">
        <f t="shared" si="14"/>
      </c>
      <c r="AT21" s="156">
        <f t="shared" si="15"/>
      </c>
    </row>
    <row r="22" ht="12.75" customHeight="1" spans="2:46" x14ac:dyDescent="0.25">
      <c r="B22" s="145">
        <v>43515</v>
      </c>
      <c r="C22" s="146">
        <f t="shared" si="0"/>
        <v>0</v>
      </c>
      <c r="D22" s="146">
        <f t="shared" si="1"/>
        <v>0</v>
      </c>
      <c r="E22" s="147">
        <f t="shared" si="2"/>
        <v>0</v>
      </c>
      <c r="F22" s="147">
        <f t="shared" si="3"/>
        <v>0</v>
      </c>
      <c r="G22" s="147">
        <f t="shared" si="4"/>
        <v>0</v>
      </c>
      <c r="H22" s="147">
        <f t="shared" si="5"/>
        <v>0</v>
      </c>
      <c r="J22" s="178">
        <v>43330</v>
      </c>
      <c r="K22" s="179">
        <v>4</v>
      </c>
      <c r="L22" s="179">
        <v>127.04122480000001</v>
      </c>
      <c r="M22" s="179">
        <v>249.9328648</v>
      </c>
      <c r="N22" s="180">
        <f t="shared" si="17"/>
        <v>0.9997314592</v>
      </c>
      <c r="O22" s="181">
        <f t="shared" si="18"/>
        <v>250</v>
      </c>
      <c r="P22" s="182">
        <v>2.30643</v>
      </c>
      <c r="Q22" s="183">
        <v>283</v>
      </c>
      <c r="R22" s="183">
        <v>2</v>
      </c>
      <c r="S22" s="183">
        <v>0</v>
      </c>
      <c r="T22" s="183">
        <v>0</v>
      </c>
      <c r="U22" s="179">
        <v>241.2028393</v>
      </c>
      <c r="V22" s="179">
        <v>249.9328648</v>
      </c>
      <c r="W22" s="179">
        <v>239.9741348</v>
      </c>
      <c r="X22" s="184">
        <f t="shared" si="19"/>
        <v>6.296720367</v>
      </c>
      <c r="AH22" s="148">
        <f t="shared" si="6"/>
        <v>0</v>
      </c>
      <c r="AJ22" s="157">
        <v>43484</v>
      </c>
      <c r="AK22" s="155">
        <f t="shared" si="16"/>
      </c>
      <c r="AL22" s="155">
        <f t="shared" si="7"/>
      </c>
      <c r="AM22" s="155">
        <f t="shared" si="8"/>
      </c>
      <c r="AN22" s="155">
        <f t="shared" si="9"/>
      </c>
      <c r="AO22" s="155">
        <f t="shared" si="10"/>
      </c>
      <c r="AP22" s="155">
        <f t="shared" si="11"/>
      </c>
      <c r="AQ22" s="155">
        <f t="shared" si="12"/>
      </c>
      <c r="AR22" s="155">
        <f t="shared" si="13"/>
      </c>
      <c r="AS22" s="155">
        <f t="shared" si="14"/>
      </c>
      <c r="AT22" s="156">
        <f t="shared" si="15"/>
      </c>
    </row>
    <row r="23" ht="12.75" customHeight="1" spans="2:46" x14ac:dyDescent="0.25">
      <c r="B23" s="145">
        <v>43543</v>
      </c>
      <c r="C23" s="146">
        <f t="shared" si="0"/>
        <v>0</v>
      </c>
      <c r="D23" s="146">
        <f t="shared" si="1"/>
        <v>0</v>
      </c>
      <c r="E23" s="147">
        <f t="shared" si="2"/>
        <v>0</v>
      </c>
      <c r="F23" s="147">
        <f t="shared" si="3"/>
        <v>0</v>
      </c>
      <c r="G23" s="147">
        <f t="shared" si="4"/>
        <v>0</v>
      </c>
      <c r="H23" s="147">
        <f t="shared" si="5"/>
        <v>0</v>
      </c>
      <c r="J23" s="178">
        <v>43361</v>
      </c>
      <c r="K23" s="179">
        <v>28.37</v>
      </c>
      <c r="L23" s="179">
        <v>133.869975</v>
      </c>
      <c r="M23" s="179">
        <v>249.9660948</v>
      </c>
      <c r="N23" s="180">
        <f t="shared" si="17"/>
        <v>0.9998643792</v>
      </c>
      <c r="O23" s="181">
        <f t="shared" si="18"/>
        <v>250</v>
      </c>
      <c r="P23" s="182">
        <v>0</v>
      </c>
      <c r="Q23" s="183">
        <v>301</v>
      </c>
      <c r="R23" s="183">
        <v>4</v>
      </c>
      <c r="S23" s="183">
        <v>0</v>
      </c>
      <c r="T23" s="183">
        <v>0</v>
      </c>
      <c r="U23" s="179">
        <v>240.4288848</v>
      </c>
      <c r="V23" s="179">
        <v>240.1882748</v>
      </c>
      <c r="W23" s="179">
        <v>0</v>
      </c>
      <c r="X23" s="184">
        <f t="shared" si="19"/>
        <v>89.79428013</v>
      </c>
      <c r="AH23" s="148">
        <f t="shared" si="6"/>
        <v>0</v>
      </c>
      <c r="AJ23" s="157">
        <v>43515</v>
      </c>
      <c r="AK23" s="155">
        <f t="shared" si="16"/>
      </c>
      <c r="AL23" s="155">
        <f t="shared" si="7"/>
      </c>
      <c r="AM23" s="155">
        <f t="shared" si="8"/>
      </c>
      <c r="AN23" s="155">
        <f t="shared" si="9"/>
      </c>
      <c r="AO23" s="155">
        <f t="shared" si="10"/>
      </c>
      <c r="AP23" s="155">
        <f t="shared" si="11"/>
      </c>
      <c r="AQ23" s="155">
        <f t="shared" si="12"/>
      </c>
      <c r="AR23" s="155">
        <f t="shared" si="13"/>
      </c>
      <c r="AS23" s="155">
        <f t="shared" si="14"/>
      </c>
      <c r="AT23" s="156">
        <f t="shared" si="15"/>
      </c>
    </row>
    <row r="24" ht="12.75" customHeight="1" spans="2:46" x14ac:dyDescent="0.25">
      <c r="B24" s="145">
        <v>43574</v>
      </c>
      <c r="C24" s="146">
        <f t="shared" si="0"/>
        <v>0</v>
      </c>
      <c r="D24" s="146">
        <f t="shared" si="1"/>
        <v>0</v>
      </c>
      <c r="E24" s="147">
        <f t="shared" si="2"/>
        <v>0</v>
      </c>
      <c r="F24" s="147">
        <f t="shared" si="3"/>
        <v>0</v>
      </c>
      <c r="G24" s="147">
        <f t="shared" si="4"/>
        <v>0</v>
      </c>
      <c r="H24" s="147">
        <f t="shared" si="5"/>
        <v>0</v>
      </c>
      <c r="J24" s="178">
        <v>43391</v>
      </c>
      <c r="K24" s="179"/>
      <c r="L24" s="179"/>
      <c r="M24" s="179"/>
      <c r="N24" s="180">
        <f t="shared" si="17"/>
      </c>
      <c r="O24" s="181">
        <f t="shared" si="18"/>
      </c>
      <c r="P24" s="182"/>
      <c r="Q24" s="183"/>
      <c r="R24" s="183"/>
      <c r="S24" s="183"/>
      <c r="T24" s="183"/>
      <c r="U24" s="179"/>
      <c r="V24" s="179"/>
      <c r="W24" s="179"/>
      <c r="X24" s="184">
        <f t="shared" si="19"/>
      </c>
      <c r="AH24" s="148">
        <f t="shared" si="6"/>
        <v>0</v>
      </c>
      <c r="AJ24" s="157">
        <v>43543</v>
      </c>
      <c r="AK24" s="155">
        <f t="shared" si="16"/>
      </c>
      <c r="AL24" s="155">
        <f t="shared" si="7"/>
      </c>
      <c r="AM24" s="155">
        <f t="shared" si="8"/>
      </c>
      <c r="AN24" s="155">
        <f t="shared" si="9"/>
      </c>
      <c r="AO24" s="155">
        <f t="shared" si="10"/>
      </c>
      <c r="AP24" s="155">
        <f t="shared" si="11"/>
      </c>
      <c r="AQ24" s="155">
        <f t="shared" si="12"/>
      </c>
      <c r="AR24" s="155">
        <f t="shared" si="13"/>
      </c>
      <c r="AS24" s="155">
        <f t="shared" si="14"/>
      </c>
      <c r="AT24" s="156">
        <f t="shared" si="15"/>
      </c>
    </row>
    <row r="25" ht="12.75" customHeight="1" spans="2:46" x14ac:dyDescent="0.25">
      <c r="B25" s="145">
        <v>43604</v>
      </c>
      <c r="C25" s="146">
        <f t="shared" si="0"/>
        <v>0</v>
      </c>
      <c r="D25" s="146">
        <f t="shared" si="1"/>
        <v>0</v>
      </c>
      <c r="E25" s="147">
        <f t="shared" si="2"/>
        <v>0</v>
      </c>
      <c r="F25" s="147">
        <f t="shared" si="3"/>
        <v>0</v>
      </c>
      <c r="G25" s="147">
        <f t="shared" si="4"/>
        <v>0</v>
      </c>
      <c r="H25" s="147">
        <f t="shared" si="5"/>
        <v>0</v>
      </c>
      <c r="J25" s="178">
        <v>43422</v>
      </c>
      <c r="K25" s="179"/>
      <c r="L25" s="179"/>
      <c r="M25" s="179"/>
      <c r="N25" s="180">
        <f t="shared" si="17"/>
      </c>
      <c r="O25" s="181">
        <f t="shared" si="18"/>
      </c>
      <c r="P25" s="182"/>
      <c r="Q25" s="183"/>
      <c r="R25" s="183"/>
      <c r="S25" s="183"/>
      <c r="T25" s="183"/>
      <c r="U25" s="179"/>
      <c r="V25" s="179"/>
      <c r="W25" s="179"/>
      <c r="X25" s="184">
        <f t="shared" si="19"/>
      </c>
      <c r="AH25" s="148">
        <f t="shared" si="6"/>
        <v>0</v>
      </c>
      <c r="AJ25" s="157">
        <v>43574</v>
      </c>
      <c r="AK25" s="155">
        <f t="shared" si="16"/>
      </c>
      <c r="AL25" s="155">
        <f t="shared" si="7"/>
      </c>
      <c r="AM25" s="155">
        <f t="shared" si="8"/>
      </c>
      <c r="AN25" s="155">
        <f t="shared" si="9"/>
      </c>
      <c r="AO25" s="155">
        <f t="shared" si="10"/>
      </c>
      <c r="AP25" s="155">
        <f t="shared" si="11"/>
      </c>
      <c r="AQ25" s="155">
        <f t="shared" si="12"/>
      </c>
      <c r="AR25" s="155">
        <f t="shared" si="13"/>
      </c>
      <c r="AS25" s="155">
        <f t="shared" si="14"/>
      </c>
      <c r="AT25" s="156">
        <f t="shared" si="15"/>
      </c>
    </row>
    <row r="26" ht="12.75" customHeight="1" spans="2:46" x14ac:dyDescent="0.25">
      <c r="B26" s="145">
        <v>43635</v>
      </c>
      <c r="C26" s="146">
        <f t="shared" si="0"/>
        <v>0</v>
      </c>
      <c r="D26" s="146">
        <f t="shared" si="1"/>
        <v>0</v>
      </c>
      <c r="E26" s="147">
        <f t="shared" si="2"/>
        <v>0</v>
      </c>
      <c r="F26" s="147">
        <f t="shared" si="3"/>
        <v>0</v>
      </c>
      <c r="G26" s="147">
        <f t="shared" si="4"/>
        <v>0</v>
      </c>
      <c r="H26" s="147">
        <f t="shared" si="5"/>
        <v>0</v>
      </c>
      <c r="J26" s="178">
        <v>43452</v>
      </c>
      <c r="K26" s="179"/>
      <c r="L26" s="179"/>
      <c r="M26" s="179"/>
      <c r="N26" s="180">
        <f t="shared" si="17"/>
      </c>
      <c r="O26" s="181">
        <f t="shared" si="18"/>
      </c>
      <c r="P26" s="182"/>
      <c r="Q26" s="183"/>
      <c r="R26" s="183"/>
      <c r="S26" s="183"/>
      <c r="T26" s="183"/>
      <c r="U26" s="179"/>
      <c r="V26" s="179"/>
      <c r="W26" s="179"/>
      <c r="X26" s="184">
        <f t="shared" si="19"/>
      </c>
      <c r="AH26" s="148">
        <f t="shared" si="6"/>
        <v>0</v>
      </c>
      <c r="AJ26" s="157">
        <v>43604</v>
      </c>
      <c r="AK26" s="155">
        <f t="shared" si="16"/>
      </c>
      <c r="AL26" s="155">
        <f t="shared" si="7"/>
      </c>
      <c r="AM26" s="155">
        <f t="shared" si="8"/>
      </c>
      <c r="AN26" s="155">
        <f t="shared" si="9"/>
      </c>
      <c r="AO26" s="155">
        <f t="shared" si="10"/>
      </c>
      <c r="AP26" s="155">
        <f t="shared" si="11"/>
      </c>
      <c r="AQ26" s="155">
        <f t="shared" si="12"/>
      </c>
      <c r="AR26" s="155">
        <f t="shared" si="13"/>
      </c>
      <c r="AS26" s="155">
        <f t="shared" si="14"/>
      </c>
      <c r="AT26" s="156">
        <f t="shared" si="15"/>
      </c>
    </row>
    <row r="27" ht="12.75" customHeight="1" spans="2:46" x14ac:dyDescent="0.25">
      <c r="B27" s="145">
        <v>43665</v>
      </c>
      <c r="C27" s="146">
        <f t="shared" si="0"/>
        <v>0</v>
      </c>
      <c r="D27" s="146">
        <f t="shared" si="1"/>
        <v>0</v>
      </c>
      <c r="E27" s="147">
        <f t="shared" si="2"/>
        <v>0</v>
      </c>
      <c r="F27" s="147">
        <f t="shared" si="3"/>
        <v>0</v>
      </c>
      <c r="G27" s="147">
        <f t="shared" si="4"/>
        <v>0</v>
      </c>
      <c r="H27" s="147">
        <f t="shared" si="5"/>
        <v>0</v>
      </c>
      <c r="J27" s="178">
        <v>43484</v>
      </c>
      <c r="K27" s="179"/>
      <c r="L27" s="179"/>
      <c r="M27" s="179"/>
      <c r="N27" s="180">
        <f t="shared" si="17"/>
      </c>
      <c r="O27" s="181">
        <f t="shared" si="18"/>
      </c>
      <c r="P27" s="182"/>
      <c r="Q27" s="183"/>
      <c r="R27" s="183"/>
      <c r="S27" s="183"/>
      <c r="T27" s="183"/>
      <c r="U27" s="179"/>
      <c r="V27" s="179"/>
      <c r="W27" s="179"/>
      <c r="X27" s="184">
        <f t="shared" si="19"/>
      </c>
      <c r="AH27" s="148">
        <f t="shared" si="6"/>
        <v>0</v>
      </c>
      <c r="AJ27" s="157">
        <v>43635</v>
      </c>
      <c r="AK27" s="155">
        <f t="shared" si="16"/>
      </c>
      <c r="AL27" s="155">
        <f t="shared" si="7"/>
      </c>
      <c r="AM27" s="155">
        <f t="shared" si="8"/>
      </c>
      <c r="AN27" s="155">
        <f t="shared" si="9"/>
      </c>
      <c r="AO27" s="155">
        <f t="shared" si="10"/>
      </c>
      <c r="AP27" s="155">
        <f t="shared" si="11"/>
      </c>
      <c r="AQ27" s="155">
        <f t="shared" si="12"/>
      </c>
      <c r="AR27" s="155">
        <f t="shared" si="13"/>
      </c>
      <c r="AS27" s="155">
        <f t="shared" si="14"/>
      </c>
      <c r="AT27" s="156">
        <f t="shared" si="15"/>
      </c>
    </row>
    <row r="28" ht="12.75" customHeight="1" spans="2:46" x14ac:dyDescent="0.25">
      <c r="B28" s="145">
        <v>43696</v>
      </c>
      <c r="C28" s="146">
        <f t="shared" si="0"/>
        <v>0</v>
      </c>
      <c r="D28" s="146">
        <f t="shared" si="1"/>
        <v>0</v>
      </c>
      <c r="E28" s="147">
        <f t="shared" si="2"/>
        <v>0</v>
      </c>
      <c r="F28" s="147">
        <f t="shared" si="3"/>
        <v>0</v>
      </c>
      <c r="G28" s="147">
        <f t="shared" si="4"/>
        <v>0</v>
      </c>
      <c r="H28" s="147">
        <f t="shared" si="5"/>
        <v>0</v>
      </c>
      <c r="J28" s="178">
        <v>43515</v>
      </c>
      <c r="K28" s="179"/>
      <c r="L28" s="179"/>
      <c r="M28" s="179"/>
      <c r="N28" s="180">
        <f t="shared" si="17"/>
      </c>
      <c r="O28" s="181">
        <f t="shared" si="18"/>
      </c>
      <c r="P28" s="182"/>
      <c r="Q28" s="183"/>
      <c r="R28" s="183"/>
      <c r="S28" s="183"/>
      <c r="T28" s="183"/>
      <c r="U28" s="179"/>
      <c r="V28" s="179"/>
      <c r="W28" s="179"/>
      <c r="X28" s="184">
        <f t="shared" si="19"/>
      </c>
      <c r="AH28" s="148">
        <f t="shared" si="6"/>
        <v>0</v>
      </c>
      <c r="AJ28" s="157">
        <v>43665</v>
      </c>
      <c r="AK28" s="155">
        <f t="shared" si="16"/>
      </c>
      <c r="AL28" s="155">
        <f t="shared" si="7"/>
      </c>
      <c r="AM28" s="155">
        <f t="shared" si="8"/>
      </c>
      <c r="AN28" s="155">
        <f t="shared" si="9"/>
      </c>
      <c r="AO28" s="155">
        <f t="shared" si="10"/>
      </c>
      <c r="AP28" s="155">
        <f t="shared" si="11"/>
      </c>
      <c r="AQ28" s="155">
        <f t="shared" si="12"/>
      </c>
      <c r="AR28" s="155">
        <f t="shared" si="13"/>
      </c>
      <c r="AS28" s="155">
        <f t="shared" si="14"/>
      </c>
      <c r="AT28" s="156">
        <f t="shared" si="15"/>
      </c>
    </row>
    <row r="29" ht="12.75" customHeight="1" spans="2:46" x14ac:dyDescent="0.25">
      <c r="B29" s="145">
        <v>43727</v>
      </c>
      <c r="C29" s="146">
        <f t="shared" si="0"/>
        <v>0</v>
      </c>
      <c r="D29" s="146">
        <f t="shared" si="1"/>
        <v>0</v>
      </c>
      <c r="E29" s="147">
        <f t="shared" si="2"/>
        <v>0</v>
      </c>
      <c r="F29" s="147">
        <f t="shared" si="3"/>
        <v>0</v>
      </c>
      <c r="G29" s="147">
        <f t="shared" si="4"/>
        <v>0</v>
      </c>
      <c r="H29" s="147">
        <f t="shared" si="5"/>
        <v>0</v>
      </c>
      <c r="J29" s="178">
        <v>43543</v>
      </c>
      <c r="K29" s="179"/>
      <c r="L29" s="179"/>
      <c r="M29" s="179"/>
      <c r="N29" s="180">
        <f t="shared" si="17"/>
      </c>
      <c r="O29" s="181">
        <f t="shared" si="18"/>
      </c>
      <c r="P29" s="182"/>
      <c r="Q29" s="183"/>
      <c r="R29" s="183"/>
      <c r="S29" s="183"/>
      <c r="T29" s="183"/>
      <c r="U29" s="179"/>
      <c r="V29" s="179"/>
      <c r="W29" s="179"/>
      <c r="X29" s="184">
        <f t="shared" si="19"/>
      </c>
      <c r="AH29" s="148">
        <f t="shared" si="6"/>
        <v>0</v>
      </c>
      <c r="AJ29" s="157">
        <v>43696</v>
      </c>
      <c r="AK29" s="155">
        <f t="shared" si="16"/>
      </c>
      <c r="AL29" s="155">
        <f t="shared" si="7"/>
      </c>
      <c r="AM29" s="155">
        <f t="shared" si="8"/>
      </c>
      <c r="AN29" s="155">
        <f t="shared" si="9"/>
      </c>
      <c r="AO29" s="155">
        <f t="shared" si="10"/>
      </c>
      <c r="AP29" s="155">
        <f t="shared" si="11"/>
      </c>
      <c r="AQ29" s="155">
        <f t="shared" si="12"/>
      </c>
      <c r="AR29" s="155">
        <f t="shared" si="13"/>
      </c>
      <c r="AS29" s="155">
        <f t="shared" si="14"/>
      </c>
      <c r="AT29" s="156">
        <f t="shared" si="15"/>
      </c>
    </row>
    <row r="30" ht="12.75" customHeight="1" spans="2:46" x14ac:dyDescent="0.25">
      <c r="B30" s="145">
        <v>43757</v>
      </c>
      <c r="C30" s="146">
        <f t="shared" si="0"/>
        <v>0</v>
      </c>
      <c r="D30" s="146">
        <f t="shared" si="1"/>
        <v>0</v>
      </c>
      <c r="E30" s="147">
        <f t="shared" si="2"/>
        <v>0</v>
      </c>
      <c r="F30" s="147">
        <f t="shared" si="3"/>
        <v>0</v>
      </c>
      <c r="G30" s="147">
        <f t="shared" si="4"/>
        <v>0</v>
      </c>
      <c r="H30" s="147">
        <f t="shared" si="5"/>
        <v>0</v>
      </c>
      <c r="J30" s="178">
        <v>43574</v>
      </c>
      <c r="K30" s="179"/>
      <c r="L30" s="179"/>
      <c r="M30" s="179"/>
      <c r="N30" s="180">
        <f t="shared" si="17"/>
      </c>
      <c r="O30" s="181">
        <f t="shared" si="18"/>
      </c>
      <c r="P30" s="182"/>
      <c r="Q30" s="183"/>
      <c r="R30" s="183"/>
      <c r="S30" s="183"/>
      <c r="T30" s="183"/>
      <c r="U30" s="179"/>
      <c r="V30" s="179"/>
      <c r="W30" s="179"/>
      <c r="X30" s="184">
        <f t="shared" si="19"/>
      </c>
      <c r="AH30" s="148">
        <f t="shared" si="6"/>
        <v>0</v>
      </c>
      <c r="AJ30" s="157">
        <v>43727</v>
      </c>
      <c r="AK30" s="155">
        <f t="shared" si="16"/>
      </c>
      <c r="AL30" s="155">
        <f t="shared" si="7"/>
      </c>
      <c r="AM30" s="155">
        <f t="shared" si="8"/>
      </c>
      <c r="AN30" s="155">
        <f t="shared" si="9"/>
      </c>
      <c r="AO30" s="155">
        <f t="shared" si="10"/>
      </c>
      <c r="AP30" s="155">
        <f t="shared" si="11"/>
      </c>
      <c r="AQ30" s="155">
        <f t="shared" si="12"/>
      </c>
      <c r="AR30" s="155">
        <f t="shared" si="13"/>
      </c>
      <c r="AS30" s="155">
        <f t="shared" si="14"/>
      </c>
      <c r="AT30" s="156">
        <f t="shared" si="15"/>
      </c>
    </row>
    <row r="31" ht="12.75" customHeight="1" spans="2:46" x14ac:dyDescent="0.25">
      <c r="B31" s="145">
        <v>43788</v>
      </c>
      <c r="C31" s="146">
        <f t="shared" si="0"/>
        <v>0</v>
      </c>
      <c r="D31" s="146">
        <f t="shared" si="1"/>
        <v>0</v>
      </c>
      <c r="E31" s="147">
        <f t="shared" si="2"/>
        <v>0</v>
      </c>
      <c r="F31" s="147">
        <f t="shared" si="3"/>
        <v>0</v>
      </c>
      <c r="G31" s="147">
        <f t="shared" si="4"/>
        <v>0</v>
      </c>
      <c r="H31" s="147">
        <f t="shared" si="5"/>
        <v>0</v>
      </c>
      <c r="J31" s="178">
        <v>43604</v>
      </c>
      <c r="K31" s="179"/>
      <c r="L31" s="179"/>
      <c r="M31" s="179"/>
      <c r="N31" s="180">
        <f t="shared" si="17"/>
      </c>
      <c r="O31" s="181">
        <f t="shared" si="18"/>
      </c>
      <c r="P31" s="182"/>
      <c r="Q31" s="183"/>
      <c r="R31" s="183"/>
      <c r="S31" s="183"/>
      <c r="T31" s="183"/>
      <c r="U31" s="179"/>
      <c r="V31" s="179"/>
      <c r="W31" s="179"/>
      <c r="X31" s="184">
        <f t="shared" si="19"/>
      </c>
      <c r="AH31" s="148">
        <f t="shared" si="6"/>
        <v>0</v>
      </c>
      <c r="AJ31" s="157">
        <v>43757</v>
      </c>
      <c r="AK31" s="155">
        <f t="shared" si="16"/>
      </c>
      <c r="AL31" s="155">
        <f t="shared" si="7"/>
      </c>
      <c r="AM31" s="155">
        <f t="shared" si="8"/>
      </c>
      <c r="AN31" s="155">
        <f t="shared" si="9"/>
      </c>
      <c r="AO31" s="155">
        <f t="shared" si="10"/>
      </c>
      <c r="AP31" s="155">
        <f t="shared" si="11"/>
      </c>
      <c r="AQ31" s="155">
        <f t="shared" si="12"/>
      </c>
      <c r="AR31" s="155">
        <f t="shared" si="13"/>
      </c>
      <c r="AS31" s="155">
        <f t="shared" si="14"/>
      </c>
      <c r="AT31" s="156">
        <f t="shared" si="15"/>
      </c>
    </row>
    <row r="32" ht="12.75" customHeight="1" spans="2:46" x14ac:dyDescent="0.25">
      <c r="B32" s="145">
        <v>43818</v>
      </c>
      <c r="C32" s="146">
        <f t="shared" si="0"/>
        <v>0</v>
      </c>
      <c r="D32" s="146">
        <f t="shared" si="1"/>
        <v>0</v>
      </c>
      <c r="E32" s="147">
        <f t="shared" si="2"/>
        <v>0</v>
      </c>
      <c r="F32" s="147">
        <f t="shared" si="3"/>
        <v>0</v>
      </c>
      <c r="G32" s="147">
        <f t="shared" si="4"/>
        <v>0</v>
      </c>
      <c r="H32" s="147">
        <f t="shared" si="5"/>
        <v>0</v>
      </c>
      <c r="J32" s="178">
        <v>43635</v>
      </c>
      <c r="K32" s="179"/>
      <c r="L32" s="179"/>
      <c r="M32" s="179"/>
      <c r="N32" s="180">
        <f t="shared" si="17"/>
      </c>
      <c r="O32" s="181">
        <f t="shared" si="18"/>
      </c>
      <c r="P32" s="182"/>
      <c r="Q32" s="183"/>
      <c r="R32" s="183"/>
      <c r="S32" s="183"/>
      <c r="T32" s="183"/>
      <c r="U32" s="179"/>
      <c r="V32" s="179"/>
      <c r="W32" s="179"/>
      <c r="X32" s="184">
        <f t="shared" si="19"/>
      </c>
      <c r="AH32" s="148">
        <f t="shared" si="6"/>
        <v>0</v>
      </c>
      <c r="AJ32" s="157">
        <v>43788</v>
      </c>
      <c r="AK32" s="155">
        <f t="shared" si="16"/>
      </c>
      <c r="AL32" s="155">
        <f t="shared" si="7"/>
      </c>
      <c r="AM32" s="155">
        <f t="shared" si="8"/>
      </c>
      <c r="AN32" s="155">
        <f t="shared" si="9"/>
      </c>
      <c r="AO32" s="155">
        <f t="shared" si="10"/>
      </c>
      <c r="AP32" s="155">
        <f t="shared" si="11"/>
      </c>
      <c r="AQ32" s="155">
        <f t="shared" si="12"/>
      </c>
      <c r="AR32" s="155">
        <f t="shared" si="13"/>
      </c>
      <c r="AS32" s="155">
        <f t="shared" si="14"/>
      </c>
      <c r="AT32" s="156">
        <f t="shared" si="15"/>
      </c>
    </row>
    <row r="33" ht="12.75" customHeight="1" spans="2:46" x14ac:dyDescent="0.25">
      <c r="B33" s="145">
        <v>43850</v>
      </c>
      <c r="C33" s="146">
        <f t="shared" si="0"/>
        <v>0</v>
      </c>
      <c r="D33" s="146">
        <f t="shared" si="1"/>
        <v>0</v>
      </c>
      <c r="E33" s="147">
        <f t="shared" si="2"/>
        <v>0</v>
      </c>
      <c r="F33" s="147">
        <f t="shared" si="3"/>
        <v>0</v>
      </c>
      <c r="G33" s="147">
        <f t="shared" si="4"/>
        <v>0</v>
      </c>
      <c r="H33" s="147">
        <f t="shared" si="5"/>
        <v>0</v>
      </c>
      <c r="J33" s="178">
        <v>43665</v>
      </c>
      <c r="K33" s="179"/>
      <c r="L33" s="179"/>
      <c r="M33" s="179"/>
      <c r="N33" s="180">
        <f t="shared" si="17"/>
      </c>
      <c r="O33" s="181">
        <f t="shared" si="18"/>
      </c>
      <c r="P33" s="182"/>
      <c r="Q33" s="183"/>
      <c r="R33" s="183"/>
      <c r="S33" s="183"/>
      <c r="T33" s="183"/>
      <c r="U33" s="179"/>
      <c r="V33" s="179"/>
      <c r="W33" s="179"/>
      <c r="X33" s="184">
        <f t="shared" si="19"/>
      </c>
      <c r="AH33" s="148">
        <f t="shared" si="6"/>
        <v>0</v>
      </c>
      <c r="AJ33" s="157">
        <v>43818</v>
      </c>
      <c r="AK33" s="155">
        <f t="shared" si="16"/>
      </c>
      <c r="AL33" s="155">
        <f t="shared" si="7"/>
      </c>
      <c r="AM33" s="155">
        <f t="shared" si="8"/>
      </c>
      <c r="AN33" s="155">
        <f t="shared" si="9"/>
      </c>
      <c r="AO33" s="155">
        <f t="shared" si="10"/>
      </c>
      <c r="AP33" s="155">
        <f t="shared" si="11"/>
      </c>
      <c r="AQ33" s="155">
        <f t="shared" si="12"/>
      </c>
      <c r="AR33" s="155">
        <f t="shared" si="13"/>
      </c>
      <c r="AS33" s="155">
        <f t="shared" si="14"/>
      </c>
      <c r="AT33" s="156">
        <f t="shared" si="15"/>
      </c>
    </row>
    <row r="34" ht="12.75" customHeight="1" spans="2:46" x14ac:dyDescent="0.25">
      <c r="B34" s="145">
        <v>43881</v>
      </c>
      <c r="C34" s="146">
        <f t="shared" si="0"/>
        <v>0</v>
      </c>
      <c r="D34" s="146">
        <f t="shared" si="1"/>
        <v>0</v>
      </c>
      <c r="E34" s="147">
        <f t="shared" si="2"/>
        <v>0</v>
      </c>
      <c r="F34" s="147">
        <f t="shared" si="3"/>
        <v>0</v>
      </c>
      <c r="G34" s="147">
        <f t="shared" si="4"/>
        <v>0</v>
      </c>
      <c r="H34" s="147">
        <f t="shared" si="5"/>
        <v>0</v>
      </c>
      <c r="J34" s="178">
        <v>43696</v>
      </c>
      <c r="K34" s="179"/>
      <c r="L34" s="179"/>
      <c r="M34" s="179"/>
      <c r="N34" s="180">
        <f t="shared" si="17"/>
      </c>
      <c r="O34" s="181">
        <f t="shared" si="18"/>
      </c>
      <c r="P34" s="182"/>
      <c r="Q34" s="183"/>
      <c r="R34" s="183"/>
      <c r="S34" s="183"/>
      <c r="T34" s="183"/>
      <c r="U34" s="179"/>
      <c r="V34" s="179"/>
      <c r="W34" s="179"/>
      <c r="X34" s="184">
        <f t="shared" si="19"/>
      </c>
      <c r="AH34" s="148">
        <f t="shared" si="6"/>
        <v>0</v>
      </c>
      <c r="AJ34" s="157">
        <v>43850</v>
      </c>
      <c r="AK34" s="155">
        <f t="shared" si="16"/>
      </c>
      <c r="AL34" s="155">
        <f t="shared" si="7"/>
      </c>
      <c r="AM34" s="155">
        <f t="shared" si="8"/>
      </c>
      <c r="AN34" s="155">
        <f t="shared" si="9"/>
      </c>
      <c r="AO34" s="155">
        <f t="shared" si="10"/>
      </c>
      <c r="AP34" s="155">
        <f t="shared" si="11"/>
      </c>
      <c r="AQ34" s="155">
        <f t="shared" si="12"/>
      </c>
      <c r="AR34" s="155">
        <f t="shared" si="13"/>
      </c>
      <c r="AS34" s="155">
        <f t="shared" si="14"/>
      </c>
      <c r="AT34" s="156">
        <f t="shared" si="15"/>
      </c>
    </row>
    <row r="35" ht="12.75" customHeight="1" spans="2:46" x14ac:dyDescent="0.25">
      <c r="B35" s="145">
        <v>43910</v>
      </c>
      <c r="C35" s="146">
        <f t="shared" si="0"/>
        <v>0</v>
      </c>
      <c r="D35" s="146">
        <f t="shared" si="1"/>
        <v>0</v>
      </c>
      <c r="E35" s="147">
        <f t="shared" si="2"/>
        <v>0</v>
      </c>
      <c r="F35" s="147">
        <f t="shared" si="3"/>
        <v>0</v>
      </c>
      <c r="G35" s="147">
        <f t="shared" si="4"/>
        <v>0</v>
      </c>
      <c r="H35" s="147">
        <f t="shared" si="5"/>
        <v>0</v>
      </c>
      <c r="J35" s="178">
        <v>43727</v>
      </c>
      <c r="K35" s="179"/>
      <c r="L35" s="179"/>
      <c r="M35" s="179"/>
      <c r="N35" s="180">
        <f t="shared" si="17"/>
      </c>
      <c r="O35" s="181">
        <f t="shared" si="18"/>
      </c>
      <c r="P35" s="182"/>
      <c r="Q35" s="183"/>
      <c r="R35" s="183"/>
      <c r="S35" s="183"/>
      <c r="T35" s="183"/>
      <c r="U35" s="179"/>
      <c r="V35" s="179"/>
      <c r="W35" s="179"/>
      <c r="X35" s="184">
        <f t="shared" si="19"/>
      </c>
      <c r="AH35" s="148">
        <f t="shared" si="6"/>
        <v>0</v>
      </c>
      <c r="AJ35" s="157">
        <v>43881</v>
      </c>
      <c r="AK35" s="155">
        <f t="shared" si="16"/>
      </c>
      <c r="AL35" s="155">
        <f t="shared" si="7"/>
      </c>
      <c r="AM35" s="155">
        <f t="shared" si="8"/>
      </c>
      <c r="AN35" s="155">
        <f t="shared" si="9"/>
      </c>
      <c r="AO35" s="155">
        <f t="shared" si="10"/>
      </c>
      <c r="AP35" s="155">
        <f t="shared" si="11"/>
      </c>
      <c r="AQ35" s="155">
        <f t="shared" si="12"/>
      </c>
      <c r="AR35" s="155">
        <f t="shared" si="13"/>
      </c>
      <c r="AS35" s="155">
        <f t="shared" si="14"/>
      </c>
      <c r="AT35" s="156">
        <f t="shared" si="15"/>
      </c>
    </row>
    <row r="36" ht="12.75" customHeight="1" spans="2:46" x14ac:dyDescent="0.25">
      <c r="B36" s="185" t="s">
        <v>183</v>
      </c>
      <c r="C36" s="186">
        <f>SUM(C4:C35)/COUNTIF(AH4:AH35,"&gt;0")</f>
        <v>412.541027</v>
      </c>
      <c r="D36" s="186">
        <f>SUM(D4:D35)/COUNTIF(D4:D35,"&gt;0")</f>
        <v>2178.338809</v>
      </c>
      <c r="E36" s="187">
        <f t="shared" ref="E36:H36" si="20">SUM(E4:E35)</f>
        <v>6481</v>
      </c>
      <c r="F36" s="187">
        <f t="shared" si="20"/>
        <v>508</v>
      </c>
      <c r="G36" s="187">
        <f t="shared" si="20"/>
        <v>2</v>
      </c>
      <c r="H36" s="187">
        <f t="shared" si="20"/>
        <v>1</v>
      </c>
      <c r="J36" s="178">
        <v>43757</v>
      </c>
      <c r="K36" s="179"/>
      <c r="L36" s="179"/>
      <c r="M36" s="179"/>
      <c r="N36" s="180">
        <f t="shared" si="17"/>
      </c>
      <c r="O36" s="181">
        <f t="shared" si="18"/>
      </c>
      <c r="P36" s="182"/>
      <c r="Q36" s="183"/>
      <c r="R36" s="183"/>
      <c r="S36" s="183"/>
      <c r="T36" s="183"/>
      <c r="U36" s="179"/>
      <c r="V36" s="179"/>
      <c r="W36" s="179"/>
      <c r="X36" s="184">
        <f t="shared" si="19"/>
      </c>
      <c r="AJ36" s="188">
        <v>43910</v>
      </c>
      <c r="AK36" s="189">
        <f t="shared" si="16"/>
      </c>
      <c r="AL36" s="189">
        <f t="shared" si="7"/>
      </c>
      <c r="AM36" s="189">
        <f t="shared" si="8"/>
      </c>
      <c r="AN36" s="189">
        <f t="shared" si="9"/>
      </c>
      <c r="AO36" s="189">
        <f t="shared" si="10"/>
      </c>
      <c r="AP36" s="189">
        <f t="shared" si="11"/>
      </c>
      <c r="AQ36" s="189">
        <f t="shared" si="12"/>
      </c>
      <c r="AR36" s="189">
        <f t="shared" si="13"/>
      </c>
      <c r="AS36" s="189">
        <f t="shared" si="14"/>
      </c>
      <c r="AT36" s="190">
        <f t="shared" si="15"/>
      </c>
    </row>
    <row r="37" ht="12.75" customHeight="1" spans="2:46" x14ac:dyDescent="0.25">
      <c r="B37" s="185" t="s">
        <v>88</v>
      </c>
      <c r="C37" s="186">
        <f t="shared" ref="C37:D37" si="21">C36*12</f>
        <v>4950.492323</v>
      </c>
      <c r="D37" s="186">
        <f t="shared" si="21"/>
        <v>26140.06571</v>
      </c>
      <c r="E37" s="185"/>
      <c r="F37" s="185"/>
      <c r="G37" s="185"/>
      <c r="H37" s="185"/>
      <c r="J37" s="178">
        <v>43788</v>
      </c>
      <c r="K37" s="179"/>
      <c r="L37" s="179"/>
      <c r="M37" s="179"/>
      <c r="N37" s="180">
        <f t="shared" si="17"/>
      </c>
      <c r="O37" s="181">
        <f t="shared" si="18"/>
      </c>
      <c r="P37" s="182"/>
      <c r="Q37" s="183"/>
      <c r="R37" s="183"/>
      <c r="S37" s="183"/>
      <c r="T37" s="183"/>
      <c r="U37" s="179"/>
      <c r="V37" s="179"/>
      <c r="W37" s="179"/>
      <c r="X37" s="184">
        <f t="shared" si="19"/>
      </c>
      <c r="AJ37" s="191" t="s">
        <v>183</v>
      </c>
      <c r="AK37" s="192">
        <f>IFERROR(SUM(AK5:AK36)/O8,"")</f>
        <v>0.785720293</v>
      </c>
      <c r="AL37" s="192">
        <f>IFERROR(SUM(AL5:AL36)/O52,"")</f>
        <v>3.112404255</v>
      </c>
      <c r="AM37" s="192">
        <f>IFERROR(SUM(AM5:AM36)/O96,"")</f>
        <v>13.23006683</v>
      </c>
      <c r="AN37" s="192">
        <f>IFERROR(SUM(AN5:AN36)/O140,"")</f>
        <v>0.005041074766</v>
      </c>
      <c r="AO37" s="192">
        <f>IFERROR(SUM(AO5:AO36)/O184,"")</f>
        <v>0</v>
      </c>
      <c r="AP37" s="192">
        <f>IFERROR(SUM(AP5:AP36)/O228,"")</f>
        <v>0</v>
      </c>
      <c r="AQ37" s="192">
        <f>IFERROR(SUM(AQ5:AQ36)/O272,"")</f>
        <v>0</v>
      </c>
      <c r="AR37" s="192">
        <f>IFERROR(SUM(AR5:AR36)/O316,"")</f>
        <v>0</v>
      </c>
      <c r="AS37" s="192">
        <f>IFERROR(SUM(AS5:AS36)/O360,"")</f>
        <v>0</v>
      </c>
      <c r="AT37" s="193">
        <f>IFERROR(SUM(AT5:AT36)/O404,"")</f>
        <v>0</v>
      </c>
    </row>
    <row r="38" ht="12.75" customHeight="1" spans="10:46" x14ac:dyDescent="0.25">
      <c r="J38" s="178">
        <v>43818</v>
      </c>
      <c r="K38" s="179"/>
      <c r="L38" s="179"/>
      <c r="M38" s="179"/>
      <c r="N38" s="180">
        <f t="shared" si="17"/>
      </c>
      <c r="O38" s="181">
        <f t="shared" si="18"/>
      </c>
      <c r="P38" s="182"/>
      <c r="Q38" s="183"/>
      <c r="R38" s="183"/>
      <c r="S38" s="183"/>
      <c r="T38" s="183"/>
      <c r="U38" s="179"/>
      <c r="V38" s="179"/>
      <c r="W38" s="179"/>
      <c r="X38" s="184">
        <f t="shared" si="19"/>
      </c>
      <c r="AJ38" s="194" t="s">
        <v>184</v>
      </c>
      <c r="AK38" s="195">
        <f t="shared" ref="AK38:AT38" si="22">IFERROR(AK37*365,"")</f>
        <v>286.787907</v>
      </c>
      <c r="AL38" s="195">
        <f t="shared" si="22"/>
        <v>1136.027553</v>
      </c>
      <c r="AM38" s="195">
        <f t="shared" si="22"/>
        <v>4828.974394</v>
      </c>
      <c r="AN38" s="195">
        <f t="shared" si="22"/>
        <v>1.83999229</v>
      </c>
      <c r="AO38" s="195">
        <f t="shared" si="22"/>
        <v>0</v>
      </c>
      <c r="AP38" s="195">
        <f t="shared" si="22"/>
        <v>0</v>
      </c>
      <c r="AQ38" s="195">
        <f t="shared" si="22"/>
        <v>0</v>
      </c>
      <c r="AR38" s="195">
        <f t="shared" si="22"/>
        <v>0</v>
      </c>
      <c r="AS38" s="195">
        <f t="shared" si="22"/>
        <v>0</v>
      </c>
      <c r="AT38" s="196">
        <f t="shared" si="22"/>
        <v>0</v>
      </c>
    </row>
    <row r="39" ht="12.75" customHeight="1" spans="10:46" x14ac:dyDescent="0.25">
      <c r="J39" s="178">
        <v>43850</v>
      </c>
      <c r="K39" s="179"/>
      <c r="L39" s="179"/>
      <c r="M39" s="179"/>
      <c r="N39" s="180">
        <f t="shared" si="17"/>
      </c>
      <c r="O39" s="181">
        <f t="shared" si="18"/>
      </c>
      <c r="P39" s="182"/>
      <c r="Q39" s="183"/>
      <c r="R39" s="183"/>
      <c r="S39" s="183"/>
      <c r="T39" s="183"/>
      <c r="U39" s="179"/>
      <c r="V39" s="179"/>
      <c r="W39" s="179"/>
      <c r="X39" s="184">
        <f t="shared" si="19"/>
      </c>
      <c r="AJ39" s="197" t="s">
        <v>185</v>
      </c>
      <c r="AK39" s="198">
        <f>SUM(AK38:AT38)</f>
        <v>6253.629846</v>
      </c>
      <c r="AL39" s="199"/>
      <c r="AM39" s="199"/>
      <c r="AN39" s="199"/>
      <c r="AO39" s="199"/>
      <c r="AP39" s="199"/>
      <c r="AQ39" s="199"/>
      <c r="AR39" s="199"/>
      <c r="AS39" s="199"/>
      <c r="AT39" s="200"/>
    </row>
    <row r="40" ht="12.75" customHeight="1" spans="10:24" x14ac:dyDescent="0.25">
      <c r="J40" s="178">
        <v>43881</v>
      </c>
      <c r="K40" s="179"/>
      <c r="L40" s="179"/>
      <c r="M40" s="179"/>
      <c r="N40" s="180">
        <f t="shared" si="17"/>
      </c>
      <c r="O40" s="181">
        <f t="shared" si="18"/>
      </c>
      <c r="P40" s="182"/>
      <c r="Q40" s="183"/>
      <c r="R40" s="183"/>
      <c r="S40" s="183"/>
      <c r="T40" s="183"/>
      <c r="U40" s="179"/>
      <c r="V40" s="179"/>
      <c r="W40" s="179"/>
      <c r="X40" s="184">
        <f t="shared" si="19"/>
      </c>
    </row>
    <row r="41" ht="12.75" customHeight="1" spans="10:24" x14ac:dyDescent="0.25">
      <c r="J41" s="178">
        <v>43910</v>
      </c>
      <c r="K41" s="179"/>
      <c r="L41" s="179"/>
      <c r="M41" s="179"/>
      <c r="N41" s="180">
        <f t="shared" si="17"/>
      </c>
      <c r="O41" s="181">
        <f t="shared" si="18"/>
      </c>
      <c r="P41" s="182"/>
      <c r="Q41" s="183"/>
      <c r="R41" s="183"/>
      <c r="S41" s="183"/>
      <c r="T41" s="183"/>
      <c r="U41" s="179"/>
      <c r="V41" s="179"/>
      <c r="W41" s="179"/>
      <c r="X41" s="184">
        <f t="shared" si="19"/>
      </c>
    </row>
    <row r="42" ht="12.75" customHeight="1" spans="10:34" x14ac:dyDescent="0.25">
      <c r="J42" s="201" t="s">
        <v>186</v>
      </c>
      <c r="K42" s="202">
        <f t="shared" ref="K42:P42" si="23">IFERROR(AVERAGE(K10:K41),0)</f>
        <v>23.83351556</v>
      </c>
      <c r="L42" s="202">
        <f t="shared" si="23"/>
        <v>135.7726874</v>
      </c>
      <c r="M42" s="203">
        <f t="shared" si="23"/>
        <v>249.7518124</v>
      </c>
      <c r="N42" s="203">
        <f t="shared" si="23"/>
        <v>0.9990072498</v>
      </c>
      <c r="O42" s="203">
        <f t="shared" si="23"/>
        <v>250</v>
      </c>
      <c r="P42" s="203">
        <f t="shared" si="23"/>
        <v>1.978323333</v>
      </c>
      <c r="Q42" s="204">
        <f t="shared" ref="Q42:T42" si="24">SUM(Q10:Q41)</f>
        <v>2643</v>
      </c>
      <c r="R42" s="204">
        <f t="shared" si="24"/>
        <v>30</v>
      </c>
      <c r="S42" s="204">
        <f t="shared" si="24"/>
        <v>0</v>
      </c>
      <c r="T42" s="204">
        <f t="shared" si="24"/>
        <v>0</v>
      </c>
      <c r="U42" s="205">
        <f t="shared" ref="U42:X42" si="25">IFERROR(AVERAGE(U10:U41),0)</f>
        <v>239.0420105</v>
      </c>
      <c r="V42" s="205">
        <f t="shared" si="25"/>
        <v>243.7040143</v>
      </c>
      <c r="W42" s="205">
        <f t="shared" si="25"/>
        <v>184.9042583</v>
      </c>
      <c r="X42" s="206">
        <f t="shared" si="25"/>
        <v>27.44990562</v>
      </c>
      <c r="AF42" s="207" t="s">
        <v>187</v>
      </c>
      <c r="AG42" s="207"/>
      <c r="AH42" s="208">
        <f>IFERROR(IF($L$8="",0, IF($L$8="CC",$O$43,IF($L$8="OD",$O$43,$X$42)))+IF($L$52="",0, IF($L$52="CC",$O$87,IF($L$52="OD",$O$87,$X$86)))+IF($L$96="",0, IF($L$96="CC",$O$131,IF($L$96="OD",$O$131,$X$130)))+IF($L$140="",0, IF($L$140="CC",$O$175,IF($L$140="OD",$O$175,$X$174)))+IF($L$184="",0, IF($L$184="CC",$O$219,IF($L$184="OD",$O$219,$X$218)))+IF($L$228="",0, IF($L$228="CC",$O$263,IF($L$228="OD",$O$263,$X$262)))+IF($L$272="",0, IF($L$272="CC",$O$307,IF($L$272="OD",$O$307,$X$306)))+IF($L$316="",0, IF($L$316="CC",$O$351,IF($L$316="OD",$O$351,$X$350)))+IF($L$360="",0, IF($L$360="CC",$O$395,IF($L$360="OD",$O$395,$X$394)))+IF($L$404="",0, IF($L$404="CC",$O$439,IF($L$404="OD",$O$439,$X$438))),"Error")</f>
        <v>215.2247091</v>
      </c>
    </row>
    <row r="43" ht="12.75" customHeight="1" spans="10:24" x14ac:dyDescent="0.25">
      <c r="J43" s="209" t="s">
        <v>188</v>
      </c>
      <c r="K43" s="210">
        <f>K42*12</f>
        <v>286.0021867</v>
      </c>
      <c r="L43" s="210" t="s">
        <v>189</v>
      </c>
      <c r="M43" s="205">
        <f>IF(N42=0,"0",100%-N42)</f>
        <v>0.0009927502222</v>
      </c>
      <c r="N43" s="210" t="s">
        <v>190</v>
      </c>
      <c r="O43" s="206">
        <f>M43*O42</f>
        <v>0.2481875556</v>
      </c>
      <c r="P43" s="211"/>
      <c r="Q43" s="212"/>
      <c r="R43" s="212"/>
      <c r="S43" s="212"/>
      <c r="T43" s="212"/>
      <c r="U43" s="212"/>
      <c r="V43" s="212"/>
      <c r="W43" s="212"/>
      <c r="X43" s="212"/>
    </row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spans="22:24" x14ac:dyDescent="0.25">
      <c r="V50" s="172"/>
      <c r="W50" s="107"/>
      <c r="X50" s="107"/>
    </row>
    <row r="51" ht="12.75" customHeight="1" spans="10:24" x14ac:dyDescent="0.25">
      <c r="J51" s="213" t="s">
        <v>155</v>
      </c>
      <c r="K51" s="213"/>
      <c r="L51" s="158" t="s">
        <v>156</v>
      </c>
      <c r="M51" s="160" t="s">
        <v>157</v>
      </c>
      <c r="N51" s="160" t="s">
        <v>158</v>
      </c>
      <c r="O51" s="160" t="s">
        <v>159</v>
      </c>
      <c r="P51" s="161" t="s">
        <v>160</v>
      </c>
      <c r="Q51" s="161" t="s">
        <v>161</v>
      </c>
      <c r="R51" s="162" t="s">
        <v>162</v>
      </c>
      <c r="S51" s="163"/>
      <c r="T51" s="164" t="s">
        <v>163</v>
      </c>
      <c r="U51" s="163"/>
      <c r="V51" s="172"/>
      <c r="W51" s="107"/>
      <c r="X51" s="107"/>
    </row>
    <row r="52" ht="12.75" customHeight="1" spans="10:24" x14ac:dyDescent="0.25">
      <c r="J52" s="214" t="s">
        <v>191</v>
      </c>
      <c r="K52" s="214"/>
      <c r="L52" s="167" t="s">
        <v>165</v>
      </c>
      <c r="M52" s="168">
        <v>43160</v>
      </c>
      <c r="N52" s="168">
        <v>43373</v>
      </c>
      <c r="O52" s="169">
        <f>IFERROR(IF(OR((R52=""),(N52=""),(M52="")),"",DAYS(N52,M52))+1,"")</f>
        <v>214</v>
      </c>
      <c r="P52" s="170">
        <v>1000</v>
      </c>
      <c r="Q52" s="215"/>
      <c r="R52" s="171" t="s">
        <v>166</v>
      </c>
      <c r="S52" s="166"/>
      <c r="T52" s="214" t="s">
        <v>192</v>
      </c>
      <c r="U52" s="216"/>
      <c r="V52" s="172"/>
      <c r="W52" s="173"/>
      <c r="X52" s="173"/>
    </row>
    <row r="53" ht="12.75" customHeight="1" spans="10:24" x14ac:dyDescent="0.25">
      <c r="J53" s="201" t="s">
        <v>168</v>
      </c>
      <c r="K53" s="202" t="s">
        <v>169</v>
      </c>
      <c r="L53" s="202" t="s">
        <v>170</v>
      </c>
      <c r="M53" s="202" t="s">
        <v>171</v>
      </c>
      <c r="N53" s="202" t="s">
        <v>172</v>
      </c>
      <c r="O53" s="202" t="s">
        <v>173</v>
      </c>
      <c r="P53" s="202" t="s">
        <v>174</v>
      </c>
      <c r="Q53" s="202" t="s">
        <v>175</v>
      </c>
      <c r="R53" s="12" t="s">
        <v>176</v>
      </c>
      <c r="S53" s="12" t="s">
        <v>177</v>
      </c>
      <c r="T53" s="202" t="s">
        <v>178</v>
      </c>
      <c r="U53" s="202" t="s">
        <v>179</v>
      </c>
      <c r="V53" s="175" t="s">
        <v>180</v>
      </c>
      <c r="W53" s="175" t="s">
        <v>181</v>
      </c>
      <c r="X53" s="176" t="s">
        <v>182</v>
      </c>
    </row>
    <row r="54" ht="12.75" customHeight="1" spans="10:24" x14ac:dyDescent="0.25">
      <c r="J54" s="178">
        <v>42964</v>
      </c>
      <c r="K54" s="179"/>
      <c r="L54" s="179"/>
      <c r="M54" s="179"/>
      <c r="N54" s="180">
        <f t="shared" ref="N54:N85" si="26">IF(M54="","",IF(O54&gt;0,M54/O54,""))</f>
      </c>
      <c r="O54" s="181">
        <f t="shared" ref="O54:O85" si="27">IF(M54="","",IF($Q$52="",$P$52,$Q$52))</f>
      </c>
      <c r="P54" s="182"/>
      <c r="Q54" s="183"/>
      <c r="R54" s="183"/>
      <c r="S54" s="183"/>
      <c r="T54" s="183"/>
      <c r="U54" s="179"/>
      <c r="V54" s="179"/>
      <c r="W54" s="179"/>
      <c r="X54" s="184">
        <f t="shared" ref="X54:X85" si="28">IF(K54="","",IF($L$52="OD",O54-SUM(U54:W54)/3,IF($L$52="CC",O54-SUM(U54:W54)/3,SUM(U54:W54)/3)))</f>
      </c>
    </row>
    <row r="55" ht="12.75" customHeight="1" spans="10:24" x14ac:dyDescent="0.25">
      <c r="J55" s="178">
        <v>42995</v>
      </c>
      <c r="K55" s="179"/>
      <c r="L55" s="179"/>
      <c r="M55" s="179"/>
      <c r="N55" s="180">
        <f t="shared" si="26"/>
      </c>
      <c r="O55" s="181">
        <f t="shared" si="27"/>
      </c>
      <c r="P55" s="182"/>
      <c r="Q55" s="183"/>
      <c r="R55" s="183"/>
      <c r="S55" s="183"/>
      <c r="T55" s="183"/>
      <c r="U55" s="179"/>
      <c r="V55" s="179"/>
      <c r="W55" s="179"/>
      <c r="X55" s="184">
        <f t="shared" si="28"/>
      </c>
    </row>
    <row r="56" ht="12.75" customHeight="1" spans="10:24" x14ac:dyDescent="0.25">
      <c r="J56" s="178">
        <v>43025</v>
      </c>
      <c r="K56" s="179"/>
      <c r="L56" s="179"/>
      <c r="M56" s="179"/>
      <c r="N56" s="180">
        <f t="shared" si="26"/>
      </c>
      <c r="O56" s="181">
        <f t="shared" si="27"/>
      </c>
      <c r="P56" s="182"/>
      <c r="Q56" s="183"/>
      <c r="R56" s="183"/>
      <c r="S56" s="183"/>
      <c r="T56" s="183"/>
      <c r="U56" s="179"/>
      <c r="V56" s="179"/>
      <c r="W56" s="179"/>
      <c r="X56" s="184">
        <f t="shared" si="28"/>
      </c>
    </row>
    <row r="57" ht="12.75" customHeight="1" spans="10:24" x14ac:dyDescent="0.25">
      <c r="J57" s="178">
        <v>43056</v>
      </c>
      <c r="K57" s="179"/>
      <c r="L57" s="179"/>
      <c r="M57" s="179"/>
      <c r="N57" s="180">
        <f t="shared" si="26"/>
      </c>
      <c r="O57" s="181">
        <f t="shared" si="27"/>
      </c>
      <c r="P57" s="182"/>
      <c r="Q57" s="183"/>
      <c r="R57" s="183"/>
      <c r="S57" s="183"/>
      <c r="T57" s="183"/>
      <c r="U57" s="179"/>
      <c r="V57" s="179"/>
      <c r="W57" s="179"/>
      <c r="X57" s="184">
        <f t="shared" si="28"/>
      </c>
    </row>
    <row r="58" ht="12.75" customHeight="1" spans="10:24" x14ac:dyDescent="0.25">
      <c r="J58" s="178">
        <v>43086</v>
      </c>
      <c r="K58" s="179"/>
      <c r="L58" s="179"/>
      <c r="M58" s="179"/>
      <c r="N58" s="180">
        <f t="shared" si="26"/>
      </c>
      <c r="O58" s="181">
        <f t="shared" si="27"/>
      </c>
      <c r="P58" s="182"/>
      <c r="Q58" s="183"/>
      <c r="R58" s="183"/>
      <c r="S58" s="183"/>
      <c r="T58" s="183"/>
      <c r="U58" s="179"/>
      <c r="V58" s="179"/>
      <c r="W58" s="179"/>
      <c r="X58" s="184">
        <f t="shared" si="28"/>
      </c>
    </row>
    <row r="59" ht="12.75" customHeight="1" spans="10:24" x14ac:dyDescent="0.25">
      <c r="J59" s="178">
        <v>43118</v>
      </c>
      <c r="K59" s="179"/>
      <c r="L59" s="179"/>
      <c r="M59" s="179"/>
      <c r="N59" s="180">
        <f t="shared" si="26"/>
      </c>
      <c r="O59" s="181">
        <f t="shared" si="27"/>
      </c>
      <c r="P59" s="182"/>
      <c r="Q59" s="183"/>
      <c r="R59" s="183"/>
      <c r="S59" s="183"/>
      <c r="T59" s="183"/>
      <c r="U59" s="179"/>
      <c r="V59" s="179"/>
      <c r="W59" s="179"/>
      <c r="X59" s="184">
        <f t="shared" si="28"/>
      </c>
    </row>
    <row r="60" ht="12.75" customHeight="1" spans="10:24" x14ac:dyDescent="0.25">
      <c r="J60" s="178">
        <v>43149</v>
      </c>
      <c r="K60" s="179"/>
      <c r="L60" s="179"/>
      <c r="M60" s="179"/>
      <c r="N60" s="180">
        <f t="shared" si="26"/>
      </c>
      <c r="O60" s="181">
        <f t="shared" si="27"/>
      </c>
      <c r="P60" s="182"/>
      <c r="Q60" s="183"/>
      <c r="R60" s="183"/>
      <c r="S60" s="183"/>
      <c r="T60" s="183"/>
      <c r="U60" s="179"/>
      <c r="V60" s="179"/>
      <c r="W60" s="179"/>
      <c r="X60" s="184">
        <f t="shared" si="28"/>
      </c>
    </row>
    <row r="61" ht="12.75" customHeight="1" spans="10:24" x14ac:dyDescent="0.25">
      <c r="J61" s="178">
        <v>43177</v>
      </c>
      <c r="K61" s="179">
        <v>26.633737000000004</v>
      </c>
      <c r="L61" s="179">
        <v>195.4675577</v>
      </c>
      <c r="M61" s="179">
        <v>784.4361468</v>
      </c>
      <c r="N61" s="180">
        <f t="shared" si="26"/>
        <v>0.7844361468</v>
      </c>
      <c r="O61" s="181">
        <f t="shared" si="27"/>
        <v>1000</v>
      </c>
      <c r="P61" s="182">
        <v>9.02186</v>
      </c>
      <c r="Q61" s="183">
        <v>14</v>
      </c>
      <c r="R61" s="183">
        <v>10</v>
      </c>
      <c r="S61" s="183">
        <v>0</v>
      </c>
      <c r="T61" s="183">
        <v>0</v>
      </c>
      <c r="U61" s="179">
        <v>705.2642068</v>
      </c>
      <c r="V61" s="179">
        <v>783.6992488</v>
      </c>
      <c r="W61" s="179">
        <v>784.4361468</v>
      </c>
      <c r="X61" s="184">
        <f t="shared" si="28"/>
        <v>242.2001325</v>
      </c>
    </row>
    <row r="62" ht="12.75" customHeight="1" spans="10:24" x14ac:dyDescent="0.25">
      <c r="J62" s="178">
        <v>43208</v>
      </c>
      <c r="K62" s="179">
        <v>41.291957000000004</v>
      </c>
      <c r="L62" s="179">
        <v>31.657237000000002</v>
      </c>
      <c r="M62" s="179">
        <v>804.7909218</v>
      </c>
      <c r="N62" s="180">
        <f t="shared" si="26"/>
        <v>0.8047909218</v>
      </c>
      <c r="O62" s="181">
        <f t="shared" si="27"/>
        <v>1000</v>
      </c>
      <c r="P62" s="182">
        <v>10.3862</v>
      </c>
      <c r="Q62" s="183">
        <v>7</v>
      </c>
      <c r="R62" s="183">
        <v>10</v>
      </c>
      <c r="S62" s="183">
        <v>0</v>
      </c>
      <c r="T62" s="183">
        <v>0</v>
      </c>
      <c r="U62" s="179">
        <v>793.4580068</v>
      </c>
      <c r="V62" s="179">
        <v>804.7909218</v>
      </c>
      <c r="W62" s="179">
        <v>774.8014268</v>
      </c>
      <c r="X62" s="184">
        <f t="shared" si="28"/>
        <v>208.9832149</v>
      </c>
    </row>
    <row r="63" ht="12.75" customHeight="1" spans="10:24" x14ac:dyDescent="0.25">
      <c r="J63" s="178">
        <v>43238</v>
      </c>
      <c r="K63" s="179">
        <v>200.037737</v>
      </c>
      <c r="L63" s="179">
        <v>423.23666</v>
      </c>
      <c r="M63" s="179">
        <v>1082.290029</v>
      </c>
      <c r="N63" s="180">
        <f t="shared" si="26"/>
        <v>1.082290029</v>
      </c>
      <c r="O63" s="181">
        <f t="shared" si="27"/>
        <v>1000</v>
      </c>
      <c r="P63" s="182">
        <v>12.69611</v>
      </c>
      <c r="Q63" s="183">
        <v>8</v>
      </c>
      <c r="R63" s="183">
        <v>6</v>
      </c>
      <c r="S63" s="183">
        <v>0</v>
      </c>
      <c r="T63" s="183">
        <v>0</v>
      </c>
      <c r="U63" s="179">
        <v>785.1876268</v>
      </c>
      <c r="V63" s="179">
        <v>1082.2900288</v>
      </c>
      <c r="W63" s="179">
        <v>868.2589988</v>
      </c>
      <c r="X63" s="184">
        <f t="shared" si="28"/>
        <v>88.08778187</v>
      </c>
    </row>
    <row r="64" ht="12.75" customHeight="1" spans="10:24" x14ac:dyDescent="0.25">
      <c r="J64" s="178">
        <v>43269</v>
      </c>
      <c r="K64" s="179">
        <v>112.59297559999999</v>
      </c>
      <c r="L64" s="179">
        <v>251.66897110000002</v>
      </c>
      <c r="M64" s="179">
        <v>890.4191517</v>
      </c>
      <c r="N64" s="180">
        <f t="shared" si="26"/>
        <v>0.8904191517</v>
      </c>
      <c r="O64" s="181">
        <f t="shared" si="27"/>
        <v>1000</v>
      </c>
      <c r="P64" s="182">
        <v>8.89768</v>
      </c>
      <c r="Q64" s="183">
        <v>37</v>
      </c>
      <c r="R64" s="183">
        <v>7</v>
      </c>
      <c r="S64" s="183">
        <v>0</v>
      </c>
      <c r="T64" s="183">
        <v>0</v>
      </c>
      <c r="U64" s="179">
        <v>850.7715018</v>
      </c>
      <c r="V64" s="179">
        <v>792.6997443</v>
      </c>
      <c r="W64" s="179">
        <v>790.3333473</v>
      </c>
      <c r="X64" s="184">
        <f t="shared" si="28"/>
        <v>188.7318022</v>
      </c>
    </row>
    <row r="65" ht="12.75" customHeight="1" spans="10:24" x14ac:dyDescent="0.25">
      <c r="J65" s="178">
        <v>43299</v>
      </c>
      <c r="K65" s="179">
        <v>110.49206699999999</v>
      </c>
      <c r="L65" s="179">
        <v>176.2804372</v>
      </c>
      <c r="M65" s="179">
        <v>802.7185891</v>
      </c>
      <c r="N65" s="180">
        <f t="shared" si="26"/>
        <v>0.8027185891</v>
      </c>
      <c r="O65" s="181">
        <f t="shared" si="27"/>
        <v>1000</v>
      </c>
      <c r="P65" s="182">
        <v>10.14093</v>
      </c>
      <c r="Q65" s="183">
        <v>18</v>
      </c>
      <c r="R65" s="183">
        <v>7</v>
      </c>
      <c r="S65" s="183">
        <v>0</v>
      </c>
      <c r="T65" s="183">
        <v>0</v>
      </c>
      <c r="U65" s="179">
        <v>799.2310273</v>
      </c>
      <c r="V65" s="179">
        <v>802.7185891</v>
      </c>
      <c r="W65" s="179">
        <v>752.4681689</v>
      </c>
      <c r="X65" s="184">
        <f t="shared" si="28"/>
        <v>215.1940716</v>
      </c>
    </row>
    <row r="66" ht="12.75" customHeight="1" spans="10:24" x14ac:dyDescent="0.25">
      <c r="J66" s="178">
        <v>43330</v>
      </c>
      <c r="K66" s="179">
        <v>2.6040270000000003</v>
      </c>
      <c r="L66" s="179">
        <v>27.167415499999997</v>
      </c>
      <c r="M66" s="179">
        <v>753.6448375</v>
      </c>
      <c r="N66" s="180">
        <f t="shared" si="26"/>
        <v>0.7536448375</v>
      </c>
      <c r="O66" s="181">
        <f t="shared" si="27"/>
        <v>1000</v>
      </c>
      <c r="P66" s="182">
        <v>8.6326</v>
      </c>
      <c r="Q66" s="183">
        <v>13</v>
      </c>
      <c r="R66" s="183">
        <v>6</v>
      </c>
      <c r="S66" s="183">
        <v>0</v>
      </c>
      <c r="T66" s="183">
        <v>0</v>
      </c>
      <c r="U66" s="179">
        <v>752.6832375</v>
      </c>
      <c r="V66" s="179">
        <v>752.9383073</v>
      </c>
      <c r="W66" s="179">
        <v>751.5584873</v>
      </c>
      <c r="X66" s="184">
        <f t="shared" si="28"/>
        <v>247.606656</v>
      </c>
    </row>
    <row r="67" ht="12.75" customHeight="1" spans="10:24" x14ac:dyDescent="0.25">
      <c r="J67" s="178">
        <v>43361</v>
      </c>
      <c r="K67" s="179">
        <v>172.40201</v>
      </c>
      <c r="L67" s="179">
        <v>243.18354580000002</v>
      </c>
      <c r="M67" s="179">
        <v>752.8429618</v>
      </c>
      <c r="N67" s="180">
        <f t="shared" si="26"/>
        <v>0.7528429618</v>
      </c>
      <c r="O67" s="181">
        <f t="shared" si="27"/>
        <v>1000</v>
      </c>
      <c r="P67" s="182">
        <v>0</v>
      </c>
      <c r="Q67" s="183">
        <v>32</v>
      </c>
      <c r="R67" s="183">
        <v>9</v>
      </c>
      <c r="S67" s="183">
        <v>0</v>
      </c>
      <c r="T67" s="183">
        <v>0</v>
      </c>
      <c r="U67" s="179">
        <v>750.194026</v>
      </c>
      <c r="V67" s="179">
        <v>740.290484</v>
      </c>
      <c r="W67" s="179">
        <v>0</v>
      </c>
      <c r="X67" s="184">
        <f t="shared" si="28"/>
        <v>503.17183</v>
      </c>
    </row>
    <row r="68" ht="12.75" customHeight="1" spans="10:24" x14ac:dyDescent="0.25">
      <c r="J68" s="178">
        <v>43391</v>
      </c>
      <c r="K68" s="179"/>
      <c r="L68" s="179"/>
      <c r="M68" s="179"/>
      <c r="N68" s="180">
        <f t="shared" si="26"/>
      </c>
      <c r="O68" s="181">
        <f t="shared" si="27"/>
      </c>
      <c r="P68" s="182"/>
      <c r="Q68" s="183"/>
      <c r="R68" s="183"/>
      <c r="S68" s="183"/>
      <c r="T68" s="183"/>
      <c r="U68" s="179"/>
      <c r="V68" s="179"/>
      <c r="W68" s="179"/>
      <c r="X68" s="184">
        <f t="shared" si="28"/>
      </c>
    </row>
    <row r="69" ht="12.75" customHeight="1" spans="10:24" x14ac:dyDescent="0.25">
      <c r="J69" s="178">
        <v>43422</v>
      </c>
      <c r="K69" s="179"/>
      <c r="L69" s="179"/>
      <c r="M69" s="179"/>
      <c r="N69" s="180">
        <f t="shared" si="26"/>
      </c>
      <c r="O69" s="181">
        <f t="shared" si="27"/>
      </c>
      <c r="P69" s="182"/>
      <c r="Q69" s="183"/>
      <c r="R69" s="183"/>
      <c r="S69" s="183"/>
      <c r="T69" s="183"/>
      <c r="U69" s="179"/>
      <c r="V69" s="179"/>
      <c r="W69" s="179"/>
      <c r="X69" s="184">
        <f t="shared" si="28"/>
      </c>
    </row>
    <row r="70" ht="12.75" customHeight="1" spans="10:24" x14ac:dyDescent="0.25">
      <c r="J70" s="178">
        <v>43452</v>
      </c>
      <c r="K70" s="179"/>
      <c r="L70" s="179"/>
      <c r="M70" s="179"/>
      <c r="N70" s="180">
        <f t="shared" si="26"/>
      </c>
      <c r="O70" s="181">
        <f t="shared" si="27"/>
      </c>
      <c r="P70" s="182"/>
      <c r="Q70" s="183"/>
      <c r="R70" s="183"/>
      <c r="S70" s="183"/>
      <c r="T70" s="183"/>
      <c r="U70" s="179"/>
      <c r="V70" s="179"/>
      <c r="W70" s="179"/>
      <c r="X70" s="184">
        <f t="shared" si="28"/>
      </c>
    </row>
    <row r="71" ht="12.75" customHeight="1" spans="10:24" x14ac:dyDescent="0.25">
      <c r="J71" s="178">
        <v>43484</v>
      </c>
      <c r="K71" s="179"/>
      <c r="L71" s="179"/>
      <c r="M71" s="179"/>
      <c r="N71" s="180">
        <f t="shared" si="26"/>
      </c>
      <c r="O71" s="181">
        <f t="shared" si="27"/>
      </c>
      <c r="P71" s="182"/>
      <c r="Q71" s="183"/>
      <c r="R71" s="183"/>
      <c r="S71" s="183"/>
      <c r="T71" s="183"/>
      <c r="U71" s="179"/>
      <c r="V71" s="179"/>
      <c r="W71" s="179"/>
      <c r="X71" s="184">
        <f t="shared" si="28"/>
      </c>
    </row>
    <row r="72" ht="12.75" customHeight="1" spans="10:24" x14ac:dyDescent="0.25">
      <c r="J72" s="178">
        <v>43515</v>
      </c>
      <c r="K72" s="179"/>
      <c r="L72" s="179"/>
      <c r="M72" s="179"/>
      <c r="N72" s="180">
        <f t="shared" si="26"/>
      </c>
      <c r="O72" s="181">
        <f t="shared" si="27"/>
      </c>
      <c r="P72" s="182"/>
      <c r="Q72" s="183"/>
      <c r="R72" s="183"/>
      <c r="S72" s="183"/>
      <c r="T72" s="183"/>
      <c r="U72" s="179"/>
      <c r="V72" s="179"/>
      <c r="W72" s="179"/>
      <c r="X72" s="184">
        <f t="shared" si="28"/>
      </c>
    </row>
    <row r="73" ht="12.75" customHeight="1" spans="10:24" x14ac:dyDescent="0.25">
      <c r="J73" s="178">
        <v>43543</v>
      </c>
      <c r="K73" s="179"/>
      <c r="L73" s="179"/>
      <c r="M73" s="179"/>
      <c r="N73" s="180">
        <f t="shared" si="26"/>
      </c>
      <c r="O73" s="181">
        <f t="shared" si="27"/>
      </c>
      <c r="P73" s="182"/>
      <c r="Q73" s="183"/>
      <c r="R73" s="183"/>
      <c r="S73" s="183"/>
      <c r="T73" s="183"/>
      <c r="U73" s="179"/>
      <c r="V73" s="179"/>
      <c r="W73" s="179"/>
      <c r="X73" s="184">
        <f t="shared" si="28"/>
      </c>
    </row>
    <row r="74" ht="12.75" customHeight="1" spans="10:24" x14ac:dyDescent="0.25">
      <c r="J74" s="178">
        <v>43574</v>
      </c>
      <c r="K74" s="179"/>
      <c r="L74" s="179"/>
      <c r="M74" s="179"/>
      <c r="N74" s="180">
        <f t="shared" si="26"/>
      </c>
      <c r="O74" s="181">
        <f t="shared" si="27"/>
      </c>
      <c r="P74" s="182"/>
      <c r="Q74" s="183"/>
      <c r="R74" s="183"/>
      <c r="S74" s="183"/>
      <c r="T74" s="183"/>
      <c r="U74" s="179"/>
      <c r="V74" s="179"/>
      <c r="W74" s="179"/>
      <c r="X74" s="184">
        <f t="shared" si="28"/>
      </c>
    </row>
    <row r="75" ht="12.75" customHeight="1" spans="10:24" x14ac:dyDescent="0.25">
      <c r="J75" s="178">
        <v>43604</v>
      </c>
      <c r="K75" s="179"/>
      <c r="L75" s="179"/>
      <c r="M75" s="179"/>
      <c r="N75" s="180">
        <f t="shared" si="26"/>
      </c>
      <c r="O75" s="181">
        <f t="shared" si="27"/>
      </c>
      <c r="P75" s="182"/>
      <c r="Q75" s="183"/>
      <c r="R75" s="183"/>
      <c r="S75" s="183"/>
      <c r="T75" s="183"/>
      <c r="U75" s="179"/>
      <c r="V75" s="179"/>
      <c r="W75" s="179"/>
      <c r="X75" s="184">
        <f t="shared" si="28"/>
      </c>
    </row>
    <row r="76" ht="12.75" customHeight="1" spans="10:24" x14ac:dyDescent="0.25">
      <c r="J76" s="178">
        <v>43635</v>
      </c>
      <c r="K76" s="179"/>
      <c r="L76" s="179"/>
      <c r="M76" s="179"/>
      <c r="N76" s="180">
        <f t="shared" si="26"/>
      </c>
      <c r="O76" s="181">
        <f t="shared" si="27"/>
      </c>
      <c r="P76" s="182"/>
      <c r="Q76" s="183"/>
      <c r="R76" s="183"/>
      <c r="S76" s="183"/>
      <c r="T76" s="183"/>
      <c r="U76" s="179"/>
      <c r="V76" s="179"/>
      <c r="W76" s="179"/>
      <c r="X76" s="184">
        <f t="shared" si="28"/>
      </c>
    </row>
    <row r="77" ht="12.75" customHeight="1" spans="10:24" x14ac:dyDescent="0.25">
      <c r="J77" s="178">
        <v>43665</v>
      </c>
      <c r="K77" s="179"/>
      <c r="L77" s="179"/>
      <c r="M77" s="179"/>
      <c r="N77" s="180">
        <f t="shared" si="26"/>
      </c>
      <c r="O77" s="181">
        <f t="shared" si="27"/>
      </c>
      <c r="P77" s="182"/>
      <c r="Q77" s="183"/>
      <c r="R77" s="183"/>
      <c r="S77" s="183"/>
      <c r="T77" s="183"/>
      <c r="U77" s="179"/>
      <c r="V77" s="179"/>
      <c r="W77" s="179"/>
      <c r="X77" s="184">
        <f t="shared" si="28"/>
      </c>
    </row>
    <row r="78" ht="12.75" customHeight="1" spans="10:24" x14ac:dyDescent="0.25">
      <c r="J78" s="178">
        <v>43696</v>
      </c>
      <c r="K78" s="179"/>
      <c r="L78" s="179"/>
      <c r="M78" s="179"/>
      <c r="N78" s="180">
        <f t="shared" si="26"/>
      </c>
      <c r="O78" s="181">
        <f t="shared" si="27"/>
      </c>
      <c r="P78" s="182"/>
      <c r="Q78" s="183"/>
      <c r="R78" s="183"/>
      <c r="S78" s="183"/>
      <c r="T78" s="183"/>
      <c r="U78" s="179"/>
      <c r="V78" s="179"/>
      <c r="W78" s="179"/>
      <c r="X78" s="184">
        <f t="shared" si="28"/>
      </c>
    </row>
    <row r="79" ht="12.75" customHeight="1" spans="10:24" x14ac:dyDescent="0.25">
      <c r="J79" s="178">
        <v>43727</v>
      </c>
      <c r="K79" s="179"/>
      <c r="L79" s="179"/>
      <c r="M79" s="179"/>
      <c r="N79" s="180">
        <f t="shared" si="26"/>
      </c>
      <c r="O79" s="181">
        <f t="shared" si="27"/>
      </c>
      <c r="P79" s="182"/>
      <c r="Q79" s="183"/>
      <c r="R79" s="183"/>
      <c r="S79" s="183"/>
      <c r="T79" s="183"/>
      <c r="U79" s="179"/>
      <c r="V79" s="179"/>
      <c r="W79" s="179"/>
      <c r="X79" s="184">
        <f t="shared" si="28"/>
      </c>
    </row>
    <row r="80" ht="12.75" customHeight="1" spans="10:24" x14ac:dyDescent="0.25">
      <c r="J80" s="178">
        <v>43757</v>
      </c>
      <c r="K80" s="179"/>
      <c r="L80" s="179"/>
      <c r="M80" s="179"/>
      <c r="N80" s="180">
        <f t="shared" si="26"/>
      </c>
      <c r="O80" s="181">
        <f t="shared" si="27"/>
      </c>
      <c r="P80" s="182"/>
      <c r="Q80" s="183"/>
      <c r="R80" s="183"/>
      <c r="S80" s="183"/>
      <c r="T80" s="183"/>
      <c r="U80" s="179"/>
      <c r="V80" s="179"/>
      <c r="W80" s="179"/>
      <c r="X80" s="184">
        <f t="shared" si="28"/>
      </c>
    </row>
    <row r="81" ht="12.75" customHeight="1" spans="10:24" x14ac:dyDescent="0.25">
      <c r="J81" s="178">
        <v>43788</v>
      </c>
      <c r="K81" s="179"/>
      <c r="L81" s="179"/>
      <c r="M81" s="179"/>
      <c r="N81" s="180">
        <f t="shared" si="26"/>
      </c>
      <c r="O81" s="181">
        <f t="shared" si="27"/>
      </c>
      <c r="P81" s="182"/>
      <c r="Q81" s="183"/>
      <c r="R81" s="183"/>
      <c r="S81" s="183"/>
      <c r="T81" s="183"/>
      <c r="U81" s="179"/>
      <c r="V81" s="179"/>
      <c r="W81" s="179"/>
      <c r="X81" s="184">
        <f t="shared" si="28"/>
      </c>
    </row>
    <row r="82" ht="12.75" customHeight="1" spans="10:24" x14ac:dyDescent="0.25">
      <c r="J82" s="178">
        <v>43818</v>
      </c>
      <c r="K82" s="179"/>
      <c r="L82" s="179"/>
      <c r="M82" s="179"/>
      <c r="N82" s="180">
        <f t="shared" si="26"/>
      </c>
      <c r="O82" s="181">
        <f t="shared" si="27"/>
      </c>
      <c r="P82" s="182"/>
      <c r="Q82" s="183"/>
      <c r="R82" s="183"/>
      <c r="S82" s="183"/>
      <c r="T82" s="183"/>
      <c r="U82" s="179"/>
      <c r="V82" s="179"/>
      <c r="W82" s="179"/>
      <c r="X82" s="184">
        <f t="shared" si="28"/>
      </c>
    </row>
    <row r="83" ht="12.75" customHeight="1" spans="10:24" x14ac:dyDescent="0.25">
      <c r="J83" s="178">
        <v>43850</v>
      </c>
      <c r="K83" s="179"/>
      <c r="L83" s="179"/>
      <c r="M83" s="179"/>
      <c r="N83" s="180">
        <f t="shared" si="26"/>
      </c>
      <c r="O83" s="181">
        <f t="shared" si="27"/>
      </c>
      <c r="P83" s="182"/>
      <c r="Q83" s="183"/>
      <c r="R83" s="183"/>
      <c r="S83" s="183"/>
      <c r="T83" s="183"/>
      <c r="U83" s="179"/>
      <c r="V83" s="179"/>
      <c r="W83" s="179"/>
      <c r="X83" s="184">
        <f t="shared" si="28"/>
      </c>
    </row>
    <row r="84" ht="12.75" customHeight="1" spans="10:24" x14ac:dyDescent="0.25">
      <c r="J84" s="178">
        <v>43881</v>
      </c>
      <c r="K84" s="179"/>
      <c r="L84" s="179"/>
      <c r="M84" s="179"/>
      <c r="N84" s="180">
        <f t="shared" si="26"/>
      </c>
      <c r="O84" s="181">
        <f t="shared" si="27"/>
      </c>
      <c r="P84" s="182"/>
      <c r="Q84" s="183"/>
      <c r="R84" s="183"/>
      <c r="S84" s="183"/>
      <c r="T84" s="183"/>
      <c r="U84" s="179"/>
      <c r="V84" s="179"/>
      <c r="W84" s="179"/>
      <c r="X84" s="184">
        <f t="shared" si="28"/>
      </c>
    </row>
    <row r="85" ht="12.75" customHeight="1" spans="10:24" x14ac:dyDescent="0.25">
      <c r="J85" s="178">
        <v>43910</v>
      </c>
      <c r="K85" s="179"/>
      <c r="L85" s="179"/>
      <c r="M85" s="179"/>
      <c r="N85" s="180">
        <f t="shared" si="26"/>
      </c>
      <c r="O85" s="181">
        <f t="shared" si="27"/>
      </c>
      <c r="P85" s="182"/>
      <c r="Q85" s="183"/>
      <c r="R85" s="183"/>
      <c r="S85" s="183"/>
      <c r="T85" s="183"/>
      <c r="U85" s="179"/>
      <c r="V85" s="179"/>
      <c r="W85" s="179"/>
      <c r="X85" s="184">
        <f t="shared" si="28"/>
      </c>
    </row>
    <row r="86" ht="12.75" customHeight="1" spans="10:24" x14ac:dyDescent="0.25">
      <c r="J86" s="201" t="s">
        <v>186</v>
      </c>
      <c r="K86" s="202">
        <f t="shared" ref="K86:P86" si="29">IFERROR(AVERAGE(K54:K85),0)</f>
        <v>95.15064437</v>
      </c>
      <c r="L86" s="202">
        <f t="shared" si="29"/>
        <v>192.6659749</v>
      </c>
      <c r="M86" s="203">
        <f t="shared" si="29"/>
        <v>838.7346625</v>
      </c>
      <c r="N86" s="203">
        <f t="shared" si="29"/>
        <v>0.8387346625</v>
      </c>
      <c r="O86" s="203">
        <f t="shared" si="29"/>
        <v>1000</v>
      </c>
      <c r="P86" s="205">
        <f t="shared" si="29"/>
        <v>8.53934</v>
      </c>
      <c r="Q86" s="204">
        <f t="shared" ref="Q86:T86" si="30">SUM(Q54:Q85)</f>
        <v>129</v>
      </c>
      <c r="R86" s="204">
        <f t="shared" si="30"/>
        <v>55</v>
      </c>
      <c r="S86" s="204">
        <f t="shared" si="30"/>
        <v>0</v>
      </c>
      <c r="T86" s="204">
        <f t="shared" si="30"/>
        <v>0</v>
      </c>
      <c r="U86" s="205">
        <f t="shared" ref="U86:X86" si="31">IFERROR(AVERAGE(U54:U85),0)</f>
        <v>776.6842333</v>
      </c>
      <c r="V86" s="205">
        <f t="shared" si="31"/>
        <v>822.775332</v>
      </c>
      <c r="W86" s="205">
        <f t="shared" si="31"/>
        <v>674.5509394</v>
      </c>
      <c r="X86" s="206">
        <f t="shared" si="31"/>
        <v>241.9964984</v>
      </c>
    </row>
    <row r="87" ht="12.75" customHeight="1" spans="10:24" x14ac:dyDescent="0.25">
      <c r="J87" s="209" t="s">
        <v>188</v>
      </c>
      <c r="K87" s="210">
        <f>K86*12</f>
        <v>1141.807732</v>
      </c>
      <c r="L87" s="210" t="s">
        <v>189</v>
      </c>
      <c r="M87" s="205">
        <f>IF(N86=0,"0",100%-N86)</f>
        <v>0.1612653375</v>
      </c>
      <c r="N87" s="210" t="s">
        <v>190</v>
      </c>
      <c r="O87" s="206">
        <f>M87*O86</f>
        <v>161.2653375</v>
      </c>
      <c r="P87" s="211"/>
      <c r="Q87" s="212"/>
      <c r="R87" s="212"/>
      <c r="S87" s="212"/>
      <c r="T87" s="212"/>
      <c r="U87" s="212"/>
      <c r="V87" s="212"/>
      <c r="W87" s="212"/>
      <c r="X87" s="212"/>
    </row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spans="22:24" x14ac:dyDescent="0.25">
      <c r="V94" s="172"/>
      <c r="W94" s="107"/>
      <c r="X94" s="107"/>
    </row>
    <row r="95" ht="12.75" customHeight="1" spans="10:24" x14ac:dyDescent="0.25">
      <c r="J95" s="213" t="s">
        <v>155</v>
      </c>
      <c r="K95" s="213"/>
      <c r="L95" s="158" t="s">
        <v>156</v>
      </c>
      <c r="M95" s="160" t="s">
        <v>157</v>
      </c>
      <c r="N95" s="160" t="s">
        <v>158</v>
      </c>
      <c r="O95" s="160" t="s">
        <v>159</v>
      </c>
      <c r="P95" s="161" t="s">
        <v>160</v>
      </c>
      <c r="Q95" s="161" t="s">
        <v>161</v>
      </c>
      <c r="R95" s="162" t="s">
        <v>162</v>
      </c>
      <c r="S95" s="163"/>
      <c r="T95" s="164" t="s">
        <v>163</v>
      </c>
      <c r="U95" s="163"/>
      <c r="V95" s="172"/>
      <c r="W95" s="107"/>
      <c r="X95" s="107"/>
    </row>
    <row r="96" ht="12.75" customHeight="1" spans="10:24" x14ac:dyDescent="0.25">
      <c r="J96" s="214" t="s">
        <v>193</v>
      </c>
      <c r="K96" s="214"/>
      <c r="L96" s="167" t="s">
        <v>165</v>
      </c>
      <c r="M96" s="168">
        <v>43160</v>
      </c>
      <c r="N96" s="168">
        <v>43373</v>
      </c>
      <c r="O96" s="169">
        <f>IFERROR(IF(OR((R96=""),(N96=""),(M96="")),"",DAYS(N96,M96))+1,"")</f>
        <v>214</v>
      </c>
      <c r="P96" s="170"/>
      <c r="Q96" s="215">
        <v>4500</v>
      </c>
      <c r="R96" s="171" t="s">
        <v>166</v>
      </c>
      <c r="S96" s="166"/>
      <c r="T96" s="214" t="s">
        <v>167</v>
      </c>
      <c r="U96" s="166"/>
      <c r="V96" s="172"/>
      <c r="W96" s="173"/>
      <c r="X96" s="173"/>
    </row>
    <row r="97" ht="12.75" customHeight="1" spans="10:24" x14ac:dyDescent="0.25">
      <c r="J97" s="201" t="s">
        <v>168</v>
      </c>
      <c r="K97" s="202" t="s">
        <v>169</v>
      </c>
      <c r="L97" s="202" t="s">
        <v>170</v>
      </c>
      <c r="M97" s="202" t="s">
        <v>171</v>
      </c>
      <c r="N97" s="202" t="s">
        <v>172</v>
      </c>
      <c r="O97" s="202" t="s">
        <v>173</v>
      </c>
      <c r="P97" s="202" t="s">
        <v>174</v>
      </c>
      <c r="Q97" s="202" t="s">
        <v>175</v>
      </c>
      <c r="R97" s="12" t="s">
        <v>176</v>
      </c>
      <c r="S97" s="12" t="s">
        <v>177</v>
      </c>
      <c r="T97" s="202" t="s">
        <v>178</v>
      </c>
      <c r="U97" s="202" t="s">
        <v>179</v>
      </c>
      <c r="V97" s="175" t="s">
        <v>180</v>
      </c>
      <c r="W97" s="175" t="s">
        <v>181</v>
      </c>
      <c r="X97" s="176" t="s">
        <v>182</v>
      </c>
    </row>
    <row r="98" ht="12.75" customHeight="1" spans="10:24" x14ac:dyDescent="0.25">
      <c r="J98" s="178">
        <v>42964</v>
      </c>
      <c r="K98" s="179"/>
      <c r="L98" s="179"/>
      <c r="M98" s="179"/>
      <c r="N98" s="180">
        <f t="shared" ref="N98:N129" si="32">IF(M98="","",IF(O98&gt;0,M98/O98,""))</f>
      </c>
      <c r="O98" s="181">
        <f t="shared" ref="O98:O129" si="33">IF(M98="","",IF($Q$96="",$P$96,$Q$96))</f>
      </c>
      <c r="P98" s="182"/>
      <c r="Q98" s="183"/>
      <c r="R98" s="183"/>
      <c r="S98" s="183"/>
      <c r="T98" s="183"/>
      <c r="U98" s="179"/>
      <c r="V98" s="179"/>
      <c r="W98" s="179"/>
      <c r="X98" s="184">
        <f t="shared" ref="X98:X129" si="34">IF(K98="","",IF($L$96="OD",O98-SUM(U98:W98)/3,IF($L$96="CC",O98-SUM(U98:W98)/3,SUM(U98:W98)/3)))</f>
      </c>
    </row>
    <row r="99" ht="12.75" customHeight="1" spans="10:24" x14ac:dyDescent="0.25">
      <c r="J99" s="178">
        <v>42995</v>
      </c>
      <c r="K99" s="179"/>
      <c r="L99" s="179"/>
      <c r="M99" s="179"/>
      <c r="N99" s="180">
        <f t="shared" si="32"/>
      </c>
      <c r="O99" s="181">
        <f t="shared" si="33"/>
      </c>
      <c r="P99" s="182"/>
      <c r="Q99" s="183"/>
      <c r="R99" s="183"/>
      <c r="S99" s="183"/>
      <c r="T99" s="183"/>
      <c r="U99" s="179"/>
      <c r="V99" s="179"/>
      <c r="W99" s="179"/>
      <c r="X99" s="184">
        <f t="shared" si="34"/>
      </c>
    </row>
    <row r="100" ht="12.75" customHeight="1" spans="10:24" x14ac:dyDescent="0.25">
      <c r="J100" s="178">
        <v>43025</v>
      </c>
      <c r="K100" s="179"/>
      <c r="L100" s="179"/>
      <c r="M100" s="179"/>
      <c r="N100" s="180">
        <f t="shared" si="32"/>
      </c>
      <c r="O100" s="181">
        <f t="shared" si="33"/>
      </c>
      <c r="P100" s="182"/>
      <c r="Q100" s="183"/>
      <c r="R100" s="183"/>
      <c r="S100" s="183"/>
      <c r="T100" s="183"/>
      <c r="U100" s="179"/>
      <c r="V100" s="179"/>
      <c r="W100" s="179"/>
      <c r="X100" s="184">
        <f t="shared" si="34"/>
      </c>
    </row>
    <row r="101" ht="12.75" customHeight="1" spans="10:24" x14ac:dyDescent="0.25">
      <c r="J101" s="178">
        <v>43056</v>
      </c>
      <c r="K101" s="179"/>
      <c r="L101" s="179"/>
      <c r="M101" s="179"/>
      <c r="N101" s="180">
        <f t="shared" si="32"/>
      </c>
      <c r="O101" s="181">
        <f t="shared" si="33"/>
      </c>
      <c r="P101" s="182"/>
      <c r="Q101" s="183"/>
      <c r="R101" s="183"/>
      <c r="S101" s="183"/>
      <c r="T101" s="183"/>
      <c r="U101" s="179"/>
      <c r="V101" s="179"/>
      <c r="W101" s="179"/>
      <c r="X101" s="184">
        <f t="shared" si="34"/>
      </c>
    </row>
    <row r="102" ht="12.75" customHeight="1" spans="10:24" x14ac:dyDescent="0.25">
      <c r="J102" s="178">
        <v>43086</v>
      </c>
      <c r="K102" s="179"/>
      <c r="L102" s="179"/>
      <c r="M102" s="179"/>
      <c r="N102" s="180">
        <f t="shared" si="32"/>
      </c>
      <c r="O102" s="181">
        <f t="shared" si="33"/>
      </c>
      <c r="P102" s="182"/>
      <c r="Q102" s="183"/>
      <c r="R102" s="183"/>
      <c r="S102" s="183"/>
      <c r="T102" s="183"/>
      <c r="U102" s="179"/>
      <c r="V102" s="179"/>
      <c r="W102" s="179"/>
      <c r="X102" s="184">
        <f t="shared" si="34"/>
      </c>
    </row>
    <row r="103" ht="12.75" customHeight="1" spans="10:24" x14ac:dyDescent="0.25">
      <c r="J103" s="178">
        <v>43118</v>
      </c>
      <c r="K103" s="179"/>
      <c r="L103" s="179"/>
      <c r="M103" s="179"/>
      <c r="N103" s="180">
        <f t="shared" si="32"/>
      </c>
      <c r="O103" s="181">
        <f t="shared" si="33"/>
      </c>
      <c r="P103" s="182"/>
      <c r="Q103" s="183"/>
      <c r="R103" s="183"/>
      <c r="S103" s="183"/>
      <c r="T103" s="183"/>
      <c r="U103" s="179"/>
      <c r="V103" s="179"/>
      <c r="W103" s="179"/>
      <c r="X103" s="184">
        <f t="shared" si="34"/>
      </c>
    </row>
    <row r="104" ht="12.75" customHeight="1" spans="10:24" x14ac:dyDescent="0.25">
      <c r="J104" s="178">
        <v>43149</v>
      </c>
      <c r="K104" s="179"/>
      <c r="L104" s="179"/>
      <c r="M104" s="179"/>
      <c r="N104" s="180">
        <f t="shared" si="32"/>
      </c>
      <c r="O104" s="181">
        <f t="shared" si="33"/>
      </c>
      <c r="P104" s="182"/>
      <c r="Q104" s="183"/>
      <c r="R104" s="183"/>
      <c r="S104" s="183"/>
      <c r="T104" s="183"/>
      <c r="U104" s="179"/>
      <c r="V104" s="179"/>
      <c r="W104" s="179"/>
      <c r="X104" s="184">
        <f t="shared" si="34"/>
      </c>
    </row>
    <row r="105" ht="12.75" customHeight="1" spans="10:24" x14ac:dyDescent="0.25">
      <c r="J105" s="178">
        <v>43177</v>
      </c>
      <c r="K105" s="179">
        <v>596.71214</v>
      </c>
      <c r="L105" s="179">
        <v>2779.74451</v>
      </c>
      <c r="M105" s="179">
        <v>4337.169214</v>
      </c>
      <c r="N105" s="180">
        <f t="shared" si="32"/>
        <v>0.9638153809</v>
      </c>
      <c r="O105" s="181">
        <f t="shared" si="33"/>
        <v>4500</v>
      </c>
      <c r="P105" s="182">
        <v>45.78174</v>
      </c>
      <c r="Q105" s="183">
        <v>410</v>
      </c>
      <c r="R105" s="183">
        <v>51</v>
      </c>
      <c r="S105" s="183">
        <v>0</v>
      </c>
      <c r="T105" s="183">
        <v>0</v>
      </c>
      <c r="U105" s="179">
        <v>3992.2499243</v>
      </c>
      <c r="V105" s="179">
        <v>4253.6780643</v>
      </c>
      <c r="W105" s="179">
        <v>4115.4343043</v>
      </c>
      <c r="X105" s="184">
        <f t="shared" si="34"/>
        <v>379.5459024</v>
      </c>
    </row>
    <row r="106" ht="12.75" customHeight="1" spans="10:24" x14ac:dyDescent="0.25">
      <c r="J106" s="178">
        <v>43208</v>
      </c>
      <c r="K106" s="179">
        <v>328.67473</v>
      </c>
      <c r="L106" s="179">
        <v>1199.092116</v>
      </c>
      <c r="M106" s="179">
        <v>4401.81096</v>
      </c>
      <c r="N106" s="180">
        <f t="shared" si="32"/>
        <v>0.9781802133</v>
      </c>
      <c r="O106" s="181">
        <f t="shared" si="33"/>
        <v>4500</v>
      </c>
      <c r="P106" s="182">
        <v>45.73207</v>
      </c>
      <c r="Q106" s="183">
        <v>344</v>
      </c>
      <c r="R106" s="183">
        <v>51</v>
      </c>
      <c r="S106" s="183">
        <v>0</v>
      </c>
      <c r="T106" s="183">
        <v>0</v>
      </c>
      <c r="U106" s="179">
        <v>4184.1072243</v>
      </c>
      <c r="V106" s="179">
        <v>4274.6883203</v>
      </c>
      <c r="W106" s="179">
        <v>4317.1903903</v>
      </c>
      <c r="X106" s="184">
        <f t="shared" si="34"/>
        <v>241.3380217</v>
      </c>
    </row>
    <row r="107" ht="12.75" customHeight="1" spans="10:24" x14ac:dyDescent="0.25">
      <c r="J107" s="178">
        <v>43238</v>
      </c>
      <c r="K107" s="179">
        <v>385.92141159999994</v>
      </c>
      <c r="L107" s="179">
        <v>1785.2403974000001</v>
      </c>
      <c r="M107" s="179">
        <v>4447.66314</v>
      </c>
      <c r="N107" s="180">
        <f t="shared" si="32"/>
        <v>0.9883695867</v>
      </c>
      <c r="O107" s="181">
        <f t="shared" si="33"/>
        <v>4500</v>
      </c>
      <c r="P107" s="182">
        <v>47.89469</v>
      </c>
      <c r="Q107" s="183">
        <v>486</v>
      </c>
      <c r="R107" s="183">
        <v>68</v>
      </c>
      <c r="S107" s="183">
        <v>0</v>
      </c>
      <c r="T107" s="183">
        <v>0</v>
      </c>
      <c r="U107" s="179">
        <v>4345.0685003</v>
      </c>
      <c r="V107" s="179">
        <v>4389.7068693</v>
      </c>
      <c r="W107" s="179">
        <v>4291.6743861</v>
      </c>
      <c r="X107" s="184">
        <f t="shared" si="34"/>
        <v>157.8500814</v>
      </c>
    </row>
    <row r="108" ht="12.75" customHeight="1" spans="10:24" x14ac:dyDescent="0.25">
      <c r="J108" s="178">
        <v>43269</v>
      </c>
      <c r="K108" s="179">
        <v>494.35016340000004</v>
      </c>
      <c r="L108" s="179">
        <v>1588.16248</v>
      </c>
      <c r="M108" s="179">
        <v>4433.718945</v>
      </c>
      <c r="N108" s="180">
        <f t="shared" si="32"/>
        <v>0.9852708767</v>
      </c>
      <c r="O108" s="181">
        <f t="shared" si="33"/>
        <v>4500</v>
      </c>
      <c r="P108" s="182">
        <v>45.07535</v>
      </c>
      <c r="Q108" s="183">
        <v>463</v>
      </c>
      <c r="R108" s="183">
        <v>78</v>
      </c>
      <c r="S108" s="183">
        <v>0</v>
      </c>
      <c r="T108" s="183">
        <v>0</v>
      </c>
      <c r="U108" s="179">
        <v>4371.6740061</v>
      </c>
      <c r="V108" s="179">
        <v>4114.8815327</v>
      </c>
      <c r="W108" s="179">
        <v>4215.0819927</v>
      </c>
      <c r="X108" s="184">
        <f t="shared" si="34"/>
        <v>266.1208228</v>
      </c>
    </row>
    <row r="109" ht="12.75" customHeight="1" spans="10:24" x14ac:dyDescent="0.25">
      <c r="J109" s="178">
        <v>43299</v>
      </c>
      <c r="K109" s="179">
        <v>273.09097710000003</v>
      </c>
      <c r="L109" s="179">
        <v>1495.5307597</v>
      </c>
      <c r="M109" s="179">
        <v>4353.124278</v>
      </c>
      <c r="N109" s="180">
        <f t="shared" si="32"/>
        <v>0.9673609507</v>
      </c>
      <c r="O109" s="181">
        <f t="shared" si="33"/>
        <v>4500</v>
      </c>
      <c r="P109" s="182">
        <v>46.75521</v>
      </c>
      <c r="Q109" s="183">
        <v>425</v>
      </c>
      <c r="R109" s="183">
        <v>51</v>
      </c>
      <c r="S109" s="183">
        <v>2</v>
      </c>
      <c r="T109" s="183">
        <v>0</v>
      </c>
      <c r="U109" s="179">
        <v>4215.0819927</v>
      </c>
      <c r="V109" s="179">
        <v>4166.6667181</v>
      </c>
      <c r="W109" s="179">
        <v>4334.9229578</v>
      </c>
      <c r="X109" s="184">
        <f t="shared" si="34"/>
        <v>261.1094438</v>
      </c>
    </row>
    <row r="110" ht="12.75" customHeight="1" spans="10:24" x14ac:dyDescent="0.25">
      <c r="J110" s="178">
        <v>43330</v>
      </c>
      <c r="K110" s="179">
        <v>402.07493989999995</v>
      </c>
      <c r="L110" s="179">
        <v>2123.9469586</v>
      </c>
      <c r="M110" s="179">
        <v>4569.518083</v>
      </c>
      <c r="N110" s="180">
        <f t="shared" si="32"/>
        <v>1.015448463</v>
      </c>
      <c r="O110" s="181">
        <f t="shared" si="33"/>
        <v>4500</v>
      </c>
      <c r="P110" s="182">
        <v>48.53839</v>
      </c>
      <c r="Q110" s="183">
        <v>571</v>
      </c>
      <c r="R110" s="183">
        <v>55</v>
      </c>
      <c r="S110" s="183">
        <v>0</v>
      </c>
      <c r="T110" s="183">
        <v>1</v>
      </c>
      <c r="U110" s="179">
        <v>4288.4719423</v>
      </c>
      <c r="V110" s="179">
        <v>4435.9311629</v>
      </c>
      <c r="W110" s="179">
        <v>4323.7008229</v>
      </c>
      <c r="X110" s="184">
        <f t="shared" si="34"/>
        <v>150.632024</v>
      </c>
    </row>
    <row r="111" ht="12.75" customHeight="1" spans="10:24" x14ac:dyDescent="0.25">
      <c r="J111" s="178">
        <v>43361</v>
      </c>
      <c r="K111" s="179">
        <v>350.40994</v>
      </c>
      <c r="L111" s="179">
        <v>1363.48767</v>
      </c>
      <c r="M111" s="179">
        <v>4528.046171</v>
      </c>
      <c r="N111" s="180">
        <f t="shared" si="32"/>
        <v>1.006232482</v>
      </c>
      <c r="O111" s="181">
        <f t="shared" si="33"/>
        <v>4500</v>
      </c>
      <c r="P111" s="182">
        <v>0</v>
      </c>
      <c r="Q111" s="183">
        <v>425</v>
      </c>
      <c r="R111" s="183">
        <v>67</v>
      </c>
      <c r="S111" s="183">
        <v>0</v>
      </c>
      <c r="T111" s="183">
        <v>0</v>
      </c>
      <c r="U111" s="179">
        <v>4423.307671</v>
      </c>
      <c r="V111" s="179">
        <v>4320.105141</v>
      </c>
      <c r="W111" s="179">
        <v>0</v>
      </c>
      <c r="X111" s="184">
        <f t="shared" si="34"/>
        <v>1585.529063</v>
      </c>
    </row>
    <row r="112" ht="12.75" customHeight="1" spans="10:24" x14ac:dyDescent="0.25">
      <c r="J112" s="178">
        <v>43391</v>
      </c>
      <c r="K112" s="179"/>
      <c r="L112" s="179"/>
      <c r="M112" s="179"/>
      <c r="N112" s="180">
        <f t="shared" si="32"/>
      </c>
      <c r="O112" s="181">
        <f t="shared" si="33"/>
      </c>
      <c r="P112" s="182"/>
      <c r="Q112" s="183"/>
      <c r="R112" s="183"/>
      <c r="S112" s="183"/>
      <c r="T112" s="183"/>
      <c r="U112" s="179"/>
      <c r="V112" s="179"/>
      <c r="W112" s="179"/>
      <c r="X112" s="184">
        <f t="shared" si="34"/>
      </c>
    </row>
    <row r="113" ht="12.75" customHeight="1" spans="10:24" x14ac:dyDescent="0.25">
      <c r="J113" s="178">
        <v>43422</v>
      </c>
      <c r="K113" s="179"/>
      <c r="L113" s="179"/>
      <c r="M113" s="179"/>
      <c r="N113" s="180">
        <f t="shared" si="32"/>
      </c>
      <c r="O113" s="181">
        <f t="shared" si="33"/>
      </c>
      <c r="P113" s="182"/>
      <c r="Q113" s="183"/>
      <c r="R113" s="183"/>
      <c r="S113" s="183"/>
      <c r="T113" s="183"/>
      <c r="U113" s="179"/>
      <c r="V113" s="179"/>
      <c r="W113" s="179"/>
      <c r="X113" s="184">
        <f t="shared" si="34"/>
      </c>
    </row>
    <row r="114" ht="12.75" customHeight="1" spans="10:24" x14ac:dyDescent="0.25">
      <c r="J114" s="178">
        <v>43452</v>
      </c>
      <c r="K114" s="179"/>
      <c r="L114" s="179"/>
      <c r="M114" s="179"/>
      <c r="N114" s="180">
        <f t="shared" si="32"/>
      </c>
      <c r="O114" s="181">
        <f t="shared" si="33"/>
      </c>
      <c r="P114" s="182"/>
      <c r="Q114" s="183"/>
      <c r="R114" s="183"/>
      <c r="S114" s="183"/>
      <c r="T114" s="183"/>
      <c r="U114" s="179"/>
      <c r="V114" s="179"/>
      <c r="W114" s="179"/>
      <c r="X114" s="184">
        <f t="shared" si="34"/>
      </c>
    </row>
    <row r="115" ht="12.75" customHeight="1" spans="10:24" x14ac:dyDescent="0.25">
      <c r="J115" s="178">
        <v>43484</v>
      </c>
      <c r="K115" s="179"/>
      <c r="L115" s="179"/>
      <c r="M115" s="179"/>
      <c r="N115" s="180">
        <f t="shared" si="32"/>
      </c>
      <c r="O115" s="181">
        <f t="shared" si="33"/>
      </c>
      <c r="P115" s="182"/>
      <c r="Q115" s="183"/>
      <c r="R115" s="183"/>
      <c r="S115" s="183"/>
      <c r="T115" s="183"/>
      <c r="U115" s="179"/>
      <c r="V115" s="179"/>
      <c r="W115" s="179"/>
      <c r="X115" s="184">
        <f t="shared" si="34"/>
      </c>
    </row>
    <row r="116" ht="12.75" customHeight="1" spans="10:24" x14ac:dyDescent="0.25">
      <c r="J116" s="178">
        <v>43515</v>
      </c>
      <c r="K116" s="179"/>
      <c r="L116" s="179"/>
      <c r="M116" s="179"/>
      <c r="N116" s="180">
        <f t="shared" si="32"/>
      </c>
      <c r="O116" s="181">
        <f t="shared" si="33"/>
      </c>
      <c r="P116" s="182"/>
      <c r="Q116" s="183"/>
      <c r="R116" s="183"/>
      <c r="S116" s="183"/>
      <c r="T116" s="183"/>
      <c r="U116" s="179"/>
      <c r="V116" s="179"/>
      <c r="W116" s="179"/>
      <c r="X116" s="184">
        <f t="shared" si="34"/>
      </c>
    </row>
    <row r="117" ht="12.75" customHeight="1" spans="10:24" x14ac:dyDescent="0.25">
      <c r="J117" s="178">
        <v>43543</v>
      </c>
      <c r="K117" s="179"/>
      <c r="L117" s="179"/>
      <c r="M117" s="179"/>
      <c r="N117" s="180">
        <f t="shared" si="32"/>
      </c>
      <c r="O117" s="181">
        <f t="shared" si="33"/>
      </c>
      <c r="P117" s="182"/>
      <c r="Q117" s="183"/>
      <c r="R117" s="183"/>
      <c r="S117" s="183"/>
      <c r="T117" s="183"/>
      <c r="U117" s="179"/>
      <c r="V117" s="179"/>
      <c r="W117" s="179"/>
      <c r="X117" s="184">
        <f t="shared" si="34"/>
      </c>
    </row>
    <row r="118" ht="12.75" customHeight="1" spans="10:24" x14ac:dyDescent="0.25">
      <c r="J118" s="178">
        <v>43574</v>
      </c>
      <c r="K118" s="179"/>
      <c r="L118" s="179"/>
      <c r="M118" s="179"/>
      <c r="N118" s="180">
        <f t="shared" si="32"/>
      </c>
      <c r="O118" s="181">
        <f t="shared" si="33"/>
      </c>
      <c r="P118" s="182"/>
      <c r="Q118" s="183"/>
      <c r="R118" s="183"/>
      <c r="S118" s="183"/>
      <c r="T118" s="183"/>
      <c r="U118" s="179"/>
      <c r="V118" s="179"/>
      <c r="W118" s="179"/>
      <c r="X118" s="184">
        <f t="shared" si="34"/>
      </c>
    </row>
    <row r="119" ht="12.75" customHeight="1" spans="10:24" x14ac:dyDescent="0.25">
      <c r="J119" s="178">
        <v>43604</v>
      </c>
      <c r="K119" s="179"/>
      <c r="L119" s="179"/>
      <c r="M119" s="179"/>
      <c r="N119" s="180">
        <f t="shared" si="32"/>
      </c>
      <c r="O119" s="181">
        <f t="shared" si="33"/>
      </c>
      <c r="P119" s="182"/>
      <c r="Q119" s="183"/>
      <c r="R119" s="183"/>
      <c r="S119" s="183"/>
      <c r="T119" s="183"/>
      <c r="U119" s="179"/>
      <c r="V119" s="179"/>
      <c r="W119" s="179"/>
      <c r="X119" s="184">
        <f t="shared" si="34"/>
      </c>
    </row>
    <row r="120" ht="12.75" customHeight="1" spans="10:24" x14ac:dyDescent="0.25">
      <c r="J120" s="178">
        <v>43635</v>
      </c>
      <c r="K120" s="179"/>
      <c r="L120" s="179"/>
      <c r="M120" s="179"/>
      <c r="N120" s="180">
        <f t="shared" si="32"/>
      </c>
      <c r="O120" s="181">
        <f t="shared" si="33"/>
      </c>
      <c r="P120" s="182"/>
      <c r="Q120" s="183"/>
      <c r="R120" s="183"/>
      <c r="S120" s="183"/>
      <c r="T120" s="183"/>
      <c r="U120" s="179"/>
      <c r="V120" s="179"/>
      <c r="W120" s="179"/>
      <c r="X120" s="184">
        <f t="shared" si="34"/>
      </c>
    </row>
    <row r="121" ht="12.75" customHeight="1" spans="10:24" x14ac:dyDescent="0.25">
      <c r="J121" s="178">
        <v>43665</v>
      </c>
      <c r="K121" s="179"/>
      <c r="L121" s="179"/>
      <c r="M121" s="179"/>
      <c r="N121" s="180">
        <f t="shared" si="32"/>
      </c>
      <c r="O121" s="181">
        <f t="shared" si="33"/>
      </c>
      <c r="P121" s="182"/>
      <c r="Q121" s="183"/>
      <c r="R121" s="183"/>
      <c r="S121" s="183"/>
      <c r="T121" s="183"/>
      <c r="U121" s="179"/>
      <c r="V121" s="179"/>
      <c r="W121" s="179"/>
      <c r="X121" s="184">
        <f t="shared" si="34"/>
      </c>
    </row>
    <row r="122" ht="12.75" customHeight="1" spans="10:24" x14ac:dyDescent="0.25">
      <c r="J122" s="178">
        <v>43696</v>
      </c>
      <c r="K122" s="179"/>
      <c r="L122" s="179"/>
      <c r="M122" s="179"/>
      <c r="N122" s="180">
        <f t="shared" si="32"/>
      </c>
      <c r="O122" s="181">
        <f t="shared" si="33"/>
      </c>
      <c r="P122" s="182"/>
      <c r="Q122" s="183"/>
      <c r="R122" s="183"/>
      <c r="S122" s="183"/>
      <c r="T122" s="183"/>
      <c r="U122" s="179"/>
      <c r="V122" s="179"/>
      <c r="W122" s="179"/>
      <c r="X122" s="184">
        <f t="shared" si="34"/>
      </c>
    </row>
    <row r="123" ht="12.75" customHeight="1" spans="10:24" x14ac:dyDescent="0.25">
      <c r="J123" s="178">
        <v>43727</v>
      </c>
      <c r="K123" s="179"/>
      <c r="L123" s="179"/>
      <c r="M123" s="179"/>
      <c r="N123" s="180">
        <f t="shared" si="32"/>
      </c>
      <c r="O123" s="181">
        <f t="shared" si="33"/>
      </c>
      <c r="P123" s="182"/>
      <c r="Q123" s="183"/>
      <c r="R123" s="183"/>
      <c r="S123" s="183"/>
      <c r="T123" s="183"/>
      <c r="U123" s="179"/>
      <c r="V123" s="179"/>
      <c r="W123" s="179"/>
      <c r="X123" s="184">
        <f t="shared" si="34"/>
      </c>
    </row>
    <row r="124" ht="12.75" customHeight="1" spans="10:24" x14ac:dyDescent="0.25">
      <c r="J124" s="178">
        <v>43757</v>
      </c>
      <c r="K124" s="179"/>
      <c r="L124" s="179"/>
      <c r="M124" s="179"/>
      <c r="N124" s="180">
        <f t="shared" si="32"/>
      </c>
      <c r="O124" s="181">
        <f t="shared" si="33"/>
      </c>
      <c r="P124" s="182"/>
      <c r="Q124" s="183"/>
      <c r="R124" s="183"/>
      <c r="S124" s="183"/>
      <c r="T124" s="183"/>
      <c r="U124" s="179"/>
      <c r="V124" s="179"/>
      <c r="W124" s="179"/>
      <c r="X124" s="184">
        <f t="shared" si="34"/>
      </c>
    </row>
    <row r="125" ht="12.75" customHeight="1" spans="10:24" x14ac:dyDescent="0.25">
      <c r="J125" s="178">
        <v>43788</v>
      </c>
      <c r="K125" s="179"/>
      <c r="L125" s="179"/>
      <c r="M125" s="179"/>
      <c r="N125" s="180">
        <f t="shared" si="32"/>
      </c>
      <c r="O125" s="181">
        <f t="shared" si="33"/>
      </c>
      <c r="P125" s="182"/>
      <c r="Q125" s="183"/>
      <c r="R125" s="183"/>
      <c r="S125" s="183"/>
      <c r="T125" s="183"/>
      <c r="U125" s="179"/>
      <c r="V125" s="179"/>
      <c r="W125" s="179"/>
      <c r="X125" s="184">
        <f t="shared" si="34"/>
      </c>
    </row>
    <row r="126" ht="12.75" customHeight="1" spans="10:24" x14ac:dyDescent="0.25">
      <c r="J126" s="178">
        <v>43818</v>
      </c>
      <c r="K126" s="179"/>
      <c r="L126" s="179"/>
      <c r="M126" s="179"/>
      <c r="N126" s="180">
        <f t="shared" si="32"/>
      </c>
      <c r="O126" s="181">
        <f t="shared" si="33"/>
      </c>
      <c r="P126" s="182"/>
      <c r="Q126" s="183"/>
      <c r="R126" s="183"/>
      <c r="S126" s="183"/>
      <c r="T126" s="183"/>
      <c r="U126" s="179"/>
      <c r="V126" s="179"/>
      <c r="W126" s="179"/>
      <c r="X126" s="184">
        <f t="shared" si="34"/>
      </c>
    </row>
    <row r="127" ht="12.75" customHeight="1" spans="10:24" x14ac:dyDescent="0.25">
      <c r="J127" s="178">
        <v>43850</v>
      </c>
      <c r="K127" s="179"/>
      <c r="L127" s="179"/>
      <c r="M127" s="179"/>
      <c r="N127" s="180">
        <f t="shared" si="32"/>
      </c>
      <c r="O127" s="181">
        <f t="shared" si="33"/>
      </c>
      <c r="P127" s="182"/>
      <c r="Q127" s="183"/>
      <c r="R127" s="183"/>
      <c r="S127" s="183"/>
      <c r="T127" s="183"/>
      <c r="U127" s="179"/>
      <c r="V127" s="179"/>
      <c r="W127" s="179"/>
      <c r="X127" s="184">
        <f t="shared" si="34"/>
      </c>
    </row>
    <row r="128" ht="12.75" customHeight="1" spans="10:24" x14ac:dyDescent="0.25">
      <c r="J128" s="178">
        <v>43881</v>
      </c>
      <c r="K128" s="179"/>
      <c r="L128" s="179"/>
      <c r="M128" s="179"/>
      <c r="N128" s="180">
        <f t="shared" si="32"/>
      </c>
      <c r="O128" s="181">
        <f t="shared" si="33"/>
      </c>
      <c r="P128" s="182"/>
      <c r="Q128" s="183"/>
      <c r="R128" s="183"/>
      <c r="S128" s="183"/>
      <c r="T128" s="183"/>
      <c r="U128" s="179"/>
      <c r="V128" s="179"/>
      <c r="W128" s="179"/>
      <c r="X128" s="184">
        <f t="shared" si="34"/>
      </c>
    </row>
    <row r="129" ht="12.75" customHeight="1" spans="10:24" x14ac:dyDescent="0.25">
      <c r="J129" s="178">
        <v>43910</v>
      </c>
      <c r="K129" s="179"/>
      <c r="L129" s="179"/>
      <c r="M129" s="179"/>
      <c r="N129" s="180">
        <f t="shared" si="32"/>
      </c>
      <c r="O129" s="181">
        <f t="shared" si="33"/>
      </c>
      <c r="P129" s="182"/>
      <c r="Q129" s="183"/>
      <c r="R129" s="183"/>
      <c r="S129" s="183"/>
      <c r="T129" s="183"/>
      <c r="U129" s="179"/>
      <c r="V129" s="179"/>
      <c r="W129" s="179"/>
      <c r="X129" s="184">
        <f t="shared" si="34"/>
      </c>
    </row>
    <row r="130" ht="12.75" customHeight="1" spans="10:24" x14ac:dyDescent="0.25">
      <c r="J130" s="201" t="s">
        <v>186</v>
      </c>
      <c r="K130" s="202">
        <f t="shared" ref="K130:P130" si="35">IFERROR(AVERAGE(K98:K129),0)</f>
        <v>404.4620431</v>
      </c>
      <c r="L130" s="202">
        <f t="shared" si="35"/>
        <v>1762.172127</v>
      </c>
      <c r="M130" s="203">
        <f t="shared" si="35"/>
        <v>4438.721542</v>
      </c>
      <c r="N130" s="203">
        <f t="shared" si="35"/>
        <v>0.9863825648</v>
      </c>
      <c r="O130" s="203">
        <f t="shared" si="35"/>
        <v>4500</v>
      </c>
      <c r="P130" s="205">
        <f t="shared" si="35"/>
        <v>39.96820714</v>
      </c>
      <c r="Q130" s="204">
        <f t="shared" ref="Q130:T130" si="36">SUM(Q98:Q129)</f>
        <v>3124</v>
      </c>
      <c r="R130" s="204">
        <f t="shared" si="36"/>
        <v>421</v>
      </c>
      <c r="S130" s="204">
        <f t="shared" si="36"/>
        <v>2</v>
      </c>
      <c r="T130" s="204">
        <f t="shared" si="36"/>
        <v>1</v>
      </c>
      <c r="U130" s="205">
        <f t="shared" ref="U130:X130" si="37">IFERROR(AVERAGE(U98:U129),0)</f>
        <v>4259.994466</v>
      </c>
      <c r="V130" s="205">
        <f t="shared" si="37"/>
        <v>4279.379687</v>
      </c>
      <c r="W130" s="205">
        <f t="shared" si="37"/>
        <v>3656.857836</v>
      </c>
      <c r="X130" s="206">
        <f t="shared" si="37"/>
        <v>434.589337</v>
      </c>
    </row>
    <row r="131" ht="12.75" customHeight="1" spans="10:24" x14ac:dyDescent="0.25">
      <c r="J131" s="209" t="s">
        <v>188</v>
      </c>
      <c r="K131" s="210">
        <f>K130*12</f>
        <v>4853.544518</v>
      </c>
      <c r="L131" s="210" t="s">
        <v>189</v>
      </c>
      <c r="M131" s="205">
        <f>IF(N130=0,"0",100%-N130)</f>
        <v>0.01361743521</v>
      </c>
      <c r="N131" s="210" t="s">
        <v>190</v>
      </c>
      <c r="O131" s="206">
        <f>M131*O130</f>
        <v>61.27845843</v>
      </c>
      <c r="P131" s="211"/>
      <c r="Q131" s="212"/>
      <c r="R131" s="212"/>
      <c r="S131" s="212"/>
      <c r="T131" s="212"/>
      <c r="U131" s="212"/>
      <c r="V131" s="212"/>
      <c r="W131" s="212"/>
      <c r="X131" s="212"/>
    </row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spans="22:24" x14ac:dyDescent="0.25">
      <c r="V138" s="172"/>
      <c r="W138" s="107"/>
      <c r="X138" s="107"/>
    </row>
    <row r="139" ht="12.75" customHeight="1" spans="10:24" x14ac:dyDescent="0.25">
      <c r="J139" s="213" t="s">
        <v>155</v>
      </c>
      <c r="K139" s="213"/>
      <c r="L139" s="158" t="s">
        <v>156</v>
      </c>
      <c r="M139" s="160" t="s">
        <v>157</v>
      </c>
      <c r="N139" s="160" t="s">
        <v>158</v>
      </c>
      <c r="O139" s="160" t="s">
        <v>159</v>
      </c>
      <c r="P139" s="161" t="s">
        <v>160</v>
      </c>
      <c r="Q139" s="161" t="s">
        <v>161</v>
      </c>
      <c r="R139" s="162" t="s">
        <v>162</v>
      </c>
      <c r="S139" s="163"/>
      <c r="T139" s="164" t="s">
        <v>163</v>
      </c>
      <c r="U139" s="163"/>
      <c r="V139" s="172"/>
      <c r="W139" s="107"/>
      <c r="X139" s="107"/>
    </row>
    <row r="140" ht="12.75" customHeight="1" spans="10:24" x14ac:dyDescent="0.25">
      <c r="J140" s="214" t="s">
        <v>194</v>
      </c>
      <c r="K140" s="214"/>
      <c r="L140" s="167" t="s">
        <v>165</v>
      </c>
      <c r="M140" s="168">
        <v>43160</v>
      </c>
      <c r="N140" s="168">
        <v>43373</v>
      </c>
      <c r="O140" s="169">
        <f>IFERROR(IF(OR((R140=""),(N140=""),(M140="")),"",DAYS(N140,M140))+1,"")</f>
        <v>214</v>
      </c>
      <c r="P140" s="170">
        <v>600</v>
      </c>
      <c r="Q140" s="170"/>
      <c r="R140" s="171" t="s">
        <v>166</v>
      </c>
      <c r="S140" s="166"/>
      <c r="T140" s="214" t="s">
        <v>192</v>
      </c>
      <c r="U140" s="166"/>
      <c r="V140" s="172"/>
      <c r="W140" s="173"/>
      <c r="X140" s="173"/>
    </row>
    <row r="141" ht="12.75" customHeight="1" spans="10:24" x14ac:dyDescent="0.25">
      <c r="J141" s="201" t="s">
        <v>168</v>
      </c>
      <c r="K141" s="202" t="s">
        <v>169</v>
      </c>
      <c r="L141" s="202" t="s">
        <v>170</v>
      </c>
      <c r="M141" s="202" t="s">
        <v>171</v>
      </c>
      <c r="N141" s="202" t="s">
        <v>172</v>
      </c>
      <c r="O141" s="202" t="s">
        <v>173</v>
      </c>
      <c r="P141" s="202" t="s">
        <v>174</v>
      </c>
      <c r="Q141" s="202" t="s">
        <v>175</v>
      </c>
      <c r="R141" s="12" t="s">
        <v>176</v>
      </c>
      <c r="S141" s="12" t="s">
        <v>177</v>
      </c>
      <c r="T141" s="202" t="s">
        <v>178</v>
      </c>
      <c r="U141" s="202" t="s">
        <v>179</v>
      </c>
      <c r="V141" s="175" t="s">
        <v>180</v>
      </c>
      <c r="W141" s="175" t="s">
        <v>181</v>
      </c>
      <c r="X141" s="176" t="s">
        <v>182</v>
      </c>
    </row>
    <row r="142" ht="12.75" customHeight="1" spans="10:24" x14ac:dyDescent="0.25">
      <c r="J142" s="178">
        <v>42964</v>
      </c>
      <c r="K142" s="179"/>
      <c r="L142" s="179"/>
      <c r="M142" s="179"/>
      <c r="N142" s="180">
        <f t="shared" ref="N142:N173" si="38">IF(M142="","",IF(O142&gt;0,M142/O142,""))</f>
      </c>
      <c r="O142" s="181">
        <f t="shared" ref="O142:O173" si="39">IF(M142="","",IF($Q$140="",$P$140,$Q$140))</f>
      </c>
      <c r="P142" s="182"/>
      <c r="Q142" s="183"/>
      <c r="R142" s="183"/>
      <c r="S142" s="183"/>
      <c r="T142" s="183"/>
      <c r="U142" s="179"/>
      <c r="V142" s="179"/>
      <c r="W142" s="179"/>
      <c r="X142" s="184">
        <f t="shared" ref="X142:X173" si="40">IF(K142="","",IF($L$140="OD",O142-SUM(U142:W142)/3,IF($L$140="CC",O142-SUM(U142:W142)/3,SUM(U142:W142)/3)))</f>
      </c>
    </row>
    <row r="143" ht="12.75" customHeight="1" spans="10:24" x14ac:dyDescent="0.25">
      <c r="J143" s="178">
        <v>42995</v>
      </c>
      <c r="K143" s="179"/>
      <c r="L143" s="179"/>
      <c r="M143" s="179"/>
      <c r="N143" s="180">
        <f t="shared" si="38"/>
      </c>
      <c r="O143" s="181">
        <f t="shared" si="39"/>
      </c>
      <c r="P143" s="182"/>
      <c r="Q143" s="183"/>
      <c r="R143" s="183"/>
      <c r="S143" s="183"/>
      <c r="T143" s="183"/>
      <c r="U143" s="179"/>
      <c r="V143" s="179"/>
      <c r="W143" s="179"/>
      <c r="X143" s="184">
        <f t="shared" si="40"/>
      </c>
    </row>
    <row r="144" ht="12.75" customHeight="1" spans="10:24" x14ac:dyDescent="0.25">
      <c r="J144" s="178">
        <v>43025</v>
      </c>
      <c r="K144" s="179"/>
      <c r="L144" s="179"/>
      <c r="M144" s="179"/>
      <c r="N144" s="180">
        <f t="shared" si="38"/>
      </c>
      <c r="O144" s="181">
        <f t="shared" si="39"/>
      </c>
      <c r="P144" s="182"/>
      <c r="Q144" s="183"/>
      <c r="R144" s="183"/>
      <c r="S144" s="183"/>
      <c r="T144" s="183"/>
      <c r="U144" s="179"/>
      <c r="V144" s="179"/>
      <c r="W144" s="179"/>
      <c r="X144" s="184">
        <f t="shared" si="40"/>
      </c>
    </row>
    <row r="145" ht="12.75" customHeight="1" spans="10:24" x14ac:dyDescent="0.25">
      <c r="J145" s="178">
        <v>43056</v>
      </c>
      <c r="K145" s="179"/>
      <c r="L145" s="179"/>
      <c r="M145" s="179"/>
      <c r="N145" s="180">
        <f t="shared" si="38"/>
      </c>
      <c r="O145" s="181">
        <f t="shared" si="39"/>
      </c>
      <c r="P145" s="182"/>
      <c r="Q145" s="183"/>
      <c r="R145" s="183"/>
      <c r="S145" s="183"/>
      <c r="T145" s="183"/>
      <c r="U145" s="179"/>
      <c r="V145" s="179"/>
      <c r="W145" s="179"/>
      <c r="X145" s="184">
        <f t="shared" si="40"/>
      </c>
    </row>
    <row r="146" ht="12.75" customHeight="1" spans="10:24" x14ac:dyDescent="0.25">
      <c r="J146" s="178">
        <v>43086</v>
      </c>
      <c r="K146" s="179"/>
      <c r="L146" s="179"/>
      <c r="M146" s="179"/>
      <c r="N146" s="180">
        <f t="shared" si="38"/>
      </c>
      <c r="O146" s="181">
        <f t="shared" si="39"/>
      </c>
      <c r="P146" s="182"/>
      <c r="Q146" s="183"/>
      <c r="R146" s="183"/>
      <c r="S146" s="183"/>
      <c r="T146" s="183"/>
      <c r="U146" s="179"/>
      <c r="V146" s="179"/>
      <c r="W146" s="179"/>
      <c r="X146" s="184">
        <f t="shared" si="40"/>
      </c>
    </row>
    <row r="147" ht="12.75" customHeight="1" spans="10:24" x14ac:dyDescent="0.25">
      <c r="J147" s="178">
        <v>43118</v>
      </c>
      <c r="K147" s="179"/>
      <c r="L147" s="179"/>
      <c r="M147" s="179"/>
      <c r="N147" s="180">
        <f t="shared" si="38"/>
      </c>
      <c r="O147" s="181">
        <f t="shared" si="39"/>
      </c>
      <c r="P147" s="182"/>
      <c r="Q147" s="183"/>
      <c r="R147" s="183"/>
      <c r="S147" s="183"/>
      <c r="T147" s="183"/>
      <c r="U147" s="179"/>
      <c r="V147" s="179"/>
      <c r="W147" s="179"/>
      <c r="X147" s="184">
        <f t="shared" si="40"/>
      </c>
    </row>
    <row r="148" ht="12.75" customHeight="1" spans="10:24" x14ac:dyDescent="0.25">
      <c r="J148" s="178">
        <v>43149</v>
      </c>
      <c r="K148" s="179"/>
      <c r="L148" s="179"/>
      <c r="M148" s="179"/>
      <c r="N148" s="180">
        <f t="shared" si="38"/>
      </c>
      <c r="O148" s="181">
        <f t="shared" si="39"/>
      </c>
      <c r="P148" s="182"/>
      <c r="Q148" s="183"/>
      <c r="R148" s="183"/>
      <c r="S148" s="183"/>
      <c r="T148" s="183"/>
      <c r="U148" s="179"/>
      <c r="V148" s="179"/>
      <c r="W148" s="179"/>
      <c r="X148" s="184">
        <f t="shared" si="40"/>
      </c>
    </row>
    <row r="149" ht="12.75" customHeight="1" spans="10:24" x14ac:dyDescent="0.25">
      <c r="J149" s="178">
        <v>43177</v>
      </c>
      <c r="K149" s="179">
        <v>0.48879</v>
      </c>
      <c r="L149" s="179">
        <v>393.1353544</v>
      </c>
      <c r="M149" s="179">
        <v>607.4996347</v>
      </c>
      <c r="N149" s="180">
        <f t="shared" si="38"/>
        <v>1.012499391</v>
      </c>
      <c r="O149" s="181">
        <f t="shared" si="39"/>
        <v>600</v>
      </c>
      <c r="P149" s="182">
        <v>6.64</v>
      </c>
      <c r="Q149" s="183">
        <v>65</v>
      </c>
      <c r="R149" s="183">
        <v>1</v>
      </c>
      <c r="S149" s="183">
        <v>0</v>
      </c>
      <c r="T149" s="183">
        <v>0</v>
      </c>
      <c r="U149" s="179">
        <v>604.6384271</v>
      </c>
      <c r="V149" s="179">
        <v>606.8784183</v>
      </c>
      <c r="W149" s="179">
        <v>605.0940515</v>
      </c>
      <c r="X149" s="184">
        <f t="shared" si="40"/>
        <v>-5.536965633</v>
      </c>
    </row>
    <row r="150" ht="12.75" customHeight="1" spans="10:24" x14ac:dyDescent="0.25">
      <c r="J150" s="178">
        <v>43208</v>
      </c>
      <c r="K150" s="179">
        <v>0</v>
      </c>
      <c r="L150" s="179">
        <v>1079.9595828000001</v>
      </c>
      <c r="M150" s="179">
        <v>607.5950081</v>
      </c>
      <c r="N150" s="180">
        <f t="shared" si="38"/>
        <v>1.012658347</v>
      </c>
      <c r="O150" s="181">
        <f t="shared" si="39"/>
        <v>600</v>
      </c>
      <c r="P150" s="182">
        <v>6.15</v>
      </c>
      <c r="Q150" s="183">
        <v>123</v>
      </c>
      <c r="R150" s="183">
        <v>0</v>
      </c>
      <c r="S150" s="183">
        <v>0</v>
      </c>
      <c r="T150" s="183">
        <v>0</v>
      </c>
      <c r="U150" s="179">
        <v>606.7728958</v>
      </c>
      <c r="V150" s="179">
        <v>547.5806503</v>
      </c>
      <c r="W150" s="179">
        <v>587.2378543</v>
      </c>
      <c r="X150" s="184">
        <f t="shared" si="40"/>
        <v>19.4695332</v>
      </c>
    </row>
    <row r="151" ht="12.75" customHeight="1" spans="10:24" x14ac:dyDescent="0.25">
      <c r="J151" s="178">
        <v>43238</v>
      </c>
      <c r="K151" s="179">
        <v>0</v>
      </c>
      <c r="L151" s="179">
        <v>699.7717965</v>
      </c>
      <c r="M151" s="179">
        <v>606.4451517</v>
      </c>
      <c r="N151" s="180">
        <f t="shared" si="38"/>
        <v>1.01074192</v>
      </c>
      <c r="O151" s="181">
        <f t="shared" si="39"/>
        <v>600</v>
      </c>
      <c r="P151" s="182">
        <v>6.61</v>
      </c>
      <c r="Q151" s="183">
        <v>89</v>
      </c>
      <c r="R151" s="183">
        <v>0</v>
      </c>
      <c r="S151" s="183">
        <v>0</v>
      </c>
      <c r="T151" s="183">
        <v>0</v>
      </c>
      <c r="U151" s="179">
        <v>593.3873827</v>
      </c>
      <c r="V151" s="179">
        <v>605.5346055</v>
      </c>
      <c r="W151" s="179">
        <v>603.5096508</v>
      </c>
      <c r="X151" s="184">
        <f t="shared" si="40"/>
        <v>-0.8105463333</v>
      </c>
    </row>
    <row r="152" ht="12.75" customHeight="1" spans="10:24" x14ac:dyDescent="0.25">
      <c r="J152" s="178">
        <v>43269</v>
      </c>
      <c r="K152" s="179">
        <v>0.59</v>
      </c>
      <c r="L152" s="179">
        <v>468.2858693999999</v>
      </c>
      <c r="M152" s="179">
        <v>607.0921777</v>
      </c>
      <c r="N152" s="180">
        <f t="shared" si="38"/>
        <v>1.011820296</v>
      </c>
      <c r="O152" s="181">
        <f t="shared" si="39"/>
        <v>600</v>
      </c>
      <c r="P152" s="182">
        <v>6.42</v>
      </c>
      <c r="Q152" s="183">
        <v>72</v>
      </c>
      <c r="R152" s="183">
        <v>1</v>
      </c>
      <c r="S152" s="183">
        <v>0</v>
      </c>
      <c r="T152" s="183">
        <v>0</v>
      </c>
      <c r="U152" s="179">
        <v>606.400056</v>
      </c>
      <c r="V152" s="179">
        <v>606.6741356</v>
      </c>
      <c r="W152" s="179">
        <v>600.7052252</v>
      </c>
      <c r="X152" s="184">
        <f t="shared" si="40"/>
        <v>-4.593138933</v>
      </c>
    </row>
    <row r="153" ht="12.75" customHeight="1" spans="10:24" x14ac:dyDescent="0.25">
      <c r="J153" s="178">
        <v>43299</v>
      </c>
      <c r="K153" s="179">
        <v>0</v>
      </c>
      <c r="L153" s="179">
        <v>993.5377782999998</v>
      </c>
      <c r="M153" s="179">
        <v>607.9710514</v>
      </c>
      <c r="N153" s="180">
        <f t="shared" si="38"/>
        <v>1.013285086</v>
      </c>
      <c r="O153" s="181">
        <f t="shared" si="39"/>
        <v>600</v>
      </c>
      <c r="P153" s="182">
        <v>6.64</v>
      </c>
      <c r="Q153" s="183">
        <v>90</v>
      </c>
      <c r="R153" s="183">
        <v>0</v>
      </c>
      <c r="S153" s="183">
        <v>0</v>
      </c>
      <c r="T153" s="183">
        <v>0</v>
      </c>
      <c r="U153" s="179">
        <v>607.4205907</v>
      </c>
      <c r="V153" s="179">
        <v>604.6592728</v>
      </c>
      <c r="W153" s="179">
        <v>605.6989635</v>
      </c>
      <c r="X153" s="184">
        <f t="shared" si="40"/>
        <v>-5.926275667</v>
      </c>
    </row>
    <row r="154" ht="12.75" customHeight="1" spans="10:24" x14ac:dyDescent="0.25">
      <c r="J154" s="178">
        <v>43330</v>
      </c>
      <c r="K154" s="179">
        <v>0</v>
      </c>
      <c r="L154" s="179">
        <v>652.8980653</v>
      </c>
      <c r="M154" s="179">
        <v>607.6618635</v>
      </c>
      <c r="N154" s="180">
        <f t="shared" si="38"/>
        <v>1.012769773</v>
      </c>
      <c r="O154" s="181">
        <f t="shared" si="39"/>
        <v>600</v>
      </c>
      <c r="P154" s="182">
        <v>6.6</v>
      </c>
      <c r="Q154" s="183">
        <v>85</v>
      </c>
      <c r="R154" s="183">
        <v>0</v>
      </c>
      <c r="S154" s="183">
        <v>0</v>
      </c>
      <c r="T154" s="183">
        <v>0</v>
      </c>
      <c r="U154" s="179">
        <v>566.6418475</v>
      </c>
      <c r="V154" s="179">
        <v>607.235059</v>
      </c>
      <c r="W154" s="179">
        <v>584.3117412</v>
      </c>
      <c r="X154" s="184">
        <f t="shared" si="40"/>
        <v>13.93711743</v>
      </c>
    </row>
    <row r="155" ht="12.75" customHeight="1" spans="10:24" x14ac:dyDescent="0.25">
      <c r="J155" s="178">
        <v>43361</v>
      </c>
      <c r="K155" s="179">
        <v>0</v>
      </c>
      <c r="L155" s="179">
        <v>411.6399339000001</v>
      </c>
      <c r="M155" s="179">
        <v>608.7060332</v>
      </c>
      <c r="N155" s="180">
        <f t="shared" si="38"/>
        <v>1.014510055</v>
      </c>
      <c r="O155" s="181">
        <f t="shared" si="39"/>
        <v>600</v>
      </c>
      <c r="P155" s="182">
        <v>0</v>
      </c>
      <c r="Q155" s="183">
        <v>61</v>
      </c>
      <c r="R155" s="183">
        <v>0</v>
      </c>
      <c r="S155" s="183">
        <v>0</v>
      </c>
      <c r="T155" s="183">
        <v>0</v>
      </c>
      <c r="U155" s="179">
        <v>608.7060332</v>
      </c>
      <c r="V155" s="179">
        <v>605.7870308</v>
      </c>
      <c r="W155" s="179">
        <v>0</v>
      </c>
      <c r="X155" s="184">
        <f t="shared" si="40"/>
        <v>195.1689787</v>
      </c>
    </row>
    <row r="156" ht="12.75" customHeight="1" spans="10:24" x14ac:dyDescent="0.25">
      <c r="J156" s="178">
        <v>43391</v>
      </c>
      <c r="K156" s="179"/>
      <c r="L156" s="179"/>
      <c r="M156" s="179"/>
      <c r="N156" s="180">
        <f t="shared" si="38"/>
      </c>
      <c r="O156" s="181">
        <f t="shared" si="39"/>
      </c>
      <c r="P156" s="182"/>
      <c r="Q156" s="183"/>
      <c r="R156" s="183"/>
      <c r="S156" s="183"/>
      <c r="T156" s="183"/>
      <c r="U156" s="179"/>
      <c r="V156" s="179"/>
      <c r="W156" s="179"/>
      <c r="X156" s="184">
        <f t="shared" si="40"/>
      </c>
    </row>
    <row r="157" ht="12.75" customHeight="1" spans="10:24" x14ac:dyDescent="0.25">
      <c r="J157" s="178">
        <v>43422</v>
      </c>
      <c r="K157" s="179"/>
      <c r="L157" s="179"/>
      <c r="M157" s="179"/>
      <c r="N157" s="180">
        <f t="shared" si="38"/>
      </c>
      <c r="O157" s="181">
        <f t="shared" si="39"/>
      </c>
      <c r="P157" s="182"/>
      <c r="Q157" s="183"/>
      <c r="R157" s="183"/>
      <c r="S157" s="183"/>
      <c r="T157" s="183"/>
      <c r="U157" s="179"/>
      <c r="V157" s="179"/>
      <c r="W157" s="179"/>
      <c r="X157" s="184">
        <f t="shared" si="40"/>
      </c>
    </row>
    <row r="158" ht="12.75" customHeight="1" spans="10:24" x14ac:dyDescent="0.25">
      <c r="J158" s="178">
        <v>43452</v>
      </c>
      <c r="K158" s="179"/>
      <c r="L158" s="179"/>
      <c r="M158" s="179"/>
      <c r="N158" s="180">
        <f t="shared" si="38"/>
      </c>
      <c r="O158" s="181">
        <f t="shared" si="39"/>
      </c>
      <c r="P158" s="182"/>
      <c r="Q158" s="183"/>
      <c r="R158" s="183"/>
      <c r="S158" s="183"/>
      <c r="T158" s="183"/>
      <c r="U158" s="179"/>
      <c r="V158" s="179"/>
      <c r="W158" s="179"/>
      <c r="X158" s="184">
        <f t="shared" si="40"/>
      </c>
    </row>
    <row r="159" ht="12.75" customHeight="1" spans="10:24" x14ac:dyDescent="0.25">
      <c r="J159" s="178">
        <v>43484</v>
      </c>
      <c r="K159" s="179"/>
      <c r="L159" s="179"/>
      <c r="M159" s="179"/>
      <c r="N159" s="180">
        <f t="shared" si="38"/>
      </c>
      <c r="O159" s="181">
        <f t="shared" si="39"/>
      </c>
      <c r="P159" s="182"/>
      <c r="Q159" s="183"/>
      <c r="R159" s="183"/>
      <c r="S159" s="183"/>
      <c r="T159" s="183"/>
      <c r="U159" s="179"/>
      <c r="V159" s="179"/>
      <c r="W159" s="179"/>
      <c r="X159" s="184">
        <f t="shared" si="40"/>
      </c>
    </row>
    <row r="160" ht="12.75" customHeight="1" spans="10:24" x14ac:dyDescent="0.25">
      <c r="J160" s="178">
        <v>43515</v>
      </c>
      <c r="K160" s="179"/>
      <c r="L160" s="179"/>
      <c r="M160" s="179"/>
      <c r="N160" s="180">
        <f t="shared" si="38"/>
      </c>
      <c r="O160" s="181">
        <f t="shared" si="39"/>
      </c>
      <c r="P160" s="182"/>
      <c r="Q160" s="183"/>
      <c r="R160" s="183"/>
      <c r="S160" s="183"/>
      <c r="T160" s="183"/>
      <c r="U160" s="179"/>
      <c r="V160" s="179"/>
      <c r="W160" s="179"/>
      <c r="X160" s="184">
        <f t="shared" si="40"/>
      </c>
    </row>
    <row r="161" ht="12.75" customHeight="1" spans="10:24" x14ac:dyDescent="0.25">
      <c r="J161" s="178">
        <v>43543</v>
      </c>
      <c r="K161" s="179"/>
      <c r="L161" s="179"/>
      <c r="M161" s="179"/>
      <c r="N161" s="180">
        <f t="shared" si="38"/>
      </c>
      <c r="O161" s="181">
        <f t="shared" si="39"/>
      </c>
      <c r="P161" s="182"/>
      <c r="Q161" s="183"/>
      <c r="R161" s="183"/>
      <c r="S161" s="183"/>
      <c r="T161" s="183"/>
      <c r="U161" s="179"/>
      <c r="V161" s="179"/>
      <c r="W161" s="179"/>
      <c r="X161" s="184">
        <f t="shared" si="40"/>
      </c>
    </row>
    <row r="162" ht="12.75" customHeight="1" spans="10:24" x14ac:dyDescent="0.25">
      <c r="J162" s="178">
        <v>43574</v>
      </c>
      <c r="K162" s="179"/>
      <c r="L162" s="179"/>
      <c r="M162" s="179"/>
      <c r="N162" s="180">
        <f t="shared" si="38"/>
      </c>
      <c r="O162" s="181">
        <f t="shared" si="39"/>
      </c>
      <c r="P162" s="182"/>
      <c r="Q162" s="183"/>
      <c r="R162" s="183"/>
      <c r="S162" s="183"/>
      <c r="T162" s="183"/>
      <c r="U162" s="179"/>
      <c r="V162" s="179"/>
      <c r="W162" s="179"/>
      <c r="X162" s="184">
        <f t="shared" si="40"/>
      </c>
    </row>
    <row r="163" ht="12.75" customHeight="1" spans="10:24" x14ac:dyDescent="0.25">
      <c r="J163" s="178">
        <v>43604</v>
      </c>
      <c r="K163" s="179"/>
      <c r="L163" s="179"/>
      <c r="M163" s="179"/>
      <c r="N163" s="180">
        <f t="shared" si="38"/>
      </c>
      <c r="O163" s="181">
        <f t="shared" si="39"/>
      </c>
      <c r="P163" s="182"/>
      <c r="Q163" s="183"/>
      <c r="R163" s="183"/>
      <c r="S163" s="183"/>
      <c r="T163" s="183"/>
      <c r="U163" s="179"/>
      <c r="V163" s="179"/>
      <c r="W163" s="179"/>
      <c r="X163" s="184">
        <f t="shared" si="40"/>
      </c>
    </row>
    <row r="164" ht="12.75" customHeight="1" spans="10:24" x14ac:dyDescent="0.25">
      <c r="J164" s="178">
        <v>43635</v>
      </c>
      <c r="K164" s="179"/>
      <c r="L164" s="179"/>
      <c r="M164" s="179"/>
      <c r="N164" s="180">
        <f t="shared" si="38"/>
      </c>
      <c r="O164" s="181">
        <f t="shared" si="39"/>
      </c>
      <c r="P164" s="182"/>
      <c r="Q164" s="183"/>
      <c r="R164" s="183"/>
      <c r="S164" s="183"/>
      <c r="T164" s="183"/>
      <c r="U164" s="179"/>
      <c r="V164" s="179"/>
      <c r="W164" s="179"/>
      <c r="X164" s="184">
        <f t="shared" si="40"/>
      </c>
    </row>
    <row r="165" ht="12.75" customHeight="1" spans="10:24" x14ac:dyDescent="0.25">
      <c r="J165" s="178">
        <v>43665</v>
      </c>
      <c r="K165" s="179"/>
      <c r="L165" s="179"/>
      <c r="M165" s="179"/>
      <c r="N165" s="180">
        <f t="shared" si="38"/>
      </c>
      <c r="O165" s="181">
        <f t="shared" si="39"/>
      </c>
      <c r="P165" s="182"/>
      <c r="Q165" s="183"/>
      <c r="R165" s="183"/>
      <c r="S165" s="183"/>
      <c r="T165" s="183"/>
      <c r="U165" s="179"/>
      <c r="V165" s="179"/>
      <c r="W165" s="179"/>
      <c r="X165" s="184">
        <f t="shared" si="40"/>
      </c>
    </row>
    <row r="166" ht="12.75" customHeight="1" spans="10:24" x14ac:dyDescent="0.25">
      <c r="J166" s="178">
        <v>43696</v>
      </c>
      <c r="K166" s="179"/>
      <c r="L166" s="179"/>
      <c r="M166" s="179"/>
      <c r="N166" s="180">
        <f t="shared" si="38"/>
      </c>
      <c r="O166" s="181">
        <f t="shared" si="39"/>
      </c>
      <c r="P166" s="182"/>
      <c r="Q166" s="183"/>
      <c r="R166" s="183"/>
      <c r="S166" s="183"/>
      <c r="T166" s="183"/>
      <c r="U166" s="179"/>
      <c r="V166" s="179"/>
      <c r="W166" s="179"/>
      <c r="X166" s="184">
        <f t="shared" si="40"/>
      </c>
    </row>
    <row r="167" ht="12.75" customHeight="1" spans="10:24" x14ac:dyDescent="0.25">
      <c r="J167" s="178">
        <v>43727</v>
      </c>
      <c r="K167" s="179"/>
      <c r="L167" s="179"/>
      <c r="M167" s="179"/>
      <c r="N167" s="180">
        <f t="shared" si="38"/>
      </c>
      <c r="O167" s="181">
        <f t="shared" si="39"/>
      </c>
      <c r="P167" s="182"/>
      <c r="Q167" s="183"/>
      <c r="R167" s="183"/>
      <c r="S167" s="183"/>
      <c r="T167" s="183"/>
      <c r="U167" s="179"/>
      <c r="V167" s="179"/>
      <c r="W167" s="179"/>
      <c r="X167" s="184">
        <f t="shared" si="40"/>
      </c>
    </row>
    <row r="168" ht="12.75" customHeight="1" spans="10:24" x14ac:dyDescent="0.25">
      <c r="J168" s="178">
        <v>43757</v>
      </c>
      <c r="K168" s="179"/>
      <c r="L168" s="179"/>
      <c r="M168" s="179"/>
      <c r="N168" s="180">
        <f t="shared" si="38"/>
      </c>
      <c r="O168" s="181">
        <f t="shared" si="39"/>
      </c>
      <c r="P168" s="182"/>
      <c r="Q168" s="183"/>
      <c r="R168" s="183"/>
      <c r="S168" s="183"/>
      <c r="T168" s="183"/>
      <c r="U168" s="179"/>
      <c r="V168" s="179"/>
      <c r="W168" s="179"/>
      <c r="X168" s="184">
        <f t="shared" si="40"/>
      </c>
    </row>
    <row r="169" ht="12.75" customHeight="1" spans="10:24" x14ac:dyDescent="0.25">
      <c r="J169" s="178">
        <v>43788</v>
      </c>
      <c r="K169" s="179"/>
      <c r="L169" s="179"/>
      <c r="M169" s="179"/>
      <c r="N169" s="180">
        <f t="shared" si="38"/>
      </c>
      <c r="O169" s="181">
        <f t="shared" si="39"/>
      </c>
      <c r="P169" s="182"/>
      <c r="Q169" s="183"/>
      <c r="R169" s="183"/>
      <c r="S169" s="183"/>
      <c r="T169" s="183"/>
      <c r="U169" s="179"/>
      <c r="V169" s="179"/>
      <c r="W169" s="179"/>
      <c r="X169" s="184">
        <f t="shared" si="40"/>
      </c>
    </row>
    <row r="170" ht="12.75" customHeight="1" spans="10:24" x14ac:dyDescent="0.25">
      <c r="J170" s="178">
        <v>43818</v>
      </c>
      <c r="K170" s="179"/>
      <c r="L170" s="179"/>
      <c r="M170" s="179"/>
      <c r="N170" s="180">
        <f t="shared" si="38"/>
      </c>
      <c r="O170" s="181">
        <f t="shared" si="39"/>
      </c>
      <c r="P170" s="182"/>
      <c r="Q170" s="183"/>
      <c r="R170" s="183"/>
      <c r="S170" s="183"/>
      <c r="T170" s="183"/>
      <c r="U170" s="179"/>
      <c r="V170" s="179"/>
      <c r="W170" s="179"/>
      <c r="X170" s="184">
        <f t="shared" si="40"/>
      </c>
    </row>
    <row r="171" ht="12.75" customHeight="1" spans="10:24" x14ac:dyDescent="0.25">
      <c r="J171" s="178">
        <v>43850</v>
      </c>
      <c r="K171" s="179"/>
      <c r="L171" s="179"/>
      <c r="M171" s="179"/>
      <c r="N171" s="180">
        <f t="shared" si="38"/>
      </c>
      <c r="O171" s="181">
        <f t="shared" si="39"/>
      </c>
      <c r="P171" s="182"/>
      <c r="Q171" s="183"/>
      <c r="R171" s="183"/>
      <c r="S171" s="183"/>
      <c r="T171" s="183"/>
      <c r="U171" s="179"/>
      <c r="V171" s="179"/>
      <c r="W171" s="179"/>
      <c r="X171" s="184">
        <f t="shared" si="40"/>
      </c>
    </row>
    <row r="172" ht="12.75" customHeight="1" spans="10:24" x14ac:dyDescent="0.25">
      <c r="J172" s="178">
        <v>43881</v>
      </c>
      <c r="K172" s="179"/>
      <c r="L172" s="179"/>
      <c r="M172" s="179"/>
      <c r="N172" s="180">
        <f t="shared" si="38"/>
      </c>
      <c r="O172" s="181">
        <f t="shared" si="39"/>
      </c>
      <c r="P172" s="182"/>
      <c r="Q172" s="183"/>
      <c r="R172" s="183"/>
      <c r="S172" s="183"/>
      <c r="T172" s="183"/>
      <c r="U172" s="179"/>
      <c r="V172" s="179"/>
      <c r="W172" s="179"/>
      <c r="X172" s="184">
        <f t="shared" si="40"/>
      </c>
    </row>
    <row r="173" ht="12.75" customHeight="1" spans="10:24" x14ac:dyDescent="0.25">
      <c r="J173" s="178">
        <v>43910</v>
      </c>
      <c r="K173" s="179"/>
      <c r="L173" s="179"/>
      <c r="M173" s="179"/>
      <c r="N173" s="180">
        <f t="shared" si="38"/>
      </c>
      <c r="O173" s="181">
        <f t="shared" si="39"/>
      </c>
      <c r="P173" s="182"/>
      <c r="Q173" s="183"/>
      <c r="R173" s="183"/>
      <c r="S173" s="183"/>
      <c r="T173" s="183"/>
      <c r="U173" s="179"/>
      <c r="V173" s="179"/>
      <c r="W173" s="179"/>
      <c r="X173" s="184">
        <f t="shared" si="40"/>
      </c>
    </row>
    <row r="174" ht="12.75" customHeight="1" spans="10:24" x14ac:dyDescent="0.25">
      <c r="J174" s="201" t="s">
        <v>186</v>
      </c>
      <c r="K174" s="202">
        <f t="shared" ref="K174:P174" si="41">IFERROR(AVERAGE(K142:K173),0)</f>
        <v>0.1541128571</v>
      </c>
      <c r="L174" s="202">
        <f t="shared" si="41"/>
        <v>671.3183401</v>
      </c>
      <c r="M174" s="203">
        <f t="shared" si="41"/>
        <v>607.5672743</v>
      </c>
      <c r="N174" s="203">
        <f t="shared" si="41"/>
        <v>1.012612124</v>
      </c>
      <c r="O174" s="203">
        <f t="shared" si="41"/>
        <v>600</v>
      </c>
      <c r="P174" s="205">
        <f t="shared" si="41"/>
        <v>5.58</v>
      </c>
      <c r="Q174" s="204">
        <f t="shared" ref="Q174:T174" si="42">SUM(Q142:Q173)</f>
        <v>585</v>
      </c>
      <c r="R174" s="204">
        <f t="shared" si="42"/>
        <v>2</v>
      </c>
      <c r="S174" s="204">
        <f t="shared" si="42"/>
        <v>0</v>
      </c>
      <c r="T174" s="204">
        <f t="shared" si="42"/>
        <v>0</v>
      </c>
      <c r="U174" s="205">
        <f t="shared" ref="U174:X174" si="43">IFERROR(AVERAGE(U142:U173),0)</f>
        <v>599.1381761</v>
      </c>
      <c r="V174" s="205">
        <f t="shared" si="43"/>
        <v>597.7641675</v>
      </c>
      <c r="W174" s="205">
        <f t="shared" si="43"/>
        <v>512.3653552</v>
      </c>
      <c r="X174" s="206">
        <f t="shared" si="43"/>
        <v>30.24410039</v>
      </c>
    </row>
    <row r="175" ht="12.75" customHeight="1" spans="10:24" x14ac:dyDescent="0.25">
      <c r="J175" s="209" t="s">
        <v>188</v>
      </c>
      <c r="K175" s="210">
        <f>K174*12</f>
        <v>1.849354286</v>
      </c>
      <c r="L175" s="210" t="s">
        <v>189</v>
      </c>
      <c r="M175" s="205">
        <f>IF(N174=0,"0",100%-N174)</f>
        <v>-0.01261212388</v>
      </c>
      <c r="N175" s="210" t="s">
        <v>190</v>
      </c>
      <c r="O175" s="206">
        <f>M175*O174</f>
        <v>-7.567274329</v>
      </c>
      <c r="P175" s="211"/>
      <c r="Q175" s="212"/>
      <c r="R175" s="212"/>
      <c r="S175" s="212"/>
      <c r="T175" s="212"/>
      <c r="U175" s="212"/>
      <c r="V175" s="212"/>
      <c r="W175" s="212"/>
      <c r="X175" s="212"/>
    </row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spans="22:24" x14ac:dyDescent="0.25">
      <c r="V182" s="172"/>
      <c r="W182" s="107"/>
      <c r="X182" s="107"/>
    </row>
    <row r="183" ht="12.75" customHeight="1" spans="10:24" x14ac:dyDescent="0.25">
      <c r="J183" s="213" t="s">
        <v>155</v>
      </c>
      <c r="K183" s="213"/>
      <c r="L183" s="158" t="s">
        <v>156</v>
      </c>
      <c r="M183" s="160" t="s">
        <v>157</v>
      </c>
      <c r="N183" s="160" t="s">
        <v>158</v>
      </c>
      <c r="O183" s="160" t="s">
        <v>159</v>
      </c>
      <c r="P183" s="161" t="s">
        <v>160</v>
      </c>
      <c r="Q183" s="161" t="s">
        <v>161</v>
      </c>
      <c r="R183" s="162" t="s">
        <v>162</v>
      </c>
      <c r="S183" s="163"/>
      <c r="T183" s="164" t="s">
        <v>163</v>
      </c>
      <c r="U183" s="163"/>
      <c r="V183" s="172"/>
      <c r="W183" s="107"/>
      <c r="X183" s="107"/>
    </row>
    <row r="184" ht="12.75" customHeight="1" spans="10:24" x14ac:dyDescent="0.25">
      <c r="J184" s="214"/>
      <c r="K184" s="214"/>
      <c r="L184" s="167"/>
      <c r="M184" s="168"/>
      <c r="N184" s="168"/>
      <c r="O184" s="169">
        <f>IFERROR(IF(OR((R184=""),(N184=""),(M184="")),"",DAYS(N184,M184))+1,"")</f>
        <v>1</v>
      </c>
      <c r="P184" s="170"/>
      <c r="Q184" s="170"/>
      <c r="R184" s="217"/>
      <c r="S184" s="166"/>
      <c r="T184" s="217"/>
      <c r="U184" s="166"/>
      <c r="V184" s="172"/>
      <c r="W184" s="173"/>
      <c r="X184" s="173"/>
    </row>
    <row r="185" ht="12.75" customHeight="1" spans="10:24" x14ac:dyDescent="0.25">
      <c r="J185" s="201" t="s">
        <v>168</v>
      </c>
      <c r="K185" s="202" t="s">
        <v>169</v>
      </c>
      <c r="L185" s="202" t="s">
        <v>170</v>
      </c>
      <c r="M185" s="202" t="s">
        <v>171</v>
      </c>
      <c r="N185" s="202" t="s">
        <v>172</v>
      </c>
      <c r="O185" s="202" t="s">
        <v>173</v>
      </c>
      <c r="P185" s="202" t="s">
        <v>174</v>
      </c>
      <c r="Q185" s="202" t="s">
        <v>175</v>
      </c>
      <c r="R185" s="12" t="s">
        <v>176</v>
      </c>
      <c r="S185" s="12" t="s">
        <v>177</v>
      </c>
      <c r="T185" s="202" t="s">
        <v>178</v>
      </c>
      <c r="U185" s="202" t="s">
        <v>179</v>
      </c>
      <c r="V185" s="175" t="s">
        <v>180</v>
      </c>
      <c r="W185" s="175" t="s">
        <v>181</v>
      </c>
      <c r="X185" s="176" t="s">
        <v>182</v>
      </c>
    </row>
    <row r="186" ht="12.75" customHeight="1" spans="10:24" x14ac:dyDescent="0.25">
      <c r="J186" s="178">
        <v>42964</v>
      </c>
      <c r="K186" s="179"/>
      <c r="L186" s="179"/>
      <c r="M186" s="179"/>
      <c r="N186" s="180">
        <f t="shared" ref="N186:N217" si="44">IF(M186="","",IF(O186&gt;0,M186/O186,""))</f>
      </c>
      <c r="O186" s="181">
        <f t="shared" ref="O186:O217" si="45">IF(M186="","",IF($Q$184="",$P$184,$Q$184))</f>
      </c>
      <c r="P186" s="182"/>
      <c r="Q186" s="183"/>
      <c r="R186" s="183"/>
      <c r="S186" s="183"/>
      <c r="T186" s="183"/>
      <c r="U186" s="179"/>
      <c r="V186" s="179"/>
      <c r="W186" s="179"/>
      <c r="X186" s="184">
        <f t="shared" ref="X186:X217" si="46">IF(K186="","",IF($L$184="OD",O186-SUM(U186:W186)/3,IF($L$184="CC",O186-SUM(U186:W186)/3,SUM(U186:W186)/3)))</f>
      </c>
    </row>
    <row r="187" ht="12.75" customHeight="1" spans="10:24" x14ac:dyDescent="0.25">
      <c r="J187" s="178">
        <v>42995</v>
      </c>
      <c r="K187" s="179"/>
      <c r="L187" s="179"/>
      <c r="M187" s="179"/>
      <c r="N187" s="180">
        <f t="shared" si="44"/>
      </c>
      <c r="O187" s="181">
        <f t="shared" si="45"/>
      </c>
      <c r="P187" s="182"/>
      <c r="Q187" s="183"/>
      <c r="R187" s="183"/>
      <c r="S187" s="183"/>
      <c r="T187" s="183"/>
      <c r="U187" s="179"/>
      <c r="V187" s="179"/>
      <c r="W187" s="179"/>
      <c r="X187" s="184">
        <f t="shared" si="46"/>
      </c>
    </row>
    <row r="188" ht="12.75" customHeight="1" spans="10:24" x14ac:dyDescent="0.25">
      <c r="J188" s="178">
        <v>43025</v>
      </c>
      <c r="K188" s="179"/>
      <c r="L188" s="179"/>
      <c r="M188" s="179"/>
      <c r="N188" s="180">
        <f t="shared" si="44"/>
      </c>
      <c r="O188" s="181">
        <f t="shared" si="45"/>
      </c>
      <c r="P188" s="182"/>
      <c r="Q188" s="183"/>
      <c r="R188" s="183"/>
      <c r="S188" s="183"/>
      <c r="T188" s="183"/>
      <c r="U188" s="179"/>
      <c r="V188" s="179"/>
      <c r="W188" s="179"/>
      <c r="X188" s="184">
        <f t="shared" si="46"/>
      </c>
    </row>
    <row r="189" ht="12.75" customHeight="1" spans="10:24" x14ac:dyDescent="0.25">
      <c r="J189" s="178">
        <v>43056</v>
      </c>
      <c r="K189" s="179"/>
      <c r="L189" s="179"/>
      <c r="M189" s="179"/>
      <c r="N189" s="180">
        <f t="shared" si="44"/>
      </c>
      <c r="O189" s="181">
        <f t="shared" si="45"/>
      </c>
      <c r="P189" s="182"/>
      <c r="Q189" s="183"/>
      <c r="R189" s="183"/>
      <c r="S189" s="183"/>
      <c r="T189" s="183"/>
      <c r="U189" s="179"/>
      <c r="V189" s="179"/>
      <c r="W189" s="179"/>
      <c r="X189" s="184">
        <f t="shared" si="46"/>
      </c>
    </row>
    <row r="190" ht="12.75" customHeight="1" spans="10:24" x14ac:dyDescent="0.25">
      <c r="J190" s="178">
        <v>43086</v>
      </c>
      <c r="K190" s="179"/>
      <c r="L190" s="179"/>
      <c r="M190" s="179"/>
      <c r="N190" s="180">
        <f t="shared" si="44"/>
      </c>
      <c r="O190" s="181">
        <f t="shared" si="45"/>
      </c>
      <c r="P190" s="182"/>
      <c r="Q190" s="183"/>
      <c r="R190" s="183"/>
      <c r="S190" s="183"/>
      <c r="T190" s="183"/>
      <c r="U190" s="179"/>
      <c r="V190" s="179"/>
      <c r="W190" s="179"/>
      <c r="X190" s="184">
        <f t="shared" si="46"/>
      </c>
    </row>
    <row r="191" ht="12.75" customHeight="1" spans="10:24" x14ac:dyDescent="0.25">
      <c r="J191" s="178">
        <v>43118</v>
      </c>
      <c r="K191" s="179"/>
      <c r="L191" s="179"/>
      <c r="M191" s="179"/>
      <c r="N191" s="180">
        <f t="shared" si="44"/>
      </c>
      <c r="O191" s="181">
        <f t="shared" si="45"/>
      </c>
      <c r="P191" s="182"/>
      <c r="Q191" s="183"/>
      <c r="R191" s="183"/>
      <c r="S191" s="183"/>
      <c r="T191" s="183"/>
      <c r="U191" s="179"/>
      <c r="V191" s="179"/>
      <c r="W191" s="179"/>
      <c r="X191" s="184">
        <f t="shared" si="46"/>
      </c>
    </row>
    <row r="192" ht="12.75" customHeight="1" spans="10:24" x14ac:dyDescent="0.25">
      <c r="J192" s="178">
        <v>43149</v>
      </c>
      <c r="K192" s="179"/>
      <c r="L192" s="179"/>
      <c r="M192" s="179"/>
      <c r="N192" s="180">
        <f t="shared" si="44"/>
      </c>
      <c r="O192" s="181">
        <f t="shared" si="45"/>
      </c>
      <c r="P192" s="182"/>
      <c r="Q192" s="183"/>
      <c r="R192" s="183"/>
      <c r="S192" s="183"/>
      <c r="T192" s="183"/>
      <c r="U192" s="179"/>
      <c r="V192" s="179"/>
      <c r="W192" s="179"/>
      <c r="X192" s="184">
        <f t="shared" si="46"/>
      </c>
    </row>
    <row r="193" ht="12.75" customHeight="1" spans="10:24" x14ac:dyDescent="0.25">
      <c r="J193" s="178">
        <v>43177</v>
      </c>
      <c r="K193" s="179"/>
      <c r="L193" s="179"/>
      <c r="M193" s="179"/>
      <c r="N193" s="180">
        <f t="shared" si="44"/>
      </c>
      <c r="O193" s="181">
        <f t="shared" si="45"/>
      </c>
      <c r="P193" s="182"/>
      <c r="Q193" s="183"/>
      <c r="R193" s="183"/>
      <c r="S193" s="183"/>
      <c r="T193" s="183"/>
      <c r="U193" s="179"/>
      <c r="V193" s="179"/>
      <c r="W193" s="179"/>
      <c r="X193" s="184">
        <f t="shared" si="46"/>
      </c>
    </row>
    <row r="194" ht="12.75" customHeight="1" spans="10:24" x14ac:dyDescent="0.25">
      <c r="J194" s="178">
        <v>43208</v>
      </c>
      <c r="K194" s="179"/>
      <c r="L194" s="179"/>
      <c r="M194" s="179"/>
      <c r="N194" s="180">
        <f t="shared" si="44"/>
      </c>
      <c r="O194" s="181">
        <f t="shared" si="45"/>
      </c>
      <c r="P194" s="182"/>
      <c r="Q194" s="183"/>
      <c r="R194" s="183"/>
      <c r="S194" s="183"/>
      <c r="T194" s="183"/>
      <c r="U194" s="179"/>
      <c r="V194" s="179"/>
      <c r="W194" s="179"/>
      <c r="X194" s="184">
        <f t="shared" si="46"/>
      </c>
    </row>
    <row r="195" ht="12.75" customHeight="1" spans="10:24" x14ac:dyDescent="0.25">
      <c r="J195" s="178">
        <v>43238</v>
      </c>
      <c r="K195" s="179"/>
      <c r="L195" s="179"/>
      <c r="M195" s="179"/>
      <c r="N195" s="180">
        <f t="shared" si="44"/>
      </c>
      <c r="O195" s="181">
        <f t="shared" si="45"/>
      </c>
      <c r="P195" s="182"/>
      <c r="Q195" s="183"/>
      <c r="R195" s="183"/>
      <c r="S195" s="183"/>
      <c r="T195" s="183"/>
      <c r="U195" s="179"/>
      <c r="V195" s="179"/>
      <c r="W195" s="179"/>
      <c r="X195" s="184">
        <f t="shared" si="46"/>
      </c>
    </row>
    <row r="196" ht="12.75" customHeight="1" spans="10:24" x14ac:dyDescent="0.25">
      <c r="J196" s="178">
        <v>43269</v>
      </c>
      <c r="K196" s="179"/>
      <c r="L196" s="179"/>
      <c r="M196" s="179"/>
      <c r="N196" s="180">
        <f t="shared" si="44"/>
      </c>
      <c r="O196" s="181">
        <f t="shared" si="45"/>
      </c>
      <c r="P196" s="182"/>
      <c r="Q196" s="183"/>
      <c r="R196" s="183"/>
      <c r="S196" s="183"/>
      <c r="T196" s="183"/>
      <c r="U196" s="179"/>
      <c r="V196" s="179"/>
      <c r="W196" s="179"/>
      <c r="X196" s="184">
        <f t="shared" si="46"/>
      </c>
    </row>
    <row r="197" ht="12.75" customHeight="1" spans="10:24" x14ac:dyDescent="0.25">
      <c r="J197" s="178">
        <v>43299</v>
      </c>
      <c r="K197" s="179"/>
      <c r="L197" s="179"/>
      <c r="M197" s="179"/>
      <c r="N197" s="180">
        <f t="shared" si="44"/>
      </c>
      <c r="O197" s="181">
        <f t="shared" si="45"/>
      </c>
      <c r="P197" s="182"/>
      <c r="Q197" s="183"/>
      <c r="R197" s="183"/>
      <c r="S197" s="183"/>
      <c r="T197" s="183"/>
      <c r="U197" s="179"/>
      <c r="V197" s="179"/>
      <c r="W197" s="179"/>
      <c r="X197" s="184">
        <f t="shared" si="46"/>
      </c>
    </row>
    <row r="198" ht="12.75" customHeight="1" spans="10:24" x14ac:dyDescent="0.25">
      <c r="J198" s="178">
        <v>43330</v>
      </c>
      <c r="K198" s="179"/>
      <c r="L198" s="179"/>
      <c r="M198" s="179"/>
      <c r="N198" s="180">
        <f t="shared" si="44"/>
      </c>
      <c r="O198" s="181">
        <f t="shared" si="45"/>
      </c>
      <c r="P198" s="182"/>
      <c r="Q198" s="183"/>
      <c r="R198" s="183"/>
      <c r="S198" s="183"/>
      <c r="T198" s="183"/>
      <c r="U198" s="179"/>
      <c r="V198" s="179"/>
      <c r="W198" s="179"/>
      <c r="X198" s="184">
        <f t="shared" si="46"/>
      </c>
    </row>
    <row r="199" ht="12.75" customHeight="1" spans="10:24" x14ac:dyDescent="0.25">
      <c r="J199" s="178">
        <v>43361</v>
      </c>
      <c r="K199" s="179"/>
      <c r="L199" s="179"/>
      <c r="M199" s="179"/>
      <c r="N199" s="180">
        <f t="shared" si="44"/>
      </c>
      <c r="O199" s="181">
        <f t="shared" si="45"/>
      </c>
      <c r="P199" s="182"/>
      <c r="Q199" s="183"/>
      <c r="R199" s="183"/>
      <c r="S199" s="183"/>
      <c r="T199" s="183"/>
      <c r="U199" s="179"/>
      <c r="V199" s="179"/>
      <c r="W199" s="179"/>
      <c r="X199" s="184">
        <f t="shared" si="46"/>
      </c>
    </row>
    <row r="200" ht="12.75" customHeight="1" spans="10:24" x14ac:dyDescent="0.25">
      <c r="J200" s="178">
        <v>43391</v>
      </c>
      <c r="K200" s="179"/>
      <c r="L200" s="179"/>
      <c r="M200" s="179"/>
      <c r="N200" s="180">
        <f t="shared" si="44"/>
      </c>
      <c r="O200" s="181">
        <f t="shared" si="45"/>
      </c>
      <c r="P200" s="182"/>
      <c r="Q200" s="183"/>
      <c r="R200" s="183"/>
      <c r="S200" s="183"/>
      <c r="T200" s="183"/>
      <c r="U200" s="179"/>
      <c r="V200" s="179"/>
      <c r="W200" s="179"/>
      <c r="X200" s="184">
        <f t="shared" si="46"/>
      </c>
    </row>
    <row r="201" ht="12.75" customHeight="1" spans="10:24" x14ac:dyDescent="0.25">
      <c r="J201" s="178">
        <v>43422</v>
      </c>
      <c r="K201" s="179"/>
      <c r="L201" s="179"/>
      <c r="M201" s="179"/>
      <c r="N201" s="180">
        <f t="shared" si="44"/>
      </c>
      <c r="O201" s="181">
        <f t="shared" si="45"/>
      </c>
      <c r="P201" s="182"/>
      <c r="Q201" s="183"/>
      <c r="R201" s="183"/>
      <c r="S201" s="183"/>
      <c r="T201" s="183"/>
      <c r="U201" s="179"/>
      <c r="V201" s="179"/>
      <c r="W201" s="179"/>
      <c r="X201" s="184">
        <f t="shared" si="46"/>
      </c>
    </row>
    <row r="202" ht="12.75" customHeight="1" spans="10:24" x14ac:dyDescent="0.25">
      <c r="J202" s="178">
        <v>43452</v>
      </c>
      <c r="K202" s="179"/>
      <c r="L202" s="179"/>
      <c r="M202" s="179"/>
      <c r="N202" s="180">
        <f t="shared" si="44"/>
      </c>
      <c r="O202" s="181">
        <f t="shared" si="45"/>
      </c>
      <c r="P202" s="182"/>
      <c r="Q202" s="183"/>
      <c r="R202" s="183"/>
      <c r="S202" s="183"/>
      <c r="T202" s="183"/>
      <c r="U202" s="179"/>
      <c r="V202" s="179"/>
      <c r="W202" s="179"/>
      <c r="X202" s="184">
        <f t="shared" si="46"/>
      </c>
    </row>
    <row r="203" ht="12.75" customHeight="1" spans="10:24" x14ac:dyDescent="0.25">
      <c r="J203" s="178">
        <v>43484</v>
      </c>
      <c r="K203" s="179"/>
      <c r="L203" s="179"/>
      <c r="M203" s="179"/>
      <c r="N203" s="180">
        <f t="shared" si="44"/>
      </c>
      <c r="O203" s="181">
        <f t="shared" si="45"/>
      </c>
      <c r="P203" s="182"/>
      <c r="Q203" s="183"/>
      <c r="R203" s="183"/>
      <c r="S203" s="183"/>
      <c r="T203" s="183"/>
      <c r="U203" s="179"/>
      <c r="V203" s="179"/>
      <c r="W203" s="179"/>
      <c r="X203" s="184">
        <f t="shared" si="46"/>
      </c>
    </row>
    <row r="204" ht="12.75" customHeight="1" spans="10:24" x14ac:dyDescent="0.25">
      <c r="J204" s="178">
        <v>43515</v>
      </c>
      <c r="K204" s="179"/>
      <c r="L204" s="179"/>
      <c r="M204" s="179"/>
      <c r="N204" s="180">
        <f t="shared" si="44"/>
      </c>
      <c r="O204" s="181">
        <f t="shared" si="45"/>
      </c>
      <c r="P204" s="182"/>
      <c r="Q204" s="183"/>
      <c r="R204" s="183"/>
      <c r="S204" s="183"/>
      <c r="T204" s="183"/>
      <c r="U204" s="179"/>
      <c r="V204" s="179"/>
      <c r="W204" s="179"/>
      <c r="X204" s="184">
        <f t="shared" si="46"/>
      </c>
    </row>
    <row r="205" ht="12.75" customHeight="1" spans="10:24" x14ac:dyDescent="0.25">
      <c r="J205" s="178">
        <v>43543</v>
      </c>
      <c r="K205" s="179"/>
      <c r="L205" s="179"/>
      <c r="M205" s="179"/>
      <c r="N205" s="180">
        <f t="shared" si="44"/>
      </c>
      <c r="O205" s="181">
        <f t="shared" si="45"/>
      </c>
      <c r="P205" s="182"/>
      <c r="Q205" s="183"/>
      <c r="R205" s="183"/>
      <c r="S205" s="183"/>
      <c r="T205" s="183"/>
      <c r="U205" s="179"/>
      <c r="V205" s="179"/>
      <c r="W205" s="179"/>
      <c r="X205" s="184">
        <f t="shared" si="46"/>
      </c>
    </row>
    <row r="206" ht="12.75" customHeight="1" spans="10:24" x14ac:dyDescent="0.25">
      <c r="J206" s="178">
        <v>43574</v>
      </c>
      <c r="K206" s="179"/>
      <c r="L206" s="179"/>
      <c r="M206" s="179"/>
      <c r="N206" s="180">
        <f t="shared" si="44"/>
      </c>
      <c r="O206" s="181">
        <f t="shared" si="45"/>
      </c>
      <c r="P206" s="182"/>
      <c r="Q206" s="183"/>
      <c r="R206" s="183"/>
      <c r="S206" s="183"/>
      <c r="T206" s="183"/>
      <c r="U206" s="179"/>
      <c r="V206" s="179"/>
      <c r="W206" s="179"/>
      <c r="X206" s="184">
        <f t="shared" si="46"/>
      </c>
    </row>
    <row r="207" ht="12.75" customHeight="1" spans="10:24" x14ac:dyDescent="0.25">
      <c r="J207" s="178">
        <v>43604</v>
      </c>
      <c r="K207" s="179"/>
      <c r="L207" s="179"/>
      <c r="M207" s="179"/>
      <c r="N207" s="180">
        <f t="shared" si="44"/>
      </c>
      <c r="O207" s="181">
        <f t="shared" si="45"/>
      </c>
      <c r="P207" s="182"/>
      <c r="Q207" s="183"/>
      <c r="R207" s="183"/>
      <c r="S207" s="183"/>
      <c r="T207" s="183"/>
      <c r="U207" s="179"/>
      <c r="V207" s="179"/>
      <c r="W207" s="179"/>
      <c r="X207" s="184">
        <f t="shared" si="46"/>
      </c>
    </row>
    <row r="208" ht="12.75" customHeight="1" spans="10:24" x14ac:dyDescent="0.25">
      <c r="J208" s="178">
        <v>43635</v>
      </c>
      <c r="K208" s="179"/>
      <c r="L208" s="179"/>
      <c r="M208" s="179"/>
      <c r="N208" s="180">
        <f t="shared" si="44"/>
      </c>
      <c r="O208" s="181">
        <f t="shared" si="45"/>
      </c>
      <c r="P208" s="182"/>
      <c r="Q208" s="183"/>
      <c r="R208" s="183"/>
      <c r="S208" s="183"/>
      <c r="T208" s="183"/>
      <c r="U208" s="179"/>
      <c r="V208" s="179"/>
      <c r="W208" s="179"/>
      <c r="X208" s="184">
        <f t="shared" si="46"/>
      </c>
    </row>
    <row r="209" ht="12.75" customHeight="1" spans="10:24" x14ac:dyDescent="0.25">
      <c r="J209" s="178">
        <v>43665</v>
      </c>
      <c r="K209" s="179"/>
      <c r="L209" s="179"/>
      <c r="M209" s="179"/>
      <c r="N209" s="180">
        <f t="shared" si="44"/>
      </c>
      <c r="O209" s="181">
        <f t="shared" si="45"/>
      </c>
      <c r="P209" s="182"/>
      <c r="Q209" s="183"/>
      <c r="R209" s="183"/>
      <c r="S209" s="183"/>
      <c r="T209" s="183"/>
      <c r="U209" s="179"/>
      <c r="V209" s="179"/>
      <c r="W209" s="179"/>
      <c r="X209" s="184">
        <f t="shared" si="46"/>
      </c>
    </row>
    <row r="210" ht="12.75" customHeight="1" spans="10:24" x14ac:dyDescent="0.25">
      <c r="J210" s="178">
        <v>43696</v>
      </c>
      <c r="K210" s="179"/>
      <c r="L210" s="179"/>
      <c r="M210" s="179"/>
      <c r="N210" s="180">
        <f t="shared" si="44"/>
      </c>
      <c r="O210" s="181">
        <f t="shared" si="45"/>
      </c>
      <c r="P210" s="182"/>
      <c r="Q210" s="183"/>
      <c r="R210" s="183"/>
      <c r="S210" s="183"/>
      <c r="T210" s="183"/>
      <c r="U210" s="179"/>
      <c r="V210" s="179"/>
      <c r="W210" s="179"/>
      <c r="X210" s="184">
        <f t="shared" si="46"/>
      </c>
    </row>
    <row r="211" ht="12.75" customHeight="1" spans="10:24" x14ac:dyDescent="0.25">
      <c r="J211" s="178">
        <v>43727</v>
      </c>
      <c r="K211" s="179"/>
      <c r="L211" s="179"/>
      <c r="M211" s="179"/>
      <c r="N211" s="180">
        <f t="shared" si="44"/>
      </c>
      <c r="O211" s="181">
        <f t="shared" si="45"/>
      </c>
      <c r="P211" s="182"/>
      <c r="Q211" s="183"/>
      <c r="R211" s="183"/>
      <c r="S211" s="183"/>
      <c r="T211" s="183"/>
      <c r="U211" s="179"/>
      <c r="V211" s="179"/>
      <c r="W211" s="179"/>
      <c r="X211" s="184">
        <f t="shared" si="46"/>
      </c>
    </row>
    <row r="212" ht="12.75" customHeight="1" spans="10:24" x14ac:dyDescent="0.25">
      <c r="J212" s="178">
        <v>43757</v>
      </c>
      <c r="K212" s="179"/>
      <c r="L212" s="179"/>
      <c r="M212" s="179"/>
      <c r="N212" s="180">
        <f t="shared" si="44"/>
      </c>
      <c r="O212" s="181">
        <f t="shared" si="45"/>
      </c>
      <c r="P212" s="182"/>
      <c r="Q212" s="183"/>
      <c r="R212" s="183"/>
      <c r="S212" s="183"/>
      <c r="T212" s="183"/>
      <c r="U212" s="179"/>
      <c r="V212" s="179"/>
      <c r="W212" s="179"/>
      <c r="X212" s="184">
        <f t="shared" si="46"/>
      </c>
    </row>
    <row r="213" ht="12.75" customHeight="1" spans="10:24" x14ac:dyDescent="0.25">
      <c r="J213" s="178">
        <v>43788</v>
      </c>
      <c r="K213" s="179"/>
      <c r="L213" s="179"/>
      <c r="M213" s="179"/>
      <c r="N213" s="180">
        <f t="shared" si="44"/>
      </c>
      <c r="O213" s="181">
        <f t="shared" si="45"/>
      </c>
      <c r="P213" s="182"/>
      <c r="Q213" s="183"/>
      <c r="R213" s="183"/>
      <c r="S213" s="183"/>
      <c r="T213" s="183"/>
      <c r="U213" s="179"/>
      <c r="V213" s="179"/>
      <c r="W213" s="179"/>
      <c r="X213" s="184">
        <f t="shared" si="46"/>
      </c>
    </row>
    <row r="214" ht="12.75" customHeight="1" spans="10:24" x14ac:dyDescent="0.25">
      <c r="J214" s="178">
        <v>43818</v>
      </c>
      <c r="K214" s="179"/>
      <c r="L214" s="179"/>
      <c r="M214" s="179"/>
      <c r="N214" s="180">
        <f t="shared" si="44"/>
      </c>
      <c r="O214" s="181">
        <f t="shared" si="45"/>
      </c>
      <c r="P214" s="182"/>
      <c r="Q214" s="183"/>
      <c r="R214" s="183"/>
      <c r="S214" s="183"/>
      <c r="T214" s="183"/>
      <c r="U214" s="179"/>
      <c r="V214" s="179"/>
      <c r="W214" s="179"/>
      <c r="X214" s="184">
        <f t="shared" si="46"/>
      </c>
    </row>
    <row r="215" ht="12.75" customHeight="1" spans="10:24" x14ac:dyDescent="0.25">
      <c r="J215" s="178">
        <v>43850</v>
      </c>
      <c r="K215" s="179"/>
      <c r="L215" s="179"/>
      <c r="M215" s="179"/>
      <c r="N215" s="180">
        <f t="shared" si="44"/>
      </c>
      <c r="O215" s="181">
        <f t="shared" si="45"/>
      </c>
      <c r="P215" s="182"/>
      <c r="Q215" s="183"/>
      <c r="R215" s="183"/>
      <c r="S215" s="183"/>
      <c r="T215" s="183"/>
      <c r="U215" s="179"/>
      <c r="V215" s="179"/>
      <c r="W215" s="179"/>
      <c r="X215" s="184">
        <f t="shared" si="46"/>
      </c>
    </row>
    <row r="216" ht="12.75" customHeight="1" spans="10:24" x14ac:dyDescent="0.25">
      <c r="J216" s="178">
        <v>43881</v>
      </c>
      <c r="K216" s="179"/>
      <c r="L216" s="179"/>
      <c r="M216" s="179"/>
      <c r="N216" s="180">
        <f t="shared" si="44"/>
      </c>
      <c r="O216" s="181">
        <f t="shared" si="45"/>
      </c>
      <c r="P216" s="182"/>
      <c r="Q216" s="183"/>
      <c r="R216" s="183"/>
      <c r="S216" s="183"/>
      <c r="T216" s="183"/>
      <c r="U216" s="179"/>
      <c r="V216" s="179"/>
      <c r="W216" s="179"/>
      <c r="X216" s="184">
        <f t="shared" si="46"/>
      </c>
    </row>
    <row r="217" ht="12.75" customHeight="1" spans="10:24" x14ac:dyDescent="0.25">
      <c r="J217" s="178">
        <v>43910</v>
      </c>
      <c r="K217" s="179"/>
      <c r="L217" s="179"/>
      <c r="M217" s="179"/>
      <c r="N217" s="180">
        <f t="shared" si="44"/>
      </c>
      <c r="O217" s="181">
        <f t="shared" si="45"/>
      </c>
      <c r="P217" s="182"/>
      <c r="Q217" s="183"/>
      <c r="R217" s="183"/>
      <c r="S217" s="183"/>
      <c r="T217" s="183"/>
      <c r="U217" s="179"/>
      <c r="V217" s="179"/>
      <c r="W217" s="179"/>
      <c r="X217" s="184">
        <f t="shared" si="46"/>
      </c>
    </row>
    <row r="218" ht="12.75" customHeight="1" spans="10:24" x14ac:dyDescent="0.25">
      <c r="J218" s="201" t="s">
        <v>186</v>
      </c>
      <c r="K218" s="202">
        <f t="shared" ref="K218:P218" si="47">IFERROR(AVERAGE(K186:K217),0)</f>
        <v>0</v>
      </c>
      <c r="L218" s="202">
        <f t="shared" si="47"/>
        <v>0</v>
      </c>
      <c r="M218" s="203">
        <f t="shared" si="47"/>
        <v>0</v>
      </c>
      <c r="N218" s="203">
        <f t="shared" si="47"/>
        <v>0</v>
      </c>
      <c r="O218" s="203">
        <f t="shared" si="47"/>
        <v>0</v>
      </c>
      <c r="P218" s="205">
        <f t="shared" si="47"/>
        <v>0</v>
      </c>
      <c r="Q218" s="204">
        <f t="shared" ref="Q218:T218" si="48">SUM(Q186:Q217)</f>
        <v>0</v>
      </c>
      <c r="R218" s="204">
        <f t="shared" si="48"/>
        <v>0</v>
      </c>
      <c r="S218" s="204">
        <f t="shared" si="48"/>
        <v>0</v>
      </c>
      <c r="T218" s="204">
        <f t="shared" si="48"/>
        <v>0</v>
      </c>
      <c r="U218" s="205">
        <f t="shared" ref="U218:X218" si="49">IFERROR(AVERAGE(U186:U217),0)</f>
        <v>0</v>
      </c>
      <c r="V218" s="205">
        <f t="shared" si="49"/>
        <v>0</v>
      </c>
      <c r="W218" s="205">
        <f t="shared" si="49"/>
        <v>0</v>
      </c>
      <c r="X218" s="206">
        <f t="shared" si="49"/>
        <v>0</v>
      </c>
    </row>
    <row r="219" ht="12.75" customHeight="1" spans="10:24" x14ac:dyDescent="0.25">
      <c r="J219" s="209" t="s">
        <v>188</v>
      </c>
      <c r="K219" s="210">
        <f>K218*12</f>
        <v>0</v>
      </c>
      <c r="L219" s="210" t="s">
        <v>189</v>
      </c>
      <c r="M219" s="205" t="str">
        <f>IF(N218=0,"0",100%-N218)</f>
        <v>0</v>
      </c>
      <c r="N219" s="210" t="s">
        <v>190</v>
      </c>
      <c r="O219" s="206">
        <f>M219*O218</f>
        <v>0</v>
      </c>
      <c r="P219" s="211"/>
      <c r="Q219" s="212"/>
      <c r="R219" s="212"/>
      <c r="S219" s="212"/>
      <c r="T219" s="212"/>
      <c r="U219" s="212"/>
      <c r="V219" s="212"/>
      <c r="W219" s="212"/>
      <c r="X219" s="212"/>
    </row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spans="22:24" x14ac:dyDescent="0.25">
      <c r="V226" s="172"/>
      <c r="W226" s="107"/>
      <c r="X226" s="107"/>
    </row>
    <row r="227" ht="12.75" customHeight="1" spans="10:24" x14ac:dyDescent="0.25">
      <c r="J227" s="213" t="s">
        <v>155</v>
      </c>
      <c r="K227" s="213"/>
      <c r="L227" s="158" t="s">
        <v>156</v>
      </c>
      <c r="M227" s="160" t="s">
        <v>157</v>
      </c>
      <c r="N227" s="160" t="s">
        <v>158</v>
      </c>
      <c r="O227" s="160" t="s">
        <v>159</v>
      </c>
      <c r="P227" s="161" t="s">
        <v>160</v>
      </c>
      <c r="Q227" s="161" t="s">
        <v>161</v>
      </c>
      <c r="R227" s="162" t="s">
        <v>162</v>
      </c>
      <c r="S227" s="163"/>
      <c r="T227" s="164" t="s">
        <v>163</v>
      </c>
      <c r="U227" s="163"/>
      <c r="V227" s="172"/>
      <c r="W227" s="107"/>
      <c r="X227" s="107"/>
    </row>
    <row r="228" ht="12.75" customHeight="1" spans="10:24" x14ac:dyDescent="0.25">
      <c r="J228" s="214"/>
      <c r="K228" s="214"/>
      <c r="L228" s="167"/>
      <c r="M228" s="168"/>
      <c r="N228" s="168"/>
      <c r="O228" s="169">
        <f>IFERROR(IF(OR((R228=""),(N228=""),(M228="")),"",DAYS(N228,M228))+1,"")</f>
        <v>1</v>
      </c>
      <c r="P228" s="170"/>
      <c r="Q228" s="170"/>
      <c r="R228" s="217"/>
      <c r="S228" s="166"/>
      <c r="T228" s="217"/>
      <c r="U228" s="166"/>
      <c r="V228" s="172"/>
      <c r="W228" s="173"/>
      <c r="X228" s="173"/>
    </row>
    <row r="229" ht="12.75" customHeight="1" spans="10:24" x14ac:dyDescent="0.25">
      <c r="J229" s="201" t="s">
        <v>168</v>
      </c>
      <c r="K229" s="202" t="s">
        <v>169</v>
      </c>
      <c r="L229" s="202" t="s">
        <v>170</v>
      </c>
      <c r="M229" s="202" t="s">
        <v>171</v>
      </c>
      <c r="N229" s="202" t="s">
        <v>172</v>
      </c>
      <c r="O229" s="202" t="s">
        <v>173</v>
      </c>
      <c r="P229" s="202" t="s">
        <v>174</v>
      </c>
      <c r="Q229" s="202" t="s">
        <v>175</v>
      </c>
      <c r="R229" s="12" t="s">
        <v>176</v>
      </c>
      <c r="S229" s="12" t="s">
        <v>177</v>
      </c>
      <c r="T229" s="202" t="s">
        <v>178</v>
      </c>
      <c r="U229" s="202" t="s">
        <v>179</v>
      </c>
      <c r="V229" s="175" t="s">
        <v>180</v>
      </c>
      <c r="W229" s="175" t="s">
        <v>181</v>
      </c>
      <c r="X229" s="176" t="s">
        <v>182</v>
      </c>
    </row>
    <row r="230" ht="12.75" customHeight="1" spans="10:24" x14ac:dyDescent="0.25">
      <c r="J230" s="178">
        <v>42964</v>
      </c>
      <c r="K230" s="179"/>
      <c r="L230" s="179"/>
      <c r="M230" s="179"/>
      <c r="N230" s="180">
        <f t="shared" ref="N230:N261" si="50">IF(M230="","",IF(O230&gt;0,M230/O230,""))</f>
      </c>
      <c r="O230" s="181">
        <f t="shared" ref="O230:O261" si="51">IF(M230="","",IF($Q$228="",$P$228,$Q$228))</f>
      </c>
      <c r="P230" s="182"/>
      <c r="Q230" s="183"/>
      <c r="R230" s="183"/>
      <c r="S230" s="183"/>
      <c r="T230" s="183"/>
      <c r="U230" s="179"/>
      <c r="V230" s="179"/>
      <c r="W230" s="179"/>
      <c r="X230" s="184">
        <f t="shared" ref="X230:X261" si="52">IF(K230="","",IF($L$228="OD",O230-SUM(U230:W230)/3,IF($L$228="CC",O230-SUM(U230:W230)/3,SUM(U230:W230)/3)))</f>
      </c>
    </row>
    <row r="231" ht="12.75" customHeight="1" spans="10:24" x14ac:dyDescent="0.25">
      <c r="J231" s="178">
        <v>42995</v>
      </c>
      <c r="K231" s="179"/>
      <c r="L231" s="179"/>
      <c r="M231" s="179"/>
      <c r="N231" s="180">
        <f t="shared" si="50"/>
      </c>
      <c r="O231" s="181">
        <f t="shared" si="51"/>
      </c>
      <c r="P231" s="182"/>
      <c r="Q231" s="183"/>
      <c r="R231" s="183"/>
      <c r="S231" s="183"/>
      <c r="T231" s="183"/>
      <c r="U231" s="179"/>
      <c r="V231" s="179"/>
      <c r="W231" s="179"/>
      <c r="X231" s="184">
        <f t="shared" si="52"/>
      </c>
    </row>
    <row r="232" ht="12.75" customHeight="1" spans="10:24" x14ac:dyDescent="0.25">
      <c r="J232" s="178">
        <v>43025</v>
      </c>
      <c r="K232" s="179"/>
      <c r="L232" s="179"/>
      <c r="M232" s="179"/>
      <c r="N232" s="180">
        <f t="shared" si="50"/>
      </c>
      <c r="O232" s="181">
        <f t="shared" si="51"/>
      </c>
      <c r="P232" s="182"/>
      <c r="Q232" s="183"/>
      <c r="R232" s="183"/>
      <c r="S232" s="183"/>
      <c r="T232" s="183"/>
      <c r="U232" s="179"/>
      <c r="V232" s="179"/>
      <c r="W232" s="179"/>
      <c r="X232" s="184">
        <f t="shared" si="52"/>
      </c>
    </row>
    <row r="233" ht="12.75" customHeight="1" spans="10:24" x14ac:dyDescent="0.25">
      <c r="J233" s="178">
        <v>43056</v>
      </c>
      <c r="K233" s="179"/>
      <c r="L233" s="179"/>
      <c r="M233" s="179"/>
      <c r="N233" s="180">
        <f t="shared" si="50"/>
      </c>
      <c r="O233" s="181">
        <f t="shared" si="51"/>
      </c>
      <c r="P233" s="182"/>
      <c r="Q233" s="183"/>
      <c r="R233" s="183"/>
      <c r="S233" s="183"/>
      <c r="T233" s="183"/>
      <c r="U233" s="179"/>
      <c r="V233" s="179"/>
      <c r="W233" s="179"/>
      <c r="X233" s="184">
        <f t="shared" si="52"/>
      </c>
    </row>
    <row r="234" ht="12.75" customHeight="1" spans="10:24" x14ac:dyDescent="0.25">
      <c r="J234" s="178">
        <v>43086</v>
      </c>
      <c r="K234" s="179"/>
      <c r="L234" s="179"/>
      <c r="M234" s="179"/>
      <c r="N234" s="180">
        <f t="shared" si="50"/>
      </c>
      <c r="O234" s="181">
        <f t="shared" si="51"/>
      </c>
      <c r="P234" s="182"/>
      <c r="Q234" s="183"/>
      <c r="R234" s="183"/>
      <c r="S234" s="183"/>
      <c r="T234" s="183"/>
      <c r="U234" s="179"/>
      <c r="V234" s="179"/>
      <c r="W234" s="179"/>
      <c r="X234" s="184">
        <f t="shared" si="52"/>
      </c>
    </row>
    <row r="235" ht="12.75" customHeight="1" spans="10:24" x14ac:dyDescent="0.25">
      <c r="J235" s="178">
        <v>43118</v>
      </c>
      <c r="K235" s="179"/>
      <c r="L235" s="179"/>
      <c r="M235" s="179"/>
      <c r="N235" s="180">
        <f t="shared" si="50"/>
      </c>
      <c r="O235" s="181">
        <f t="shared" si="51"/>
      </c>
      <c r="P235" s="182"/>
      <c r="Q235" s="183"/>
      <c r="R235" s="183"/>
      <c r="S235" s="183"/>
      <c r="T235" s="183"/>
      <c r="U235" s="179"/>
      <c r="V235" s="179"/>
      <c r="W235" s="179"/>
      <c r="X235" s="184">
        <f t="shared" si="52"/>
      </c>
    </row>
    <row r="236" ht="12.75" customHeight="1" spans="10:24" x14ac:dyDescent="0.25">
      <c r="J236" s="178">
        <v>43149</v>
      </c>
      <c r="K236" s="179"/>
      <c r="L236" s="179"/>
      <c r="M236" s="179"/>
      <c r="N236" s="180">
        <f t="shared" si="50"/>
      </c>
      <c r="O236" s="181">
        <f t="shared" si="51"/>
      </c>
      <c r="P236" s="182"/>
      <c r="Q236" s="183"/>
      <c r="R236" s="183"/>
      <c r="S236" s="183"/>
      <c r="T236" s="183"/>
      <c r="U236" s="179"/>
      <c r="V236" s="179"/>
      <c r="W236" s="179"/>
      <c r="X236" s="184">
        <f t="shared" si="52"/>
      </c>
    </row>
    <row r="237" ht="12.75" customHeight="1" spans="10:24" x14ac:dyDescent="0.25">
      <c r="J237" s="178">
        <v>43177</v>
      </c>
      <c r="K237" s="179"/>
      <c r="L237" s="179"/>
      <c r="M237" s="179"/>
      <c r="N237" s="180">
        <f t="shared" si="50"/>
      </c>
      <c r="O237" s="181">
        <f t="shared" si="51"/>
      </c>
      <c r="P237" s="182"/>
      <c r="Q237" s="183"/>
      <c r="R237" s="183"/>
      <c r="S237" s="183"/>
      <c r="T237" s="183"/>
      <c r="U237" s="179"/>
      <c r="V237" s="179"/>
      <c r="W237" s="179"/>
      <c r="X237" s="184">
        <f t="shared" si="52"/>
      </c>
    </row>
    <row r="238" ht="12.75" customHeight="1" spans="10:24" x14ac:dyDescent="0.25">
      <c r="J238" s="178">
        <v>43208</v>
      </c>
      <c r="K238" s="179"/>
      <c r="L238" s="179"/>
      <c r="M238" s="179"/>
      <c r="N238" s="180">
        <f t="shared" si="50"/>
      </c>
      <c r="O238" s="181">
        <f t="shared" si="51"/>
      </c>
      <c r="P238" s="182"/>
      <c r="Q238" s="183"/>
      <c r="R238" s="183"/>
      <c r="S238" s="183"/>
      <c r="T238" s="183"/>
      <c r="U238" s="179"/>
      <c r="V238" s="179"/>
      <c r="W238" s="179"/>
      <c r="X238" s="184">
        <f t="shared" si="52"/>
      </c>
    </row>
    <row r="239" ht="12.75" customHeight="1" spans="10:24" x14ac:dyDescent="0.25">
      <c r="J239" s="178">
        <v>43238</v>
      </c>
      <c r="K239" s="179"/>
      <c r="L239" s="179"/>
      <c r="M239" s="179"/>
      <c r="N239" s="180">
        <f t="shared" si="50"/>
      </c>
      <c r="O239" s="181">
        <f t="shared" si="51"/>
      </c>
      <c r="P239" s="182"/>
      <c r="Q239" s="183"/>
      <c r="R239" s="183"/>
      <c r="S239" s="183"/>
      <c r="T239" s="183"/>
      <c r="U239" s="179"/>
      <c r="V239" s="179"/>
      <c r="W239" s="179"/>
      <c r="X239" s="184">
        <f t="shared" si="52"/>
      </c>
    </row>
    <row r="240" ht="12.75" customHeight="1" spans="10:24" x14ac:dyDescent="0.25">
      <c r="J240" s="178">
        <v>43269</v>
      </c>
      <c r="K240" s="179"/>
      <c r="L240" s="179"/>
      <c r="M240" s="179"/>
      <c r="N240" s="180">
        <f t="shared" si="50"/>
      </c>
      <c r="O240" s="181">
        <f t="shared" si="51"/>
      </c>
      <c r="P240" s="182"/>
      <c r="Q240" s="183"/>
      <c r="R240" s="183"/>
      <c r="S240" s="183"/>
      <c r="T240" s="183"/>
      <c r="U240" s="179"/>
      <c r="V240" s="179"/>
      <c r="W240" s="179"/>
      <c r="X240" s="184">
        <f t="shared" si="52"/>
      </c>
    </row>
    <row r="241" ht="12.75" customHeight="1" spans="10:24" x14ac:dyDescent="0.25">
      <c r="J241" s="178">
        <v>43299</v>
      </c>
      <c r="K241" s="179"/>
      <c r="L241" s="179"/>
      <c r="M241" s="179"/>
      <c r="N241" s="180">
        <f t="shared" si="50"/>
      </c>
      <c r="O241" s="181">
        <f t="shared" si="51"/>
      </c>
      <c r="P241" s="182"/>
      <c r="Q241" s="183"/>
      <c r="R241" s="183"/>
      <c r="S241" s="183"/>
      <c r="T241" s="183"/>
      <c r="U241" s="179"/>
      <c r="V241" s="179"/>
      <c r="W241" s="179"/>
      <c r="X241" s="184">
        <f t="shared" si="52"/>
      </c>
    </row>
    <row r="242" ht="12.75" customHeight="1" spans="10:24" x14ac:dyDescent="0.25">
      <c r="J242" s="178">
        <v>43330</v>
      </c>
      <c r="K242" s="179"/>
      <c r="L242" s="179"/>
      <c r="M242" s="179"/>
      <c r="N242" s="180">
        <f t="shared" si="50"/>
      </c>
      <c r="O242" s="181">
        <f t="shared" si="51"/>
      </c>
      <c r="P242" s="182"/>
      <c r="Q242" s="183"/>
      <c r="R242" s="183"/>
      <c r="S242" s="183"/>
      <c r="T242" s="183"/>
      <c r="U242" s="179"/>
      <c r="V242" s="179"/>
      <c r="W242" s="179"/>
      <c r="X242" s="184">
        <f t="shared" si="52"/>
      </c>
    </row>
    <row r="243" ht="12.75" customHeight="1" spans="10:24" x14ac:dyDescent="0.25">
      <c r="J243" s="178">
        <v>43361</v>
      </c>
      <c r="K243" s="179"/>
      <c r="L243" s="179"/>
      <c r="M243" s="179"/>
      <c r="N243" s="180">
        <f t="shared" si="50"/>
      </c>
      <c r="O243" s="181">
        <f t="shared" si="51"/>
      </c>
      <c r="P243" s="182"/>
      <c r="Q243" s="183"/>
      <c r="R243" s="183"/>
      <c r="S243" s="183"/>
      <c r="T243" s="183"/>
      <c r="U243" s="179"/>
      <c r="V243" s="179"/>
      <c r="W243" s="179"/>
      <c r="X243" s="184">
        <f t="shared" si="52"/>
      </c>
    </row>
    <row r="244" ht="12.75" customHeight="1" spans="10:24" x14ac:dyDescent="0.25">
      <c r="J244" s="178">
        <v>43391</v>
      </c>
      <c r="K244" s="179"/>
      <c r="L244" s="179"/>
      <c r="M244" s="179"/>
      <c r="N244" s="180">
        <f t="shared" si="50"/>
      </c>
      <c r="O244" s="181">
        <f t="shared" si="51"/>
      </c>
      <c r="P244" s="182"/>
      <c r="Q244" s="183"/>
      <c r="R244" s="183"/>
      <c r="S244" s="183"/>
      <c r="T244" s="183"/>
      <c r="U244" s="179"/>
      <c r="V244" s="179"/>
      <c r="W244" s="179"/>
      <c r="X244" s="184">
        <f t="shared" si="52"/>
      </c>
    </row>
    <row r="245" ht="12.75" customHeight="1" spans="10:24" x14ac:dyDescent="0.25">
      <c r="J245" s="178">
        <v>43422</v>
      </c>
      <c r="K245" s="179"/>
      <c r="L245" s="179"/>
      <c r="M245" s="179"/>
      <c r="N245" s="180">
        <f t="shared" si="50"/>
      </c>
      <c r="O245" s="181">
        <f t="shared" si="51"/>
      </c>
      <c r="P245" s="182"/>
      <c r="Q245" s="183"/>
      <c r="R245" s="183"/>
      <c r="S245" s="183"/>
      <c r="T245" s="183"/>
      <c r="U245" s="179"/>
      <c r="V245" s="179"/>
      <c r="W245" s="179"/>
      <c r="X245" s="184">
        <f t="shared" si="52"/>
      </c>
    </row>
    <row r="246" ht="12.75" customHeight="1" spans="10:24" x14ac:dyDescent="0.25">
      <c r="J246" s="178">
        <v>43452</v>
      </c>
      <c r="K246" s="179"/>
      <c r="L246" s="179"/>
      <c r="M246" s="179"/>
      <c r="N246" s="180">
        <f t="shared" si="50"/>
      </c>
      <c r="O246" s="181">
        <f t="shared" si="51"/>
      </c>
      <c r="P246" s="182"/>
      <c r="Q246" s="183"/>
      <c r="R246" s="183"/>
      <c r="S246" s="183"/>
      <c r="T246" s="183"/>
      <c r="U246" s="179"/>
      <c r="V246" s="179"/>
      <c r="W246" s="179"/>
      <c r="X246" s="184">
        <f t="shared" si="52"/>
      </c>
    </row>
    <row r="247" ht="12.75" customHeight="1" spans="10:24" x14ac:dyDescent="0.25">
      <c r="J247" s="178">
        <v>43484</v>
      </c>
      <c r="K247" s="179"/>
      <c r="L247" s="179"/>
      <c r="M247" s="179"/>
      <c r="N247" s="180">
        <f t="shared" si="50"/>
      </c>
      <c r="O247" s="181">
        <f t="shared" si="51"/>
      </c>
      <c r="P247" s="182"/>
      <c r="Q247" s="183"/>
      <c r="R247" s="183"/>
      <c r="S247" s="183"/>
      <c r="T247" s="183"/>
      <c r="U247" s="179"/>
      <c r="V247" s="179"/>
      <c r="W247" s="179"/>
      <c r="X247" s="184">
        <f t="shared" si="52"/>
      </c>
    </row>
    <row r="248" ht="12.75" customHeight="1" spans="10:24" x14ac:dyDescent="0.25">
      <c r="J248" s="178">
        <v>43515</v>
      </c>
      <c r="K248" s="179"/>
      <c r="L248" s="179"/>
      <c r="M248" s="179"/>
      <c r="N248" s="180">
        <f t="shared" si="50"/>
      </c>
      <c r="O248" s="181">
        <f t="shared" si="51"/>
      </c>
      <c r="P248" s="182"/>
      <c r="Q248" s="183"/>
      <c r="R248" s="183"/>
      <c r="S248" s="183"/>
      <c r="T248" s="183"/>
      <c r="U248" s="179"/>
      <c r="V248" s="179"/>
      <c r="W248" s="179"/>
      <c r="X248" s="184">
        <f t="shared" si="52"/>
      </c>
    </row>
    <row r="249" ht="12.75" customHeight="1" spans="10:24" x14ac:dyDescent="0.25">
      <c r="J249" s="178">
        <v>43543</v>
      </c>
      <c r="K249" s="179"/>
      <c r="L249" s="179"/>
      <c r="M249" s="179"/>
      <c r="N249" s="180">
        <f t="shared" si="50"/>
      </c>
      <c r="O249" s="181">
        <f t="shared" si="51"/>
      </c>
      <c r="P249" s="182"/>
      <c r="Q249" s="183"/>
      <c r="R249" s="183"/>
      <c r="S249" s="183"/>
      <c r="T249" s="183"/>
      <c r="U249" s="179"/>
      <c r="V249" s="179"/>
      <c r="W249" s="179"/>
      <c r="X249" s="184">
        <f t="shared" si="52"/>
      </c>
    </row>
    <row r="250" ht="12.75" customHeight="1" spans="10:24" x14ac:dyDescent="0.25">
      <c r="J250" s="178">
        <v>43574</v>
      </c>
      <c r="K250" s="179"/>
      <c r="L250" s="179"/>
      <c r="M250" s="179"/>
      <c r="N250" s="180">
        <f t="shared" si="50"/>
      </c>
      <c r="O250" s="181">
        <f t="shared" si="51"/>
      </c>
      <c r="P250" s="182"/>
      <c r="Q250" s="183"/>
      <c r="R250" s="183"/>
      <c r="S250" s="183"/>
      <c r="T250" s="183"/>
      <c r="U250" s="179"/>
      <c r="V250" s="179"/>
      <c r="W250" s="179"/>
      <c r="X250" s="184">
        <f t="shared" si="52"/>
      </c>
    </row>
    <row r="251" ht="12.75" customHeight="1" spans="10:24" x14ac:dyDescent="0.25">
      <c r="J251" s="178">
        <v>43604</v>
      </c>
      <c r="K251" s="179"/>
      <c r="L251" s="179"/>
      <c r="M251" s="179"/>
      <c r="N251" s="180">
        <f t="shared" si="50"/>
      </c>
      <c r="O251" s="181">
        <f t="shared" si="51"/>
      </c>
      <c r="P251" s="182"/>
      <c r="Q251" s="183"/>
      <c r="R251" s="183"/>
      <c r="S251" s="183"/>
      <c r="T251" s="183"/>
      <c r="U251" s="179"/>
      <c r="V251" s="179"/>
      <c r="W251" s="179"/>
      <c r="X251" s="184">
        <f t="shared" si="52"/>
      </c>
    </row>
    <row r="252" ht="12.75" customHeight="1" spans="10:24" x14ac:dyDescent="0.25">
      <c r="J252" s="178">
        <v>43635</v>
      </c>
      <c r="K252" s="179"/>
      <c r="L252" s="179"/>
      <c r="M252" s="179"/>
      <c r="N252" s="180">
        <f t="shared" si="50"/>
      </c>
      <c r="O252" s="181">
        <f t="shared" si="51"/>
      </c>
      <c r="P252" s="182"/>
      <c r="Q252" s="183"/>
      <c r="R252" s="183"/>
      <c r="S252" s="183"/>
      <c r="T252" s="183"/>
      <c r="U252" s="179"/>
      <c r="V252" s="179"/>
      <c r="W252" s="179"/>
      <c r="X252" s="184">
        <f t="shared" si="52"/>
      </c>
    </row>
    <row r="253" ht="12.75" customHeight="1" spans="10:24" x14ac:dyDescent="0.25">
      <c r="J253" s="178">
        <v>43665</v>
      </c>
      <c r="K253" s="179"/>
      <c r="L253" s="179"/>
      <c r="M253" s="179"/>
      <c r="N253" s="180">
        <f t="shared" si="50"/>
      </c>
      <c r="O253" s="181">
        <f t="shared" si="51"/>
      </c>
      <c r="P253" s="182"/>
      <c r="Q253" s="183"/>
      <c r="R253" s="183"/>
      <c r="S253" s="183"/>
      <c r="T253" s="183"/>
      <c r="U253" s="179"/>
      <c r="V253" s="179"/>
      <c r="W253" s="179"/>
      <c r="X253" s="184">
        <f t="shared" si="52"/>
      </c>
    </row>
    <row r="254" ht="12.75" customHeight="1" spans="10:24" x14ac:dyDescent="0.25">
      <c r="J254" s="178">
        <v>43696</v>
      </c>
      <c r="K254" s="179"/>
      <c r="L254" s="179"/>
      <c r="M254" s="179"/>
      <c r="N254" s="180">
        <f t="shared" si="50"/>
      </c>
      <c r="O254" s="181">
        <f t="shared" si="51"/>
      </c>
      <c r="P254" s="182"/>
      <c r="Q254" s="183"/>
      <c r="R254" s="183"/>
      <c r="S254" s="183"/>
      <c r="T254" s="183"/>
      <c r="U254" s="179"/>
      <c r="V254" s="179"/>
      <c r="W254" s="179"/>
      <c r="X254" s="184">
        <f t="shared" si="52"/>
      </c>
    </row>
    <row r="255" ht="12.75" customHeight="1" spans="10:24" x14ac:dyDescent="0.25">
      <c r="J255" s="178">
        <v>43727</v>
      </c>
      <c r="K255" s="179"/>
      <c r="L255" s="179"/>
      <c r="M255" s="179"/>
      <c r="N255" s="180">
        <f t="shared" si="50"/>
      </c>
      <c r="O255" s="181">
        <f t="shared" si="51"/>
      </c>
      <c r="P255" s="182"/>
      <c r="Q255" s="183"/>
      <c r="R255" s="183"/>
      <c r="S255" s="183"/>
      <c r="T255" s="183"/>
      <c r="U255" s="179"/>
      <c r="V255" s="179"/>
      <c r="W255" s="179"/>
      <c r="X255" s="184">
        <f t="shared" si="52"/>
      </c>
    </row>
    <row r="256" ht="12.75" customHeight="1" spans="10:24" x14ac:dyDescent="0.25">
      <c r="J256" s="178">
        <v>43757</v>
      </c>
      <c r="K256" s="179"/>
      <c r="L256" s="179"/>
      <c r="M256" s="179"/>
      <c r="N256" s="180">
        <f t="shared" si="50"/>
      </c>
      <c r="O256" s="181">
        <f t="shared" si="51"/>
      </c>
      <c r="P256" s="182"/>
      <c r="Q256" s="183"/>
      <c r="R256" s="183"/>
      <c r="S256" s="183"/>
      <c r="T256" s="183"/>
      <c r="U256" s="179"/>
      <c r="V256" s="179"/>
      <c r="W256" s="179"/>
      <c r="X256" s="184">
        <f t="shared" si="52"/>
      </c>
    </row>
    <row r="257" ht="12.75" customHeight="1" spans="10:24" x14ac:dyDescent="0.25">
      <c r="J257" s="178">
        <v>43788</v>
      </c>
      <c r="K257" s="179"/>
      <c r="L257" s="179"/>
      <c r="M257" s="179"/>
      <c r="N257" s="180">
        <f t="shared" si="50"/>
      </c>
      <c r="O257" s="181">
        <f t="shared" si="51"/>
      </c>
      <c r="P257" s="182"/>
      <c r="Q257" s="183"/>
      <c r="R257" s="183"/>
      <c r="S257" s="183"/>
      <c r="T257" s="183"/>
      <c r="U257" s="179"/>
      <c r="V257" s="179"/>
      <c r="W257" s="179"/>
      <c r="X257" s="184">
        <f t="shared" si="52"/>
      </c>
    </row>
    <row r="258" ht="12.75" customHeight="1" spans="10:24" x14ac:dyDescent="0.25">
      <c r="J258" s="178">
        <v>43818</v>
      </c>
      <c r="K258" s="179"/>
      <c r="L258" s="179"/>
      <c r="M258" s="179"/>
      <c r="N258" s="180">
        <f t="shared" si="50"/>
      </c>
      <c r="O258" s="181">
        <f t="shared" si="51"/>
      </c>
      <c r="P258" s="182"/>
      <c r="Q258" s="183"/>
      <c r="R258" s="183"/>
      <c r="S258" s="183"/>
      <c r="T258" s="183"/>
      <c r="U258" s="179"/>
      <c r="V258" s="179"/>
      <c r="W258" s="179"/>
      <c r="X258" s="184">
        <f t="shared" si="52"/>
      </c>
    </row>
    <row r="259" ht="12.75" customHeight="1" spans="10:24" x14ac:dyDescent="0.25">
      <c r="J259" s="178">
        <v>43850</v>
      </c>
      <c r="K259" s="179"/>
      <c r="L259" s="179"/>
      <c r="M259" s="179"/>
      <c r="N259" s="180">
        <f t="shared" si="50"/>
      </c>
      <c r="O259" s="181">
        <f t="shared" si="51"/>
      </c>
      <c r="P259" s="182"/>
      <c r="Q259" s="183"/>
      <c r="R259" s="183"/>
      <c r="S259" s="183"/>
      <c r="T259" s="183"/>
      <c r="U259" s="179"/>
      <c r="V259" s="179"/>
      <c r="W259" s="179"/>
      <c r="X259" s="184">
        <f t="shared" si="52"/>
      </c>
    </row>
    <row r="260" ht="12.75" customHeight="1" spans="10:24" x14ac:dyDescent="0.25">
      <c r="J260" s="178">
        <v>43881</v>
      </c>
      <c r="K260" s="179"/>
      <c r="L260" s="179"/>
      <c r="M260" s="179"/>
      <c r="N260" s="180">
        <f t="shared" si="50"/>
      </c>
      <c r="O260" s="181">
        <f t="shared" si="51"/>
      </c>
      <c r="P260" s="182"/>
      <c r="Q260" s="183"/>
      <c r="R260" s="183"/>
      <c r="S260" s="183"/>
      <c r="T260" s="183"/>
      <c r="U260" s="179"/>
      <c r="V260" s="179"/>
      <c r="W260" s="179"/>
      <c r="X260" s="184">
        <f t="shared" si="52"/>
      </c>
    </row>
    <row r="261" ht="12.75" customHeight="1" spans="10:24" x14ac:dyDescent="0.25">
      <c r="J261" s="178">
        <v>43910</v>
      </c>
      <c r="K261" s="179"/>
      <c r="L261" s="179"/>
      <c r="M261" s="179"/>
      <c r="N261" s="180">
        <f t="shared" si="50"/>
      </c>
      <c r="O261" s="181">
        <f t="shared" si="51"/>
      </c>
      <c r="P261" s="182"/>
      <c r="Q261" s="183"/>
      <c r="R261" s="183"/>
      <c r="S261" s="183"/>
      <c r="T261" s="183"/>
      <c r="U261" s="179"/>
      <c r="V261" s="179"/>
      <c r="W261" s="179"/>
      <c r="X261" s="184">
        <f t="shared" si="52"/>
      </c>
    </row>
    <row r="262" ht="12.75" customHeight="1" spans="10:24" x14ac:dyDescent="0.25">
      <c r="J262" s="201" t="s">
        <v>186</v>
      </c>
      <c r="K262" s="202">
        <f t="shared" ref="K262:P262" si="53">IFERROR(AVERAGE(K230:K261),0)</f>
        <v>0</v>
      </c>
      <c r="L262" s="202">
        <f t="shared" si="53"/>
        <v>0</v>
      </c>
      <c r="M262" s="203">
        <f t="shared" si="53"/>
        <v>0</v>
      </c>
      <c r="N262" s="203">
        <f t="shared" si="53"/>
        <v>0</v>
      </c>
      <c r="O262" s="203">
        <f t="shared" si="53"/>
        <v>0</v>
      </c>
      <c r="P262" s="205">
        <f t="shared" si="53"/>
        <v>0</v>
      </c>
      <c r="Q262" s="204">
        <f t="shared" ref="Q262:T262" si="54">SUM(Q230:Q261)</f>
        <v>0</v>
      </c>
      <c r="R262" s="204">
        <f t="shared" si="54"/>
        <v>0</v>
      </c>
      <c r="S262" s="204">
        <f t="shared" si="54"/>
        <v>0</v>
      </c>
      <c r="T262" s="204">
        <f t="shared" si="54"/>
        <v>0</v>
      </c>
      <c r="U262" s="205">
        <f t="shared" ref="U262:X262" si="55">IFERROR(AVERAGE(U230:U261),0)</f>
        <v>0</v>
      </c>
      <c r="V262" s="205">
        <f t="shared" si="55"/>
        <v>0</v>
      </c>
      <c r="W262" s="205">
        <f t="shared" si="55"/>
        <v>0</v>
      </c>
      <c r="X262" s="206">
        <f t="shared" si="55"/>
        <v>0</v>
      </c>
    </row>
    <row r="263" ht="12.75" customHeight="1" spans="10:24" x14ac:dyDescent="0.25">
      <c r="J263" s="209" t="s">
        <v>188</v>
      </c>
      <c r="K263" s="210">
        <f>K262*12</f>
        <v>0</v>
      </c>
      <c r="L263" s="210" t="s">
        <v>189</v>
      </c>
      <c r="M263" s="205" t="str">
        <f>IF(N262=0,"0",100%-N262)</f>
        <v>0</v>
      </c>
      <c r="N263" s="210" t="s">
        <v>190</v>
      </c>
      <c r="O263" s="206">
        <f>M263*O262</f>
        <v>0</v>
      </c>
      <c r="P263" s="211"/>
      <c r="Q263" s="212"/>
      <c r="R263" s="212"/>
      <c r="S263" s="212"/>
      <c r="T263" s="212"/>
      <c r="U263" s="212"/>
      <c r="V263" s="212"/>
      <c r="W263" s="212"/>
      <c r="X263" s="212"/>
    </row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spans="22:24" x14ac:dyDescent="0.25">
      <c r="V270" s="172"/>
      <c r="W270" s="107"/>
      <c r="X270" s="107"/>
    </row>
    <row r="271" ht="12.75" customHeight="1" spans="10:24" x14ac:dyDescent="0.25">
      <c r="J271" s="213" t="s">
        <v>155</v>
      </c>
      <c r="K271" s="213"/>
      <c r="L271" s="158" t="s">
        <v>156</v>
      </c>
      <c r="M271" s="160" t="s">
        <v>157</v>
      </c>
      <c r="N271" s="160" t="s">
        <v>158</v>
      </c>
      <c r="O271" s="160" t="s">
        <v>159</v>
      </c>
      <c r="P271" s="161" t="s">
        <v>160</v>
      </c>
      <c r="Q271" s="161" t="s">
        <v>161</v>
      </c>
      <c r="R271" s="162" t="s">
        <v>162</v>
      </c>
      <c r="S271" s="163"/>
      <c r="T271" s="164" t="s">
        <v>163</v>
      </c>
      <c r="U271" s="163"/>
      <c r="V271" s="172"/>
      <c r="W271" s="107"/>
      <c r="X271" s="107"/>
    </row>
    <row r="272" ht="12.75" customHeight="1" spans="10:24" x14ac:dyDescent="0.25">
      <c r="J272" s="214"/>
      <c r="K272" s="214"/>
      <c r="L272" s="167"/>
      <c r="M272" s="168"/>
      <c r="N272" s="168"/>
      <c r="O272" s="169">
        <f>IFERROR(IF(OR((R272=""),(N272=""),(M272="")),"",DAYS(N272,M272))+1,"")</f>
        <v>1</v>
      </c>
      <c r="P272" s="170"/>
      <c r="Q272" s="170"/>
      <c r="R272" s="217"/>
      <c r="S272" s="166"/>
      <c r="T272" s="217"/>
      <c r="U272" s="166"/>
      <c r="V272" s="172"/>
      <c r="W272" s="173"/>
      <c r="X272" s="173"/>
    </row>
    <row r="273" ht="12.75" customHeight="1" spans="10:24" x14ac:dyDescent="0.25">
      <c r="J273" s="201" t="s">
        <v>168</v>
      </c>
      <c r="K273" s="202" t="s">
        <v>169</v>
      </c>
      <c r="L273" s="202" t="s">
        <v>170</v>
      </c>
      <c r="M273" s="202" t="s">
        <v>171</v>
      </c>
      <c r="N273" s="202" t="s">
        <v>172</v>
      </c>
      <c r="O273" s="202" t="s">
        <v>173</v>
      </c>
      <c r="P273" s="202" t="s">
        <v>174</v>
      </c>
      <c r="Q273" s="202" t="s">
        <v>175</v>
      </c>
      <c r="R273" s="12" t="s">
        <v>176</v>
      </c>
      <c r="S273" s="12" t="s">
        <v>177</v>
      </c>
      <c r="T273" s="202" t="s">
        <v>178</v>
      </c>
      <c r="U273" s="202" t="s">
        <v>179</v>
      </c>
      <c r="V273" s="175" t="s">
        <v>180</v>
      </c>
      <c r="W273" s="175" t="s">
        <v>181</v>
      </c>
      <c r="X273" s="176" t="s">
        <v>182</v>
      </c>
    </row>
    <row r="274" ht="12.75" customHeight="1" spans="10:24" x14ac:dyDescent="0.25">
      <c r="J274" s="178">
        <v>42964</v>
      </c>
      <c r="K274" s="179"/>
      <c r="L274" s="179"/>
      <c r="M274" s="179"/>
      <c r="N274" s="180">
        <f t="shared" ref="N274:N305" si="56">IF(M274="","",IF(O274&gt;0,M274/O274,""))</f>
      </c>
      <c r="O274" s="181">
        <f t="shared" ref="O274:O305" si="57">IF(M274="","",IF($Q$272="",$P$272,$Q$272))</f>
      </c>
      <c r="P274" s="182"/>
      <c r="Q274" s="183"/>
      <c r="R274" s="183"/>
      <c r="S274" s="183"/>
      <c r="T274" s="183"/>
      <c r="U274" s="179"/>
      <c r="V274" s="179"/>
      <c r="W274" s="179"/>
      <c r="X274" s="184">
        <f t="shared" ref="X274:X305" si="58">IF(K274="","",IF($L$272="OD",O274-SUM(U274:W274)/3,IF($L$272="CC",O274-SUM(U274:W274)/3,SUM(U274:W274)/3)))</f>
      </c>
    </row>
    <row r="275" ht="12.75" customHeight="1" spans="10:24" x14ac:dyDescent="0.25">
      <c r="J275" s="178">
        <v>42995</v>
      </c>
      <c r="K275" s="179"/>
      <c r="L275" s="179"/>
      <c r="M275" s="179"/>
      <c r="N275" s="180">
        <f t="shared" si="56"/>
      </c>
      <c r="O275" s="181">
        <f t="shared" si="57"/>
      </c>
      <c r="P275" s="182"/>
      <c r="Q275" s="183"/>
      <c r="R275" s="183"/>
      <c r="S275" s="183"/>
      <c r="T275" s="183"/>
      <c r="U275" s="179"/>
      <c r="V275" s="179"/>
      <c r="W275" s="179"/>
      <c r="X275" s="184">
        <f t="shared" si="58"/>
      </c>
    </row>
    <row r="276" ht="12.75" customHeight="1" spans="10:24" x14ac:dyDescent="0.25">
      <c r="J276" s="178">
        <v>43025</v>
      </c>
      <c r="K276" s="179"/>
      <c r="L276" s="179"/>
      <c r="M276" s="179"/>
      <c r="N276" s="180">
        <f t="shared" si="56"/>
      </c>
      <c r="O276" s="181">
        <f t="shared" si="57"/>
      </c>
      <c r="P276" s="182"/>
      <c r="Q276" s="183"/>
      <c r="R276" s="183"/>
      <c r="S276" s="183"/>
      <c r="T276" s="183"/>
      <c r="U276" s="179"/>
      <c r="V276" s="179"/>
      <c r="W276" s="179"/>
      <c r="X276" s="184">
        <f t="shared" si="58"/>
      </c>
    </row>
    <row r="277" ht="12.75" customHeight="1" spans="10:24" x14ac:dyDescent="0.25">
      <c r="J277" s="178">
        <v>43056</v>
      </c>
      <c r="K277" s="179"/>
      <c r="L277" s="179"/>
      <c r="M277" s="179"/>
      <c r="N277" s="180">
        <f t="shared" si="56"/>
      </c>
      <c r="O277" s="181">
        <f t="shared" si="57"/>
      </c>
      <c r="P277" s="182"/>
      <c r="Q277" s="183"/>
      <c r="R277" s="183"/>
      <c r="S277" s="183"/>
      <c r="T277" s="183"/>
      <c r="U277" s="179"/>
      <c r="V277" s="179"/>
      <c r="W277" s="179"/>
      <c r="X277" s="184">
        <f t="shared" si="58"/>
      </c>
    </row>
    <row r="278" ht="12.75" customHeight="1" spans="10:24" x14ac:dyDescent="0.25">
      <c r="J278" s="178">
        <v>43086</v>
      </c>
      <c r="K278" s="179"/>
      <c r="L278" s="179"/>
      <c r="M278" s="179"/>
      <c r="N278" s="180">
        <f t="shared" si="56"/>
      </c>
      <c r="O278" s="181">
        <f t="shared" si="57"/>
      </c>
      <c r="P278" s="182"/>
      <c r="Q278" s="183"/>
      <c r="R278" s="183"/>
      <c r="S278" s="183"/>
      <c r="T278" s="183"/>
      <c r="U278" s="179"/>
      <c r="V278" s="179"/>
      <c r="W278" s="179"/>
      <c r="X278" s="184">
        <f t="shared" si="58"/>
      </c>
    </row>
    <row r="279" ht="12.75" customHeight="1" spans="10:24" x14ac:dyDescent="0.25">
      <c r="J279" s="178">
        <v>43118</v>
      </c>
      <c r="K279" s="179"/>
      <c r="L279" s="179"/>
      <c r="M279" s="179"/>
      <c r="N279" s="180">
        <f t="shared" si="56"/>
      </c>
      <c r="O279" s="181">
        <f t="shared" si="57"/>
      </c>
      <c r="P279" s="182"/>
      <c r="Q279" s="183"/>
      <c r="R279" s="183"/>
      <c r="S279" s="183"/>
      <c r="T279" s="183"/>
      <c r="U279" s="179"/>
      <c r="V279" s="179"/>
      <c r="W279" s="179"/>
      <c r="X279" s="184">
        <f t="shared" si="58"/>
      </c>
    </row>
    <row r="280" ht="12.75" customHeight="1" spans="10:24" x14ac:dyDescent="0.25">
      <c r="J280" s="178">
        <v>43149</v>
      </c>
      <c r="K280" s="179"/>
      <c r="L280" s="179"/>
      <c r="M280" s="179"/>
      <c r="N280" s="180">
        <f t="shared" si="56"/>
      </c>
      <c r="O280" s="181">
        <f t="shared" si="57"/>
      </c>
      <c r="P280" s="182"/>
      <c r="Q280" s="183"/>
      <c r="R280" s="183"/>
      <c r="S280" s="183"/>
      <c r="T280" s="183"/>
      <c r="U280" s="179"/>
      <c r="V280" s="179"/>
      <c r="W280" s="179"/>
      <c r="X280" s="184">
        <f t="shared" si="58"/>
      </c>
    </row>
    <row r="281" ht="12.75" customHeight="1" spans="10:24" x14ac:dyDescent="0.25">
      <c r="J281" s="178">
        <v>43177</v>
      </c>
      <c r="K281" s="179"/>
      <c r="L281" s="179"/>
      <c r="M281" s="179"/>
      <c r="N281" s="180">
        <f t="shared" si="56"/>
      </c>
      <c r="O281" s="181">
        <f t="shared" si="57"/>
      </c>
      <c r="P281" s="182"/>
      <c r="Q281" s="183"/>
      <c r="R281" s="183"/>
      <c r="S281" s="183"/>
      <c r="T281" s="183"/>
      <c r="U281" s="179"/>
      <c r="V281" s="179"/>
      <c r="W281" s="179"/>
      <c r="X281" s="184">
        <f t="shared" si="58"/>
      </c>
    </row>
    <row r="282" ht="12.75" customHeight="1" spans="10:24" x14ac:dyDescent="0.25">
      <c r="J282" s="178">
        <v>43208</v>
      </c>
      <c r="K282" s="179"/>
      <c r="L282" s="179"/>
      <c r="M282" s="179"/>
      <c r="N282" s="180">
        <f t="shared" si="56"/>
      </c>
      <c r="O282" s="181">
        <f t="shared" si="57"/>
      </c>
      <c r="P282" s="182"/>
      <c r="Q282" s="183"/>
      <c r="R282" s="183"/>
      <c r="S282" s="183"/>
      <c r="T282" s="183"/>
      <c r="U282" s="179"/>
      <c r="V282" s="179"/>
      <c r="W282" s="179"/>
      <c r="X282" s="184">
        <f t="shared" si="58"/>
      </c>
    </row>
    <row r="283" ht="12.75" customHeight="1" spans="10:24" x14ac:dyDescent="0.25">
      <c r="J283" s="178">
        <v>43238</v>
      </c>
      <c r="K283" s="179"/>
      <c r="L283" s="179"/>
      <c r="M283" s="179"/>
      <c r="N283" s="180">
        <f t="shared" si="56"/>
      </c>
      <c r="O283" s="181">
        <f t="shared" si="57"/>
      </c>
      <c r="P283" s="182"/>
      <c r="Q283" s="183"/>
      <c r="R283" s="183"/>
      <c r="S283" s="183"/>
      <c r="T283" s="183"/>
      <c r="U283" s="179"/>
      <c r="V283" s="179"/>
      <c r="W283" s="179"/>
      <c r="X283" s="184">
        <f t="shared" si="58"/>
      </c>
    </row>
    <row r="284" ht="12.75" customHeight="1" spans="10:24" x14ac:dyDescent="0.25">
      <c r="J284" s="178">
        <v>43269</v>
      </c>
      <c r="K284" s="179"/>
      <c r="L284" s="179"/>
      <c r="M284" s="179"/>
      <c r="N284" s="180">
        <f t="shared" si="56"/>
      </c>
      <c r="O284" s="181">
        <f t="shared" si="57"/>
      </c>
      <c r="P284" s="182"/>
      <c r="Q284" s="183"/>
      <c r="R284" s="183"/>
      <c r="S284" s="183"/>
      <c r="T284" s="183"/>
      <c r="U284" s="179"/>
      <c r="V284" s="179"/>
      <c r="W284" s="179"/>
      <c r="X284" s="184">
        <f t="shared" si="58"/>
      </c>
    </row>
    <row r="285" ht="12.75" customHeight="1" spans="10:24" x14ac:dyDescent="0.25">
      <c r="J285" s="178">
        <v>43299</v>
      </c>
      <c r="K285" s="179"/>
      <c r="L285" s="179"/>
      <c r="M285" s="179"/>
      <c r="N285" s="180">
        <f t="shared" si="56"/>
      </c>
      <c r="O285" s="181">
        <f t="shared" si="57"/>
      </c>
      <c r="P285" s="182"/>
      <c r="Q285" s="183"/>
      <c r="R285" s="183"/>
      <c r="S285" s="183"/>
      <c r="T285" s="183"/>
      <c r="U285" s="179"/>
      <c r="V285" s="179"/>
      <c r="W285" s="179"/>
      <c r="X285" s="184">
        <f t="shared" si="58"/>
      </c>
    </row>
    <row r="286" ht="12.75" customHeight="1" spans="10:24" x14ac:dyDescent="0.25">
      <c r="J286" s="178">
        <v>43330</v>
      </c>
      <c r="K286" s="179"/>
      <c r="L286" s="179"/>
      <c r="M286" s="179"/>
      <c r="N286" s="180">
        <f t="shared" si="56"/>
      </c>
      <c r="O286" s="181">
        <f t="shared" si="57"/>
      </c>
      <c r="P286" s="182"/>
      <c r="Q286" s="183"/>
      <c r="R286" s="183"/>
      <c r="S286" s="183"/>
      <c r="T286" s="183"/>
      <c r="U286" s="179"/>
      <c r="V286" s="179"/>
      <c r="W286" s="179"/>
      <c r="X286" s="184">
        <f t="shared" si="58"/>
      </c>
    </row>
    <row r="287" ht="12.75" customHeight="1" spans="10:24" x14ac:dyDescent="0.25">
      <c r="J287" s="178">
        <v>43361</v>
      </c>
      <c r="K287" s="179"/>
      <c r="L287" s="179"/>
      <c r="M287" s="179"/>
      <c r="N287" s="180">
        <f t="shared" si="56"/>
      </c>
      <c r="O287" s="181">
        <f t="shared" si="57"/>
      </c>
      <c r="P287" s="182"/>
      <c r="Q287" s="183"/>
      <c r="R287" s="183"/>
      <c r="S287" s="183"/>
      <c r="T287" s="183"/>
      <c r="U287" s="179"/>
      <c r="V287" s="179"/>
      <c r="W287" s="179"/>
      <c r="X287" s="184">
        <f t="shared" si="58"/>
      </c>
    </row>
    <row r="288" ht="12.75" customHeight="1" spans="10:24" x14ac:dyDescent="0.25">
      <c r="J288" s="178">
        <v>43391</v>
      </c>
      <c r="K288" s="179"/>
      <c r="L288" s="179"/>
      <c r="M288" s="179"/>
      <c r="N288" s="180">
        <f t="shared" si="56"/>
      </c>
      <c r="O288" s="181">
        <f t="shared" si="57"/>
      </c>
      <c r="P288" s="182"/>
      <c r="Q288" s="183"/>
      <c r="R288" s="183"/>
      <c r="S288" s="183"/>
      <c r="T288" s="183"/>
      <c r="U288" s="179"/>
      <c r="V288" s="179"/>
      <c r="W288" s="179"/>
      <c r="X288" s="184">
        <f t="shared" si="58"/>
      </c>
    </row>
    <row r="289" ht="12.75" customHeight="1" spans="10:24" x14ac:dyDescent="0.25">
      <c r="J289" s="178">
        <v>43422</v>
      </c>
      <c r="K289" s="179"/>
      <c r="L289" s="179"/>
      <c r="M289" s="179"/>
      <c r="N289" s="180">
        <f t="shared" si="56"/>
      </c>
      <c r="O289" s="181">
        <f t="shared" si="57"/>
      </c>
      <c r="P289" s="182"/>
      <c r="Q289" s="183"/>
      <c r="R289" s="183"/>
      <c r="S289" s="183"/>
      <c r="T289" s="183"/>
      <c r="U289" s="179"/>
      <c r="V289" s="179"/>
      <c r="W289" s="179"/>
      <c r="X289" s="184">
        <f t="shared" si="58"/>
      </c>
    </row>
    <row r="290" ht="12.75" customHeight="1" spans="10:24" x14ac:dyDescent="0.25">
      <c r="J290" s="178">
        <v>43452</v>
      </c>
      <c r="K290" s="179"/>
      <c r="L290" s="179"/>
      <c r="M290" s="179"/>
      <c r="N290" s="180">
        <f t="shared" si="56"/>
      </c>
      <c r="O290" s="181">
        <f t="shared" si="57"/>
      </c>
      <c r="P290" s="182"/>
      <c r="Q290" s="183"/>
      <c r="R290" s="183"/>
      <c r="S290" s="183"/>
      <c r="T290" s="183"/>
      <c r="U290" s="179"/>
      <c r="V290" s="179"/>
      <c r="W290" s="179"/>
      <c r="X290" s="184">
        <f t="shared" si="58"/>
      </c>
    </row>
    <row r="291" ht="12.75" customHeight="1" spans="10:24" x14ac:dyDescent="0.25">
      <c r="J291" s="178">
        <v>43484</v>
      </c>
      <c r="K291" s="179"/>
      <c r="L291" s="179"/>
      <c r="M291" s="179"/>
      <c r="N291" s="180">
        <f t="shared" si="56"/>
      </c>
      <c r="O291" s="181">
        <f t="shared" si="57"/>
      </c>
      <c r="P291" s="182"/>
      <c r="Q291" s="183"/>
      <c r="R291" s="183"/>
      <c r="S291" s="183"/>
      <c r="T291" s="183"/>
      <c r="U291" s="179"/>
      <c r="V291" s="179"/>
      <c r="W291" s="179"/>
      <c r="X291" s="184">
        <f t="shared" si="58"/>
      </c>
    </row>
    <row r="292" ht="12.75" customHeight="1" spans="10:24" x14ac:dyDescent="0.25">
      <c r="J292" s="178">
        <v>43515</v>
      </c>
      <c r="K292" s="179"/>
      <c r="L292" s="179"/>
      <c r="M292" s="179"/>
      <c r="N292" s="180">
        <f t="shared" si="56"/>
      </c>
      <c r="O292" s="181">
        <f t="shared" si="57"/>
      </c>
      <c r="P292" s="182"/>
      <c r="Q292" s="183"/>
      <c r="R292" s="183"/>
      <c r="S292" s="183"/>
      <c r="T292" s="183"/>
      <c r="U292" s="179"/>
      <c r="V292" s="179"/>
      <c r="W292" s="179"/>
      <c r="X292" s="184">
        <f t="shared" si="58"/>
      </c>
    </row>
    <row r="293" ht="12.75" customHeight="1" spans="10:24" x14ac:dyDescent="0.25">
      <c r="J293" s="178">
        <v>43543</v>
      </c>
      <c r="K293" s="179"/>
      <c r="L293" s="179"/>
      <c r="M293" s="179"/>
      <c r="N293" s="180">
        <f t="shared" si="56"/>
      </c>
      <c r="O293" s="181">
        <f t="shared" si="57"/>
      </c>
      <c r="P293" s="182"/>
      <c r="Q293" s="183"/>
      <c r="R293" s="183"/>
      <c r="S293" s="183"/>
      <c r="T293" s="183"/>
      <c r="U293" s="179"/>
      <c r="V293" s="179"/>
      <c r="W293" s="179"/>
      <c r="X293" s="184">
        <f t="shared" si="58"/>
      </c>
    </row>
    <row r="294" ht="12.75" customHeight="1" spans="10:24" x14ac:dyDescent="0.25">
      <c r="J294" s="178">
        <v>43574</v>
      </c>
      <c r="K294" s="179"/>
      <c r="L294" s="179"/>
      <c r="M294" s="179"/>
      <c r="N294" s="180">
        <f t="shared" si="56"/>
      </c>
      <c r="O294" s="181">
        <f t="shared" si="57"/>
      </c>
      <c r="P294" s="182"/>
      <c r="Q294" s="183"/>
      <c r="R294" s="183"/>
      <c r="S294" s="183"/>
      <c r="T294" s="183"/>
      <c r="U294" s="179"/>
      <c r="V294" s="179"/>
      <c r="W294" s="179"/>
      <c r="X294" s="184">
        <f t="shared" si="58"/>
      </c>
    </row>
    <row r="295" ht="12.75" customHeight="1" spans="10:24" x14ac:dyDescent="0.25">
      <c r="J295" s="178">
        <v>43604</v>
      </c>
      <c r="K295" s="179"/>
      <c r="L295" s="179"/>
      <c r="M295" s="179"/>
      <c r="N295" s="180">
        <f t="shared" si="56"/>
      </c>
      <c r="O295" s="181">
        <f t="shared" si="57"/>
      </c>
      <c r="P295" s="182"/>
      <c r="Q295" s="183"/>
      <c r="R295" s="183"/>
      <c r="S295" s="183"/>
      <c r="T295" s="183"/>
      <c r="U295" s="179"/>
      <c r="V295" s="179"/>
      <c r="W295" s="179"/>
      <c r="X295" s="184">
        <f t="shared" si="58"/>
      </c>
    </row>
    <row r="296" ht="12.75" customHeight="1" spans="10:24" x14ac:dyDescent="0.25">
      <c r="J296" s="178">
        <v>43635</v>
      </c>
      <c r="K296" s="179"/>
      <c r="L296" s="179"/>
      <c r="M296" s="179"/>
      <c r="N296" s="180">
        <f t="shared" si="56"/>
      </c>
      <c r="O296" s="181">
        <f t="shared" si="57"/>
      </c>
      <c r="P296" s="182"/>
      <c r="Q296" s="183"/>
      <c r="R296" s="183"/>
      <c r="S296" s="183"/>
      <c r="T296" s="183"/>
      <c r="U296" s="179"/>
      <c r="V296" s="179"/>
      <c r="W296" s="179"/>
      <c r="X296" s="184">
        <f t="shared" si="58"/>
      </c>
    </row>
    <row r="297" ht="12.75" customHeight="1" spans="10:24" x14ac:dyDescent="0.25">
      <c r="J297" s="178">
        <v>43665</v>
      </c>
      <c r="K297" s="179"/>
      <c r="L297" s="179"/>
      <c r="M297" s="179"/>
      <c r="N297" s="180">
        <f t="shared" si="56"/>
      </c>
      <c r="O297" s="181">
        <f t="shared" si="57"/>
      </c>
      <c r="P297" s="182"/>
      <c r="Q297" s="183"/>
      <c r="R297" s="183"/>
      <c r="S297" s="183"/>
      <c r="T297" s="183"/>
      <c r="U297" s="179"/>
      <c r="V297" s="179"/>
      <c r="W297" s="179"/>
      <c r="X297" s="184">
        <f t="shared" si="58"/>
      </c>
    </row>
    <row r="298" ht="12.75" customHeight="1" spans="10:24" x14ac:dyDescent="0.25">
      <c r="J298" s="178">
        <v>43696</v>
      </c>
      <c r="K298" s="179"/>
      <c r="L298" s="179"/>
      <c r="M298" s="179"/>
      <c r="N298" s="180">
        <f t="shared" si="56"/>
      </c>
      <c r="O298" s="181">
        <f t="shared" si="57"/>
      </c>
      <c r="P298" s="182"/>
      <c r="Q298" s="183"/>
      <c r="R298" s="183"/>
      <c r="S298" s="183"/>
      <c r="T298" s="183"/>
      <c r="U298" s="179"/>
      <c r="V298" s="179"/>
      <c r="W298" s="179"/>
      <c r="X298" s="184">
        <f t="shared" si="58"/>
      </c>
    </row>
    <row r="299" ht="12.75" customHeight="1" spans="10:24" x14ac:dyDescent="0.25">
      <c r="J299" s="178">
        <v>43727</v>
      </c>
      <c r="K299" s="179"/>
      <c r="L299" s="179"/>
      <c r="M299" s="179"/>
      <c r="N299" s="180">
        <f t="shared" si="56"/>
      </c>
      <c r="O299" s="181">
        <f t="shared" si="57"/>
      </c>
      <c r="P299" s="182"/>
      <c r="Q299" s="183"/>
      <c r="R299" s="183"/>
      <c r="S299" s="183"/>
      <c r="T299" s="183"/>
      <c r="U299" s="179"/>
      <c r="V299" s="179"/>
      <c r="W299" s="179"/>
      <c r="X299" s="184">
        <f t="shared" si="58"/>
      </c>
    </row>
    <row r="300" ht="12.75" customHeight="1" spans="10:24" x14ac:dyDescent="0.25">
      <c r="J300" s="178">
        <v>43757</v>
      </c>
      <c r="K300" s="179"/>
      <c r="L300" s="179"/>
      <c r="M300" s="179"/>
      <c r="N300" s="180">
        <f t="shared" si="56"/>
      </c>
      <c r="O300" s="181">
        <f t="shared" si="57"/>
      </c>
      <c r="P300" s="182"/>
      <c r="Q300" s="183"/>
      <c r="R300" s="183"/>
      <c r="S300" s="183"/>
      <c r="T300" s="183"/>
      <c r="U300" s="179"/>
      <c r="V300" s="179"/>
      <c r="W300" s="179"/>
      <c r="X300" s="184">
        <f t="shared" si="58"/>
      </c>
    </row>
    <row r="301" ht="12.75" customHeight="1" spans="10:24" x14ac:dyDescent="0.25">
      <c r="J301" s="178">
        <v>43788</v>
      </c>
      <c r="K301" s="179"/>
      <c r="L301" s="179"/>
      <c r="M301" s="179"/>
      <c r="N301" s="180">
        <f t="shared" si="56"/>
      </c>
      <c r="O301" s="181">
        <f t="shared" si="57"/>
      </c>
      <c r="P301" s="182"/>
      <c r="Q301" s="183"/>
      <c r="R301" s="183"/>
      <c r="S301" s="183"/>
      <c r="T301" s="183"/>
      <c r="U301" s="179"/>
      <c r="V301" s="179"/>
      <c r="W301" s="179"/>
      <c r="X301" s="184">
        <f t="shared" si="58"/>
      </c>
    </row>
    <row r="302" ht="12.75" customHeight="1" spans="10:24" x14ac:dyDescent="0.25">
      <c r="J302" s="178">
        <v>43818</v>
      </c>
      <c r="K302" s="179"/>
      <c r="L302" s="179"/>
      <c r="M302" s="179"/>
      <c r="N302" s="180">
        <f t="shared" si="56"/>
      </c>
      <c r="O302" s="181">
        <f t="shared" si="57"/>
      </c>
      <c r="P302" s="182"/>
      <c r="Q302" s="183"/>
      <c r="R302" s="183"/>
      <c r="S302" s="183"/>
      <c r="T302" s="183"/>
      <c r="U302" s="179"/>
      <c r="V302" s="179"/>
      <c r="W302" s="179"/>
      <c r="X302" s="184">
        <f t="shared" si="58"/>
      </c>
    </row>
    <row r="303" ht="12.75" customHeight="1" spans="10:24" x14ac:dyDescent="0.25">
      <c r="J303" s="178">
        <v>43850</v>
      </c>
      <c r="K303" s="179"/>
      <c r="L303" s="179"/>
      <c r="M303" s="179"/>
      <c r="N303" s="180">
        <f t="shared" si="56"/>
      </c>
      <c r="O303" s="181">
        <f t="shared" si="57"/>
      </c>
      <c r="P303" s="182"/>
      <c r="Q303" s="183"/>
      <c r="R303" s="183"/>
      <c r="S303" s="183"/>
      <c r="T303" s="183"/>
      <c r="U303" s="179"/>
      <c r="V303" s="179"/>
      <c r="W303" s="179"/>
      <c r="X303" s="184">
        <f t="shared" si="58"/>
      </c>
    </row>
    <row r="304" ht="12.75" customHeight="1" spans="10:24" x14ac:dyDescent="0.25">
      <c r="J304" s="178">
        <v>43881</v>
      </c>
      <c r="K304" s="179"/>
      <c r="L304" s="179"/>
      <c r="M304" s="179"/>
      <c r="N304" s="180">
        <f t="shared" si="56"/>
      </c>
      <c r="O304" s="181">
        <f t="shared" si="57"/>
      </c>
      <c r="P304" s="182"/>
      <c r="Q304" s="183"/>
      <c r="R304" s="183"/>
      <c r="S304" s="183"/>
      <c r="T304" s="183"/>
      <c r="U304" s="179"/>
      <c r="V304" s="179"/>
      <c r="W304" s="179"/>
      <c r="X304" s="184">
        <f t="shared" si="58"/>
      </c>
    </row>
    <row r="305" ht="12.75" customHeight="1" spans="10:24" x14ac:dyDescent="0.25">
      <c r="J305" s="178">
        <v>43910</v>
      </c>
      <c r="K305" s="179"/>
      <c r="L305" s="179"/>
      <c r="M305" s="179"/>
      <c r="N305" s="180">
        <f t="shared" si="56"/>
      </c>
      <c r="O305" s="181">
        <f t="shared" si="57"/>
      </c>
      <c r="P305" s="182"/>
      <c r="Q305" s="183"/>
      <c r="R305" s="183"/>
      <c r="S305" s="183"/>
      <c r="T305" s="183"/>
      <c r="U305" s="179"/>
      <c r="V305" s="179"/>
      <c r="W305" s="179"/>
      <c r="X305" s="184">
        <f t="shared" si="58"/>
      </c>
    </row>
    <row r="306" ht="12.75" customHeight="1" spans="10:24" x14ac:dyDescent="0.25">
      <c r="J306" s="201" t="s">
        <v>186</v>
      </c>
      <c r="K306" s="202">
        <f t="shared" ref="K306:P306" si="59">IFERROR(AVERAGE(K274:K305),0)</f>
        <v>0</v>
      </c>
      <c r="L306" s="202">
        <f t="shared" si="59"/>
        <v>0</v>
      </c>
      <c r="M306" s="203">
        <f t="shared" si="59"/>
        <v>0</v>
      </c>
      <c r="N306" s="203">
        <f t="shared" si="59"/>
        <v>0</v>
      </c>
      <c r="O306" s="203">
        <f t="shared" si="59"/>
        <v>0</v>
      </c>
      <c r="P306" s="205">
        <f t="shared" si="59"/>
        <v>0</v>
      </c>
      <c r="Q306" s="204">
        <f t="shared" ref="Q306:T306" si="60">SUM(Q274:Q305)</f>
        <v>0</v>
      </c>
      <c r="R306" s="204">
        <f t="shared" si="60"/>
        <v>0</v>
      </c>
      <c r="S306" s="204">
        <f t="shared" si="60"/>
        <v>0</v>
      </c>
      <c r="T306" s="204">
        <f t="shared" si="60"/>
        <v>0</v>
      </c>
      <c r="U306" s="205">
        <f t="shared" ref="U306:X306" si="61">IFERROR(AVERAGE(U274:U305),0)</f>
        <v>0</v>
      </c>
      <c r="V306" s="205">
        <f t="shared" si="61"/>
        <v>0</v>
      </c>
      <c r="W306" s="205">
        <f t="shared" si="61"/>
        <v>0</v>
      </c>
      <c r="X306" s="206">
        <f t="shared" si="61"/>
        <v>0</v>
      </c>
    </row>
    <row r="307" ht="12.75" customHeight="1" spans="10:24" x14ac:dyDescent="0.25">
      <c r="J307" s="209" t="s">
        <v>188</v>
      </c>
      <c r="K307" s="210">
        <f>K306*12</f>
        <v>0</v>
      </c>
      <c r="L307" s="210" t="s">
        <v>189</v>
      </c>
      <c r="M307" s="205" t="str">
        <f>IF(N306=0,"0",100%-N306)</f>
        <v>0</v>
      </c>
      <c r="N307" s="210" t="s">
        <v>190</v>
      </c>
      <c r="O307" s="206">
        <f>M307*O306</f>
        <v>0</v>
      </c>
      <c r="P307" s="211"/>
      <c r="Q307" s="212"/>
      <c r="R307" s="212"/>
      <c r="S307" s="212"/>
      <c r="T307" s="212"/>
      <c r="U307" s="212"/>
      <c r="V307" s="212"/>
      <c r="W307" s="212"/>
      <c r="X307" s="212"/>
    </row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spans="22:24" x14ac:dyDescent="0.25">
      <c r="V314" s="172"/>
      <c r="W314" s="107"/>
      <c r="X314" s="107"/>
    </row>
    <row r="315" ht="12.75" customHeight="1" spans="10:24" x14ac:dyDescent="0.25">
      <c r="J315" s="213" t="s">
        <v>155</v>
      </c>
      <c r="K315" s="213"/>
      <c r="L315" s="158" t="s">
        <v>156</v>
      </c>
      <c r="M315" s="160" t="s">
        <v>157</v>
      </c>
      <c r="N315" s="160" t="s">
        <v>158</v>
      </c>
      <c r="O315" s="160" t="s">
        <v>159</v>
      </c>
      <c r="P315" s="161" t="s">
        <v>160</v>
      </c>
      <c r="Q315" s="161" t="s">
        <v>161</v>
      </c>
      <c r="R315" s="162" t="s">
        <v>162</v>
      </c>
      <c r="S315" s="163"/>
      <c r="T315" s="164" t="s">
        <v>163</v>
      </c>
      <c r="U315" s="163"/>
      <c r="V315" s="172"/>
      <c r="W315" s="107"/>
      <c r="X315" s="107"/>
    </row>
    <row r="316" ht="12.75" customHeight="1" spans="10:24" x14ac:dyDescent="0.25">
      <c r="J316" s="214"/>
      <c r="K316" s="214"/>
      <c r="L316" s="167"/>
      <c r="M316" s="168"/>
      <c r="N316" s="168"/>
      <c r="O316" s="169">
        <f>IFERROR(IF(OR((R316=""),(N316=""),(M316="")),"",DAYS(N316,M316))+1,"")</f>
        <v>1</v>
      </c>
      <c r="P316" s="170"/>
      <c r="Q316" s="170"/>
      <c r="R316" s="217"/>
      <c r="S316" s="166"/>
      <c r="T316" s="217"/>
      <c r="U316" s="166"/>
      <c r="V316" s="172"/>
      <c r="W316" s="173"/>
      <c r="X316" s="173"/>
    </row>
    <row r="317" ht="12.75" customHeight="1" spans="10:24" x14ac:dyDescent="0.25">
      <c r="J317" s="201" t="s">
        <v>168</v>
      </c>
      <c r="K317" s="202" t="s">
        <v>169</v>
      </c>
      <c r="L317" s="202" t="s">
        <v>170</v>
      </c>
      <c r="M317" s="202" t="s">
        <v>171</v>
      </c>
      <c r="N317" s="202" t="s">
        <v>172</v>
      </c>
      <c r="O317" s="202" t="s">
        <v>173</v>
      </c>
      <c r="P317" s="202" t="s">
        <v>174</v>
      </c>
      <c r="Q317" s="202" t="s">
        <v>175</v>
      </c>
      <c r="R317" s="12" t="s">
        <v>176</v>
      </c>
      <c r="S317" s="12" t="s">
        <v>177</v>
      </c>
      <c r="T317" s="202" t="s">
        <v>178</v>
      </c>
      <c r="U317" s="202" t="s">
        <v>179</v>
      </c>
      <c r="V317" s="175" t="s">
        <v>180</v>
      </c>
      <c r="W317" s="175" t="s">
        <v>181</v>
      </c>
      <c r="X317" s="176" t="s">
        <v>182</v>
      </c>
    </row>
    <row r="318" ht="12.75" customHeight="1" spans="10:24" x14ac:dyDescent="0.25">
      <c r="J318" s="178">
        <v>42964</v>
      </c>
      <c r="K318" s="179"/>
      <c r="L318" s="179"/>
      <c r="M318" s="179"/>
      <c r="N318" s="180">
        <f t="shared" ref="N318:N349" si="62">IF(M318="","",IF(O318&gt;0,M318/O318,""))</f>
      </c>
      <c r="O318" s="181">
        <f t="shared" ref="O318:O349" si="63">IF(M318="","",IF($Q$316="",$P$316,$Q$316))</f>
      </c>
      <c r="P318" s="182"/>
      <c r="Q318" s="183"/>
      <c r="R318" s="183"/>
      <c r="S318" s="183"/>
      <c r="T318" s="183"/>
      <c r="U318" s="179"/>
      <c r="V318" s="179"/>
      <c r="W318" s="179"/>
      <c r="X318" s="184">
        <f t="shared" ref="X318:X349" si="64">IF(K318="","",IF($L$316="OD",O318-SUM(U318:W318)/3,IF($L$316="CC",O318-SUM(U318:W318)/3,SUM(U318:W318)/3)))</f>
      </c>
    </row>
    <row r="319" ht="12.75" customHeight="1" spans="10:24" x14ac:dyDescent="0.25">
      <c r="J319" s="178">
        <v>42995</v>
      </c>
      <c r="K319" s="179"/>
      <c r="L319" s="179"/>
      <c r="M319" s="179"/>
      <c r="N319" s="180">
        <f t="shared" si="62"/>
      </c>
      <c r="O319" s="181">
        <f t="shared" si="63"/>
      </c>
      <c r="P319" s="182"/>
      <c r="Q319" s="183"/>
      <c r="R319" s="183"/>
      <c r="S319" s="183"/>
      <c r="T319" s="183"/>
      <c r="U319" s="179"/>
      <c r="V319" s="179"/>
      <c r="W319" s="179"/>
      <c r="X319" s="184">
        <f t="shared" si="64"/>
      </c>
    </row>
    <row r="320" ht="12.75" customHeight="1" spans="10:24" x14ac:dyDescent="0.25">
      <c r="J320" s="178">
        <v>43025</v>
      </c>
      <c r="K320" s="179"/>
      <c r="L320" s="179"/>
      <c r="M320" s="179"/>
      <c r="N320" s="180">
        <f t="shared" si="62"/>
      </c>
      <c r="O320" s="181">
        <f t="shared" si="63"/>
      </c>
      <c r="P320" s="182"/>
      <c r="Q320" s="183"/>
      <c r="R320" s="183"/>
      <c r="S320" s="183"/>
      <c r="T320" s="183"/>
      <c r="U320" s="179"/>
      <c r="V320" s="179"/>
      <c r="W320" s="179"/>
      <c r="X320" s="184">
        <f t="shared" si="64"/>
      </c>
    </row>
    <row r="321" ht="12.75" customHeight="1" spans="10:24" x14ac:dyDescent="0.25">
      <c r="J321" s="178">
        <v>43056</v>
      </c>
      <c r="K321" s="179"/>
      <c r="L321" s="179"/>
      <c r="M321" s="179"/>
      <c r="N321" s="180">
        <f t="shared" si="62"/>
      </c>
      <c r="O321" s="181">
        <f t="shared" si="63"/>
      </c>
      <c r="P321" s="182"/>
      <c r="Q321" s="183"/>
      <c r="R321" s="183"/>
      <c r="S321" s="183"/>
      <c r="T321" s="183"/>
      <c r="U321" s="179"/>
      <c r="V321" s="179"/>
      <c r="W321" s="179"/>
      <c r="X321" s="184">
        <f t="shared" si="64"/>
      </c>
    </row>
    <row r="322" ht="12.75" customHeight="1" spans="10:24" x14ac:dyDescent="0.25">
      <c r="J322" s="178">
        <v>43086</v>
      </c>
      <c r="K322" s="179"/>
      <c r="L322" s="179"/>
      <c r="M322" s="179"/>
      <c r="N322" s="180">
        <f t="shared" si="62"/>
      </c>
      <c r="O322" s="181">
        <f t="shared" si="63"/>
      </c>
      <c r="P322" s="182"/>
      <c r="Q322" s="183"/>
      <c r="R322" s="183"/>
      <c r="S322" s="183"/>
      <c r="T322" s="183"/>
      <c r="U322" s="179"/>
      <c r="V322" s="179"/>
      <c r="W322" s="179"/>
      <c r="X322" s="184">
        <f t="shared" si="64"/>
      </c>
    </row>
    <row r="323" ht="12.75" customHeight="1" spans="10:24" x14ac:dyDescent="0.25">
      <c r="J323" s="178">
        <v>43118</v>
      </c>
      <c r="K323" s="179"/>
      <c r="L323" s="179"/>
      <c r="M323" s="179"/>
      <c r="N323" s="180">
        <f t="shared" si="62"/>
      </c>
      <c r="O323" s="181">
        <f t="shared" si="63"/>
      </c>
      <c r="P323" s="182"/>
      <c r="Q323" s="183"/>
      <c r="R323" s="183"/>
      <c r="S323" s="183"/>
      <c r="T323" s="183"/>
      <c r="U323" s="179"/>
      <c r="V323" s="179"/>
      <c r="W323" s="179"/>
      <c r="X323" s="184">
        <f t="shared" si="64"/>
      </c>
    </row>
    <row r="324" ht="12.75" customHeight="1" spans="10:24" x14ac:dyDescent="0.25">
      <c r="J324" s="178">
        <v>43149</v>
      </c>
      <c r="K324" s="179"/>
      <c r="L324" s="179"/>
      <c r="M324" s="179"/>
      <c r="N324" s="180">
        <f t="shared" si="62"/>
      </c>
      <c r="O324" s="181">
        <f t="shared" si="63"/>
      </c>
      <c r="P324" s="182"/>
      <c r="Q324" s="183"/>
      <c r="R324" s="183"/>
      <c r="S324" s="183"/>
      <c r="T324" s="183"/>
      <c r="U324" s="179"/>
      <c r="V324" s="179"/>
      <c r="W324" s="179"/>
      <c r="X324" s="184">
        <f t="shared" si="64"/>
      </c>
    </row>
    <row r="325" ht="12.75" customHeight="1" spans="10:24" x14ac:dyDescent="0.25">
      <c r="J325" s="178">
        <v>43177</v>
      </c>
      <c r="K325" s="179"/>
      <c r="L325" s="179"/>
      <c r="M325" s="179"/>
      <c r="N325" s="180">
        <f t="shared" si="62"/>
      </c>
      <c r="O325" s="181">
        <f t="shared" si="63"/>
      </c>
      <c r="P325" s="182"/>
      <c r="Q325" s="183"/>
      <c r="R325" s="183"/>
      <c r="S325" s="183"/>
      <c r="T325" s="183"/>
      <c r="U325" s="179"/>
      <c r="V325" s="179"/>
      <c r="W325" s="179"/>
      <c r="X325" s="184">
        <f t="shared" si="64"/>
      </c>
    </row>
    <row r="326" ht="12.75" customHeight="1" spans="10:24" x14ac:dyDescent="0.25">
      <c r="J326" s="178">
        <v>43208</v>
      </c>
      <c r="K326" s="179"/>
      <c r="L326" s="179"/>
      <c r="M326" s="179"/>
      <c r="N326" s="180">
        <f t="shared" si="62"/>
      </c>
      <c r="O326" s="181">
        <f t="shared" si="63"/>
      </c>
      <c r="P326" s="182"/>
      <c r="Q326" s="183"/>
      <c r="R326" s="183"/>
      <c r="S326" s="183"/>
      <c r="T326" s="183"/>
      <c r="U326" s="179"/>
      <c r="V326" s="179"/>
      <c r="W326" s="179"/>
      <c r="X326" s="184">
        <f t="shared" si="64"/>
      </c>
    </row>
    <row r="327" ht="12.75" customHeight="1" spans="10:24" x14ac:dyDescent="0.25">
      <c r="J327" s="178">
        <v>43238</v>
      </c>
      <c r="K327" s="179"/>
      <c r="L327" s="179"/>
      <c r="M327" s="179"/>
      <c r="N327" s="180">
        <f t="shared" si="62"/>
      </c>
      <c r="O327" s="181">
        <f t="shared" si="63"/>
      </c>
      <c r="P327" s="182"/>
      <c r="Q327" s="183"/>
      <c r="R327" s="183"/>
      <c r="S327" s="183"/>
      <c r="T327" s="183"/>
      <c r="U327" s="179"/>
      <c r="V327" s="179"/>
      <c r="W327" s="179"/>
      <c r="X327" s="184">
        <f t="shared" si="64"/>
      </c>
    </row>
    <row r="328" ht="12.75" customHeight="1" spans="10:24" x14ac:dyDescent="0.25">
      <c r="J328" s="178">
        <v>43269</v>
      </c>
      <c r="K328" s="179"/>
      <c r="L328" s="179"/>
      <c r="M328" s="179"/>
      <c r="N328" s="180">
        <f t="shared" si="62"/>
      </c>
      <c r="O328" s="181">
        <f t="shared" si="63"/>
      </c>
      <c r="P328" s="182"/>
      <c r="Q328" s="183"/>
      <c r="R328" s="183"/>
      <c r="S328" s="183"/>
      <c r="T328" s="183"/>
      <c r="U328" s="179"/>
      <c r="V328" s="179"/>
      <c r="W328" s="179"/>
      <c r="X328" s="184">
        <f t="shared" si="64"/>
      </c>
    </row>
    <row r="329" ht="12.75" customHeight="1" spans="10:24" x14ac:dyDescent="0.25">
      <c r="J329" s="178">
        <v>43299</v>
      </c>
      <c r="K329" s="179"/>
      <c r="L329" s="179"/>
      <c r="M329" s="179"/>
      <c r="N329" s="180">
        <f t="shared" si="62"/>
      </c>
      <c r="O329" s="181">
        <f t="shared" si="63"/>
      </c>
      <c r="P329" s="182"/>
      <c r="Q329" s="183"/>
      <c r="R329" s="183"/>
      <c r="S329" s="183"/>
      <c r="T329" s="183"/>
      <c r="U329" s="179"/>
      <c r="V329" s="179"/>
      <c r="W329" s="179"/>
      <c r="X329" s="184">
        <f t="shared" si="64"/>
      </c>
    </row>
    <row r="330" ht="12.75" customHeight="1" spans="10:24" x14ac:dyDescent="0.25">
      <c r="J330" s="178">
        <v>43330</v>
      </c>
      <c r="K330" s="179"/>
      <c r="L330" s="179"/>
      <c r="M330" s="179"/>
      <c r="N330" s="180">
        <f t="shared" si="62"/>
      </c>
      <c r="O330" s="181">
        <f t="shared" si="63"/>
      </c>
      <c r="P330" s="182"/>
      <c r="Q330" s="183"/>
      <c r="R330" s="183"/>
      <c r="S330" s="183"/>
      <c r="T330" s="183"/>
      <c r="U330" s="179"/>
      <c r="V330" s="179"/>
      <c r="W330" s="179"/>
      <c r="X330" s="184">
        <f t="shared" si="64"/>
      </c>
    </row>
    <row r="331" ht="12.75" customHeight="1" spans="10:24" x14ac:dyDescent="0.25">
      <c r="J331" s="178">
        <v>43361</v>
      </c>
      <c r="K331" s="179"/>
      <c r="L331" s="179"/>
      <c r="M331" s="179"/>
      <c r="N331" s="180">
        <f t="shared" si="62"/>
      </c>
      <c r="O331" s="181">
        <f t="shared" si="63"/>
      </c>
      <c r="P331" s="182"/>
      <c r="Q331" s="183"/>
      <c r="R331" s="183"/>
      <c r="S331" s="183"/>
      <c r="T331" s="183"/>
      <c r="U331" s="179"/>
      <c r="V331" s="179"/>
      <c r="W331" s="179"/>
      <c r="X331" s="184">
        <f t="shared" si="64"/>
      </c>
    </row>
    <row r="332" ht="12.75" customHeight="1" spans="10:24" x14ac:dyDescent="0.25">
      <c r="J332" s="178">
        <v>43391</v>
      </c>
      <c r="K332" s="179"/>
      <c r="L332" s="179"/>
      <c r="M332" s="179"/>
      <c r="N332" s="180">
        <f t="shared" si="62"/>
      </c>
      <c r="O332" s="181">
        <f t="shared" si="63"/>
      </c>
      <c r="P332" s="182"/>
      <c r="Q332" s="183"/>
      <c r="R332" s="183"/>
      <c r="S332" s="183"/>
      <c r="T332" s="183"/>
      <c r="U332" s="179"/>
      <c r="V332" s="179"/>
      <c r="W332" s="179"/>
      <c r="X332" s="184">
        <f t="shared" si="64"/>
      </c>
    </row>
    <row r="333" ht="12.75" customHeight="1" spans="10:24" x14ac:dyDescent="0.25">
      <c r="J333" s="178">
        <v>43422</v>
      </c>
      <c r="K333" s="179"/>
      <c r="L333" s="179"/>
      <c r="M333" s="179"/>
      <c r="N333" s="180">
        <f t="shared" si="62"/>
      </c>
      <c r="O333" s="181">
        <f t="shared" si="63"/>
      </c>
      <c r="P333" s="182"/>
      <c r="Q333" s="183"/>
      <c r="R333" s="183"/>
      <c r="S333" s="183"/>
      <c r="T333" s="183"/>
      <c r="U333" s="179"/>
      <c r="V333" s="179"/>
      <c r="W333" s="179"/>
      <c r="X333" s="184">
        <f t="shared" si="64"/>
      </c>
    </row>
    <row r="334" ht="12.75" customHeight="1" spans="10:24" x14ac:dyDescent="0.25">
      <c r="J334" s="178">
        <v>43452</v>
      </c>
      <c r="K334" s="179"/>
      <c r="L334" s="179"/>
      <c r="M334" s="179"/>
      <c r="N334" s="180">
        <f t="shared" si="62"/>
      </c>
      <c r="O334" s="181">
        <f t="shared" si="63"/>
      </c>
      <c r="P334" s="182"/>
      <c r="Q334" s="183"/>
      <c r="R334" s="183"/>
      <c r="S334" s="183"/>
      <c r="T334" s="183"/>
      <c r="U334" s="179"/>
      <c r="V334" s="179"/>
      <c r="W334" s="179"/>
      <c r="X334" s="184">
        <f t="shared" si="64"/>
      </c>
    </row>
    <row r="335" ht="12.75" customHeight="1" spans="10:24" x14ac:dyDescent="0.25">
      <c r="J335" s="178">
        <v>43484</v>
      </c>
      <c r="K335" s="179"/>
      <c r="L335" s="179"/>
      <c r="M335" s="179"/>
      <c r="N335" s="180">
        <f t="shared" si="62"/>
      </c>
      <c r="O335" s="181">
        <f t="shared" si="63"/>
      </c>
      <c r="P335" s="182"/>
      <c r="Q335" s="183"/>
      <c r="R335" s="183"/>
      <c r="S335" s="183"/>
      <c r="T335" s="183"/>
      <c r="U335" s="179"/>
      <c r="V335" s="179"/>
      <c r="W335" s="179"/>
      <c r="X335" s="184">
        <f t="shared" si="64"/>
      </c>
    </row>
    <row r="336" ht="12.75" customHeight="1" spans="10:24" x14ac:dyDescent="0.25">
      <c r="J336" s="178">
        <v>43515</v>
      </c>
      <c r="K336" s="179"/>
      <c r="L336" s="179"/>
      <c r="M336" s="179"/>
      <c r="N336" s="180">
        <f t="shared" si="62"/>
      </c>
      <c r="O336" s="181">
        <f t="shared" si="63"/>
      </c>
      <c r="P336" s="182"/>
      <c r="Q336" s="183"/>
      <c r="R336" s="183"/>
      <c r="S336" s="183"/>
      <c r="T336" s="183"/>
      <c r="U336" s="179"/>
      <c r="V336" s="179"/>
      <c r="W336" s="179"/>
      <c r="X336" s="184">
        <f t="shared" si="64"/>
      </c>
    </row>
    <row r="337" ht="12.75" customHeight="1" spans="10:24" x14ac:dyDescent="0.25">
      <c r="J337" s="178">
        <v>43543</v>
      </c>
      <c r="K337" s="179"/>
      <c r="L337" s="179"/>
      <c r="M337" s="179"/>
      <c r="N337" s="180">
        <f t="shared" si="62"/>
      </c>
      <c r="O337" s="181">
        <f t="shared" si="63"/>
      </c>
      <c r="P337" s="182"/>
      <c r="Q337" s="183"/>
      <c r="R337" s="183"/>
      <c r="S337" s="183"/>
      <c r="T337" s="183"/>
      <c r="U337" s="179"/>
      <c r="V337" s="179"/>
      <c r="W337" s="179"/>
      <c r="X337" s="184">
        <f t="shared" si="64"/>
      </c>
    </row>
    <row r="338" ht="12.75" customHeight="1" spans="10:24" x14ac:dyDescent="0.25">
      <c r="J338" s="178">
        <v>43574</v>
      </c>
      <c r="K338" s="179"/>
      <c r="L338" s="179"/>
      <c r="M338" s="179"/>
      <c r="N338" s="180">
        <f t="shared" si="62"/>
      </c>
      <c r="O338" s="181">
        <f t="shared" si="63"/>
      </c>
      <c r="P338" s="182"/>
      <c r="Q338" s="183"/>
      <c r="R338" s="183"/>
      <c r="S338" s="183"/>
      <c r="T338" s="183"/>
      <c r="U338" s="179"/>
      <c r="V338" s="179"/>
      <c r="W338" s="179"/>
      <c r="X338" s="184">
        <f t="shared" si="64"/>
      </c>
    </row>
    <row r="339" ht="12.75" customHeight="1" spans="10:24" x14ac:dyDescent="0.25">
      <c r="J339" s="178">
        <v>43604</v>
      </c>
      <c r="K339" s="179"/>
      <c r="L339" s="179"/>
      <c r="M339" s="179"/>
      <c r="N339" s="180">
        <f t="shared" si="62"/>
      </c>
      <c r="O339" s="181">
        <f t="shared" si="63"/>
      </c>
      <c r="P339" s="182"/>
      <c r="Q339" s="183"/>
      <c r="R339" s="183"/>
      <c r="S339" s="183"/>
      <c r="T339" s="183"/>
      <c r="U339" s="179"/>
      <c r="V339" s="179"/>
      <c r="W339" s="179"/>
      <c r="X339" s="184">
        <f t="shared" si="64"/>
      </c>
    </row>
    <row r="340" ht="12.75" customHeight="1" spans="10:24" x14ac:dyDescent="0.25">
      <c r="J340" s="178">
        <v>43635</v>
      </c>
      <c r="K340" s="179"/>
      <c r="L340" s="179"/>
      <c r="M340" s="179"/>
      <c r="N340" s="180">
        <f t="shared" si="62"/>
      </c>
      <c r="O340" s="181">
        <f t="shared" si="63"/>
      </c>
      <c r="P340" s="182"/>
      <c r="Q340" s="183"/>
      <c r="R340" s="183"/>
      <c r="S340" s="183"/>
      <c r="T340" s="183"/>
      <c r="U340" s="179"/>
      <c r="V340" s="179"/>
      <c r="W340" s="179"/>
      <c r="X340" s="184">
        <f t="shared" si="64"/>
      </c>
    </row>
    <row r="341" ht="12.75" customHeight="1" spans="10:24" x14ac:dyDescent="0.25">
      <c r="J341" s="178">
        <v>43665</v>
      </c>
      <c r="K341" s="179"/>
      <c r="L341" s="179"/>
      <c r="M341" s="179"/>
      <c r="N341" s="180">
        <f t="shared" si="62"/>
      </c>
      <c r="O341" s="181">
        <f t="shared" si="63"/>
      </c>
      <c r="P341" s="182"/>
      <c r="Q341" s="183"/>
      <c r="R341" s="183"/>
      <c r="S341" s="183"/>
      <c r="T341" s="183"/>
      <c r="U341" s="179"/>
      <c r="V341" s="179"/>
      <c r="W341" s="179"/>
      <c r="X341" s="184">
        <f t="shared" si="64"/>
      </c>
    </row>
    <row r="342" ht="12.75" customHeight="1" spans="10:24" x14ac:dyDescent="0.25">
      <c r="J342" s="178">
        <v>43696</v>
      </c>
      <c r="K342" s="179"/>
      <c r="L342" s="179"/>
      <c r="M342" s="179"/>
      <c r="N342" s="180">
        <f t="shared" si="62"/>
      </c>
      <c r="O342" s="181">
        <f t="shared" si="63"/>
      </c>
      <c r="P342" s="182"/>
      <c r="Q342" s="183"/>
      <c r="R342" s="183"/>
      <c r="S342" s="183"/>
      <c r="T342" s="183"/>
      <c r="U342" s="179"/>
      <c r="V342" s="179"/>
      <c r="W342" s="179"/>
      <c r="X342" s="184">
        <f t="shared" si="64"/>
      </c>
    </row>
    <row r="343" ht="12.75" customHeight="1" spans="10:24" x14ac:dyDescent="0.25">
      <c r="J343" s="178">
        <v>43727</v>
      </c>
      <c r="K343" s="179"/>
      <c r="L343" s="179"/>
      <c r="M343" s="179"/>
      <c r="N343" s="180">
        <f t="shared" si="62"/>
      </c>
      <c r="O343" s="181">
        <f t="shared" si="63"/>
      </c>
      <c r="P343" s="182"/>
      <c r="Q343" s="183"/>
      <c r="R343" s="183"/>
      <c r="S343" s="183"/>
      <c r="T343" s="183"/>
      <c r="U343" s="179"/>
      <c r="V343" s="179"/>
      <c r="W343" s="179"/>
      <c r="X343" s="184">
        <f t="shared" si="64"/>
      </c>
    </row>
    <row r="344" ht="12.75" customHeight="1" spans="10:24" x14ac:dyDescent="0.25">
      <c r="J344" s="178">
        <v>43757</v>
      </c>
      <c r="K344" s="179"/>
      <c r="L344" s="179"/>
      <c r="M344" s="179"/>
      <c r="N344" s="180">
        <f t="shared" si="62"/>
      </c>
      <c r="O344" s="181">
        <f t="shared" si="63"/>
      </c>
      <c r="P344" s="182"/>
      <c r="Q344" s="183"/>
      <c r="R344" s="183"/>
      <c r="S344" s="183"/>
      <c r="T344" s="183"/>
      <c r="U344" s="179"/>
      <c r="V344" s="179"/>
      <c r="W344" s="179"/>
      <c r="X344" s="184">
        <f t="shared" si="64"/>
      </c>
    </row>
    <row r="345" ht="12.75" customHeight="1" spans="10:24" x14ac:dyDescent="0.25">
      <c r="J345" s="178">
        <v>43788</v>
      </c>
      <c r="K345" s="179"/>
      <c r="L345" s="179"/>
      <c r="M345" s="179"/>
      <c r="N345" s="180">
        <f t="shared" si="62"/>
      </c>
      <c r="O345" s="181">
        <f t="shared" si="63"/>
      </c>
      <c r="P345" s="182"/>
      <c r="Q345" s="183"/>
      <c r="R345" s="183"/>
      <c r="S345" s="183"/>
      <c r="T345" s="183"/>
      <c r="U345" s="179"/>
      <c r="V345" s="179"/>
      <c r="W345" s="179"/>
      <c r="X345" s="184">
        <f t="shared" si="64"/>
      </c>
    </row>
    <row r="346" ht="12.75" customHeight="1" spans="10:24" x14ac:dyDescent="0.25">
      <c r="J346" s="178">
        <v>43818</v>
      </c>
      <c r="K346" s="179"/>
      <c r="L346" s="179"/>
      <c r="M346" s="179"/>
      <c r="N346" s="180">
        <f t="shared" si="62"/>
      </c>
      <c r="O346" s="181">
        <f t="shared" si="63"/>
      </c>
      <c r="P346" s="182"/>
      <c r="Q346" s="183"/>
      <c r="R346" s="183"/>
      <c r="S346" s="183"/>
      <c r="T346" s="183"/>
      <c r="U346" s="179"/>
      <c r="V346" s="179"/>
      <c r="W346" s="179"/>
      <c r="X346" s="184">
        <f t="shared" si="64"/>
      </c>
    </row>
    <row r="347" ht="12.75" customHeight="1" spans="10:24" x14ac:dyDescent="0.25">
      <c r="J347" s="178">
        <v>43850</v>
      </c>
      <c r="K347" s="179"/>
      <c r="L347" s="179"/>
      <c r="M347" s="179"/>
      <c r="N347" s="180">
        <f t="shared" si="62"/>
      </c>
      <c r="O347" s="181">
        <f t="shared" si="63"/>
      </c>
      <c r="P347" s="182"/>
      <c r="Q347" s="183"/>
      <c r="R347" s="183"/>
      <c r="S347" s="183"/>
      <c r="T347" s="183"/>
      <c r="U347" s="179"/>
      <c r="V347" s="179"/>
      <c r="W347" s="179"/>
      <c r="X347" s="184">
        <f t="shared" si="64"/>
      </c>
    </row>
    <row r="348" ht="12.75" customHeight="1" spans="10:24" x14ac:dyDescent="0.25">
      <c r="J348" s="178">
        <v>43881</v>
      </c>
      <c r="K348" s="179"/>
      <c r="L348" s="179"/>
      <c r="M348" s="179"/>
      <c r="N348" s="180">
        <f t="shared" si="62"/>
      </c>
      <c r="O348" s="181">
        <f t="shared" si="63"/>
      </c>
      <c r="P348" s="182"/>
      <c r="Q348" s="183"/>
      <c r="R348" s="183"/>
      <c r="S348" s="183"/>
      <c r="T348" s="183"/>
      <c r="U348" s="179"/>
      <c r="V348" s="179"/>
      <c r="W348" s="179"/>
      <c r="X348" s="184">
        <f t="shared" si="64"/>
      </c>
    </row>
    <row r="349" ht="12.75" customHeight="1" spans="10:24" x14ac:dyDescent="0.25">
      <c r="J349" s="178">
        <v>43910</v>
      </c>
      <c r="K349" s="179"/>
      <c r="L349" s="179"/>
      <c r="M349" s="179"/>
      <c r="N349" s="180">
        <f t="shared" si="62"/>
      </c>
      <c r="O349" s="181">
        <f t="shared" si="63"/>
      </c>
      <c r="P349" s="182"/>
      <c r="Q349" s="183"/>
      <c r="R349" s="183"/>
      <c r="S349" s="183"/>
      <c r="T349" s="183"/>
      <c r="U349" s="179"/>
      <c r="V349" s="179"/>
      <c r="W349" s="179"/>
      <c r="X349" s="184">
        <f t="shared" si="64"/>
      </c>
    </row>
    <row r="350" ht="12.75" customHeight="1" spans="10:24" x14ac:dyDescent="0.25">
      <c r="J350" s="201" t="s">
        <v>186</v>
      </c>
      <c r="K350" s="202">
        <f t="shared" ref="K350:P350" si="65">IFERROR(AVERAGE(K318:K349),0)</f>
        <v>0</v>
      </c>
      <c r="L350" s="202">
        <f t="shared" si="65"/>
        <v>0</v>
      </c>
      <c r="M350" s="203">
        <f t="shared" si="65"/>
        <v>0</v>
      </c>
      <c r="N350" s="203">
        <f t="shared" si="65"/>
        <v>0</v>
      </c>
      <c r="O350" s="203">
        <f t="shared" si="65"/>
        <v>0</v>
      </c>
      <c r="P350" s="205">
        <f t="shared" si="65"/>
        <v>0</v>
      </c>
      <c r="Q350" s="204">
        <f t="shared" ref="Q350:T350" si="66">SUM(Q318:Q349)</f>
        <v>0</v>
      </c>
      <c r="R350" s="204">
        <f t="shared" si="66"/>
        <v>0</v>
      </c>
      <c r="S350" s="204">
        <f t="shared" si="66"/>
        <v>0</v>
      </c>
      <c r="T350" s="204">
        <f t="shared" si="66"/>
        <v>0</v>
      </c>
      <c r="U350" s="205">
        <f t="shared" ref="U350:X350" si="67">IFERROR(AVERAGE(U318:U349),0)</f>
        <v>0</v>
      </c>
      <c r="V350" s="205">
        <f t="shared" si="67"/>
        <v>0</v>
      </c>
      <c r="W350" s="205">
        <f t="shared" si="67"/>
        <v>0</v>
      </c>
      <c r="X350" s="206">
        <f t="shared" si="67"/>
        <v>0</v>
      </c>
    </row>
    <row r="351" ht="12.75" customHeight="1" spans="10:24" x14ac:dyDescent="0.25">
      <c r="J351" s="209" t="s">
        <v>188</v>
      </c>
      <c r="K351" s="210">
        <f>K350*12</f>
        <v>0</v>
      </c>
      <c r="L351" s="210" t="s">
        <v>189</v>
      </c>
      <c r="M351" s="205" t="str">
        <f>IF(N350=0,"0",100%-N350)</f>
        <v>0</v>
      </c>
      <c r="N351" s="210" t="s">
        <v>190</v>
      </c>
      <c r="O351" s="206">
        <f>M351*O350</f>
        <v>0</v>
      </c>
      <c r="P351" s="211"/>
      <c r="Q351" s="212"/>
      <c r="R351" s="212"/>
      <c r="S351" s="212"/>
      <c r="T351" s="212"/>
      <c r="U351" s="212"/>
      <c r="V351" s="212"/>
      <c r="W351" s="212"/>
      <c r="X351" s="212"/>
    </row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spans="22:24" x14ac:dyDescent="0.25">
      <c r="V358" s="172"/>
      <c r="W358" s="107"/>
      <c r="X358" s="107"/>
    </row>
    <row r="359" ht="12.75" customHeight="1" spans="10:24" x14ac:dyDescent="0.25">
      <c r="J359" s="213" t="s">
        <v>155</v>
      </c>
      <c r="K359" s="213"/>
      <c r="L359" s="158" t="s">
        <v>156</v>
      </c>
      <c r="M359" s="160" t="s">
        <v>157</v>
      </c>
      <c r="N359" s="160" t="s">
        <v>158</v>
      </c>
      <c r="O359" s="160" t="s">
        <v>159</v>
      </c>
      <c r="P359" s="161" t="s">
        <v>160</v>
      </c>
      <c r="Q359" s="161" t="s">
        <v>161</v>
      </c>
      <c r="R359" s="162" t="s">
        <v>162</v>
      </c>
      <c r="S359" s="163"/>
      <c r="T359" s="164" t="s">
        <v>163</v>
      </c>
      <c r="U359" s="163"/>
      <c r="V359" s="172"/>
      <c r="W359" s="107"/>
      <c r="X359" s="107"/>
    </row>
    <row r="360" ht="12.75" customHeight="1" spans="10:24" x14ac:dyDescent="0.25">
      <c r="J360" s="214"/>
      <c r="K360" s="214"/>
      <c r="L360" s="167"/>
      <c r="M360" s="168"/>
      <c r="N360" s="168"/>
      <c r="O360" s="169">
        <f>IFERROR(IF(OR((R360=""),(N360=""),(M360="")),"",DAYS(N360,M360))+1,"")</f>
        <v>1</v>
      </c>
      <c r="P360" s="170"/>
      <c r="Q360" s="170"/>
      <c r="R360" s="217"/>
      <c r="S360" s="166"/>
      <c r="T360" s="217"/>
      <c r="U360" s="166"/>
      <c r="V360" s="172"/>
      <c r="W360" s="173"/>
      <c r="X360" s="173"/>
    </row>
    <row r="361" ht="12.75" customHeight="1" spans="10:24" x14ac:dyDescent="0.25">
      <c r="J361" s="201" t="s">
        <v>168</v>
      </c>
      <c r="K361" s="202" t="s">
        <v>169</v>
      </c>
      <c r="L361" s="202" t="s">
        <v>170</v>
      </c>
      <c r="M361" s="202" t="s">
        <v>171</v>
      </c>
      <c r="N361" s="202" t="s">
        <v>172</v>
      </c>
      <c r="O361" s="202" t="s">
        <v>173</v>
      </c>
      <c r="P361" s="202" t="s">
        <v>174</v>
      </c>
      <c r="Q361" s="202" t="s">
        <v>175</v>
      </c>
      <c r="R361" s="12" t="s">
        <v>176</v>
      </c>
      <c r="S361" s="12" t="s">
        <v>177</v>
      </c>
      <c r="T361" s="202" t="s">
        <v>178</v>
      </c>
      <c r="U361" s="202" t="s">
        <v>179</v>
      </c>
      <c r="V361" s="175" t="s">
        <v>180</v>
      </c>
      <c r="W361" s="175" t="s">
        <v>181</v>
      </c>
      <c r="X361" s="176" t="s">
        <v>182</v>
      </c>
    </row>
    <row r="362" ht="12.75" customHeight="1" spans="10:24" x14ac:dyDescent="0.25">
      <c r="J362" s="178">
        <v>42964</v>
      </c>
      <c r="K362" s="179"/>
      <c r="L362" s="179"/>
      <c r="M362" s="179"/>
      <c r="N362" s="180">
        <f t="shared" ref="N362:N393" si="68">IF(M362="","",IF(O362&gt;0,M362/O362,""))</f>
      </c>
      <c r="O362" s="181">
        <f t="shared" ref="O362:O393" si="69">IF(M362="","",IF($Q$360="",$P$360,$Q$360))</f>
      </c>
      <c r="P362" s="182"/>
      <c r="Q362" s="183"/>
      <c r="R362" s="183"/>
      <c r="S362" s="183"/>
      <c r="T362" s="183"/>
      <c r="U362" s="179"/>
      <c r="V362" s="179"/>
      <c r="W362" s="179"/>
      <c r="X362" s="184">
        <f t="shared" ref="X362:X393" si="70">IF(K362="","",IF($L$360="OD",O362-SUM(U362:W362)/3,IF($L$360="CC",O362-SUM(U362:W362)/3,SUM(U362:W362)/3)))</f>
      </c>
    </row>
    <row r="363" ht="12.75" customHeight="1" spans="10:24" x14ac:dyDescent="0.25">
      <c r="J363" s="178">
        <v>42995</v>
      </c>
      <c r="K363" s="179"/>
      <c r="L363" s="179"/>
      <c r="M363" s="179"/>
      <c r="N363" s="180">
        <f t="shared" si="68"/>
      </c>
      <c r="O363" s="181">
        <f t="shared" si="69"/>
      </c>
      <c r="P363" s="182"/>
      <c r="Q363" s="183"/>
      <c r="R363" s="183"/>
      <c r="S363" s="183"/>
      <c r="T363" s="183"/>
      <c r="U363" s="179"/>
      <c r="V363" s="179"/>
      <c r="W363" s="179"/>
      <c r="X363" s="184">
        <f t="shared" si="70"/>
      </c>
    </row>
    <row r="364" ht="12.75" customHeight="1" spans="10:24" x14ac:dyDescent="0.25">
      <c r="J364" s="178">
        <v>43025</v>
      </c>
      <c r="K364" s="179"/>
      <c r="L364" s="179"/>
      <c r="M364" s="179"/>
      <c r="N364" s="180">
        <f t="shared" si="68"/>
      </c>
      <c r="O364" s="181">
        <f t="shared" si="69"/>
      </c>
      <c r="P364" s="182"/>
      <c r="Q364" s="183"/>
      <c r="R364" s="183"/>
      <c r="S364" s="183"/>
      <c r="T364" s="183"/>
      <c r="U364" s="179"/>
      <c r="V364" s="179"/>
      <c r="W364" s="179"/>
      <c r="X364" s="184">
        <f t="shared" si="70"/>
      </c>
    </row>
    <row r="365" ht="12.75" customHeight="1" spans="10:24" x14ac:dyDescent="0.25">
      <c r="J365" s="178">
        <v>43056</v>
      </c>
      <c r="K365" s="179"/>
      <c r="L365" s="179"/>
      <c r="M365" s="179"/>
      <c r="N365" s="180">
        <f t="shared" si="68"/>
      </c>
      <c r="O365" s="181">
        <f t="shared" si="69"/>
      </c>
      <c r="P365" s="182"/>
      <c r="Q365" s="183"/>
      <c r="R365" s="183"/>
      <c r="S365" s="183"/>
      <c r="T365" s="183"/>
      <c r="U365" s="179"/>
      <c r="V365" s="179"/>
      <c r="W365" s="179"/>
      <c r="X365" s="184">
        <f t="shared" si="70"/>
      </c>
    </row>
    <row r="366" ht="12.75" customHeight="1" spans="10:24" x14ac:dyDescent="0.25">
      <c r="J366" s="178">
        <v>43086</v>
      </c>
      <c r="K366" s="179"/>
      <c r="L366" s="179"/>
      <c r="M366" s="179"/>
      <c r="N366" s="180">
        <f t="shared" si="68"/>
      </c>
      <c r="O366" s="181">
        <f t="shared" si="69"/>
      </c>
      <c r="P366" s="182"/>
      <c r="Q366" s="183"/>
      <c r="R366" s="183"/>
      <c r="S366" s="183"/>
      <c r="T366" s="183"/>
      <c r="U366" s="179"/>
      <c r="V366" s="179"/>
      <c r="W366" s="179"/>
      <c r="X366" s="184">
        <f t="shared" si="70"/>
      </c>
    </row>
    <row r="367" ht="12.75" customHeight="1" spans="10:24" x14ac:dyDescent="0.25">
      <c r="J367" s="178">
        <v>43118</v>
      </c>
      <c r="K367" s="179"/>
      <c r="L367" s="179"/>
      <c r="M367" s="179"/>
      <c r="N367" s="180">
        <f t="shared" si="68"/>
      </c>
      <c r="O367" s="181">
        <f t="shared" si="69"/>
      </c>
      <c r="P367" s="182"/>
      <c r="Q367" s="183"/>
      <c r="R367" s="183"/>
      <c r="S367" s="183"/>
      <c r="T367" s="183"/>
      <c r="U367" s="179"/>
      <c r="V367" s="179"/>
      <c r="W367" s="179"/>
      <c r="X367" s="184">
        <f t="shared" si="70"/>
      </c>
    </row>
    <row r="368" ht="12.75" customHeight="1" spans="10:24" x14ac:dyDescent="0.25">
      <c r="J368" s="178">
        <v>43149</v>
      </c>
      <c r="K368" s="179"/>
      <c r="L368" s="179"/>
      <c r="M368" s="179"/>
      <c r="N368" s="180">
        <f t="shared" si="68"/>
      </c>
      <c r="O368" s="181">
        <f t="shared" si="69"/>
      </c>
      <c r="P368" s="182"/>
      <c r="Q368" s="183"/>
      <c r="R368" s="183"/>
      <c r="S368" s="183"/>
      <c r="T368" s="183"/>
      <c r="U368" s="179"/>
      <c r="V368" s="179"/>
      <c r="W368" s="179"/>
      <c r="X368" s="184">
        <f t="shared" si="70"/>
      </c>
    </row>
    <row r="369" ht="12.75" customHeight="1" spans="10:24" x14ac:dyDescent="0.25">
      <c r="J369" s="178">
        <v>43177</v>
      </c>
      <c r="K369" s="179"/>
      <c r="L369" s="179"/>
      <c r="M369" s="179"/>
      <c r="N369" s="180">
        <f t="shared" si="68"/>
      </c>
      <c r="O369" s="181">
        <f t="shared" si="69"/>
      </c>
      <c r="P369" s="182"/>
      <c r="Q369" s="183"/>
      <c r="R369" s="183"/>
      <c r="S369" s="183"/>
      <c r="T369" s="183"/>
      <c r="U369" s="179"/>
      <c r="V369" s="179"/>
      <c r="W369" s="179"/>
      <c r="X369" s="184">
        <f t="shared" si="70"/>
      </c>
    </row>
    <row r="370" ht="12.75" customHeight="1" spans="10:24" x14ac:dyDescent="0.25">
      <c r="J370" s="178">
        <v>43208</v>
      </c>
      <c r="K370" s="179"/>
      <c r="L370" s="179"/>
      <c r="M370" s="179"/>
      <c r="N370" s="180">
        <f t="shared" si="68"/>
      </c>
      <c r="O370" s="181">
        <f t="shared" si="69"/>
      </c>
      <c r="P370" s="182"/>
      <c r="Q370" s="183"/>
      <c r="R370" s="183"/>
      <c r="S370" s="183"/>
      <c r="T370" s="183"/>
      <c r="U370" s="179"/>
      <c r="V370" s="179"/>
      <c r="W370" s="179"/>
      <c r="X370" s="184">
        <f t="shared" si="70"/>
      </c>
    </row>
    <row r="371" ht="12.75" customHeight="1" spans="10:24" x14ac:dyDescent="0.25">
      <c r="J371" s="178">
        <v>43238</v>
      </c>
      <c r="K371" s="179"/>
      <c r="L371" s="179"/>
      <c r="M371" s="179"/>
      <c r="N371" s="180">
        <f t="shared" si="68"/>
      </c>
      <c r="O371" s="181">
        <f t="shared" si="69"/>
      </c>
      <c r="P371" s="182"/>
      <c r="Q371" s="183"/>
      <c r="R371" s="183"/>
      <c r="S371" s="183"/>
      <c r="T371" s="183"/>
      <c r="U371" s="179"/>
      <c r="V371" s="179"/>
      <c r="W371" s="179"/>
      <c r="X371" s="184">
        <f t="shared" si="70"/>
      </c>
    </row>
    <row r="372" ht="12.75" customHeight="1" spans="10:24" x14ac:dyDescent="0.25">
      <c r="J372" s="178">
        <v>43269</v>
      </c>
      <c r="K372" s="179"/>
      <c r="L372" s="179"/>
      <c r="M372" s="179"/>
      <c r="N372" s="180">
        <f t="shared" si="68"/>
      </c>
      <c r="O372" s="181">
        <f t="shared" si="69"/>
      </c>
      <c r="P372" s="182"/>
      <c r="Q372" s="183"/>
      <c r="R372" s="183"/>
      <c r="S372" s="183"/>
      <c r="T372" s="183"/>
      <c r="U372" s="179"/>
      <c r="V372" s="179"/>
      <c r="W372" s="179"/>
      <c r="X372" s="184">
        <f t="shared" si="70"/>
      </c>
    </row>
    <row r="373" ht="12.75" customHeight="1" spans="10:24" x14ac:dyDescent="0.25">
      <c r="J373" s="178">
        <v>43299</v>
      </c>
      <c r="K373" s="179"/>
      <c r="L373" s="179"/>
      <c r="M373" s="179"/>
      <c r="N373" s="180">
        <f t="shared" si="68"/>
      </c>
      <c r="O373" s="181">
        <f t="shared" si="69"/>
      </c>
      <c r="P373" s="182"/>
      <c r="Q373" s="183"/>
      <c r="R373" s="183"/>
      <c r="S373" s="183"/>
      <c r="T373" s="183"/>
      <c r="U373" s="179"/>
      <c r="V373" s="179"/>
      <c r="W373" s="179"/>
      <c r="X373" s="184">
        <f t="shared" si="70"/>
      </c>
    </row>
    <row r="374" ht="12.75" customHeight="1" spans="10:24" x14ac:dyDescent="0.25">
      <c r="J374" s="178">
        <v>43330</v>
      </c>
      <c r="K374" s="179"/>
      <c r="L374" s="179"/>
      <c r="M374" s="179"/>
      <c r="N374" s="180">
        <f t="shared" si="68"/>
      </c>
      <c r="O374" s="181">
        <f t="shared" si="69"/>
      </c>
      <c r="P374" s="182"/>
      <c r="Q374" s="183"/>
      <c r="R374" s="183"/>
      <c r="S374" s="183"/>
      <c r="T374" s="183"/>
      <c r="U374" s="179"/>
      <c r="V374" s="179"/>
      <c r="W374" s="179"/>
      <c r="X374" s="184">
        <f t="shared" si="70"/>
      </c>
    </row>
    <row r="375" ht="12.75" customHeight="1" spans="10:24" x14ac:dyDescent="0.25">
      <c r="J375" s="178">
        <v>43361</v>
      </c>
      <c r="K375" s="179"/>
      <c r="L375" s="179"/>
      <c r="M375" s="179"/>
      <c r="N375" s="180">
        <f t="shared" si="68"/>
      </c>
      <c r="O375" s="181">
        <f t="shared" si="69"/>
      </c>
      <c r="P375" s="182"/>
      <c r="Q375" s="183"/>
      <c r="R375" s="183"/>
      <c r="S375" s="183"/>
      <c r="T375" s="183"/>
      <c r="U375" s="179"/>
      <c r="V375" s="179"/>
      <c r="W375" s="179"/>
      <c r="X375" s="184">
        <f t="shared" si="70"/>
      </c>
    </row>
    <row r="376" ht="12.75" customHeight="1" spans="10:24" x14ac:dyDescent="0.25">
      <c r="J376" s="178">
        <v>43391</v>
      </c>
      <c r="K376" s="179"/>
      <c r="L376" s="179"/>
      <c r="M376" s="179"/>
      <c r="N376" s="180">
        <f t="shared" si="68"/>
      </c>
      <c r="O376" s="181">
        <f t="shared" si="69"/>
      </c>
      <c r="P376" s="182"/>
      <c r="Q376" s="183"/>
      <c r="R376" s="183"/>
      <c r="S376" s="183"/>
      <c r="T376" s="183"/>
      <c r="U376" s="179"/>
      <c r="V376" s="179"/>
      <c r="W376" s="179"/>
      <c r="X376" s="184">
        <f t="shared" si="70"/>
      </c>
    </row>
    <row r="377" ht="12.75" customHeight="1" spans="10:24" x14ac:dyDescent="0.25">
      <c r="J377" s="178">
        <v>43422</v>
      </c>
      <c r="K377" s="179"/>
      <c r="L377" s="179"/>
      <c r="M377" s="179"/>
      <c r="N377" s="180">
        <f t="shared" si="68"/>
      </c>
      <c r="O377" s="181">
        <f t="shared" si="69"/>
      </c>
      <c r="P377" s="182"/>
      <c r="Q377" s="183"/>
      <c r="R377" s="183"/>
      <c r="S377" s="183"/>
      <c r="T377" s="183"/>
      <c r="U377" s="179"/>
      <c r="V377" s="179"/>
      <c r="W377" s="179"/>
      <c r="X377" s="184">
        <f t="shared" si="70"/>
      </c>
    </row>
    <row r="378" ht="12.75" customHeight="1" spans="10:24" x14ac:dyDescent="0.25">
      <c r="J378" s="178">
        <v>43452</v>
      </c>
      <c r="K378" s="179"/>
      <c r="L378" s="179"/>
      <c r="M378" s="179"/>
      <c r="N378" s="180">
        <f t="shared" si="68"/>
      </c>
      <c r="O378" s="181">
        <f t="shared" si="69"/>
      </c>
      <c r="P378" s="182"/>
      <c r="Q378" s="183"/>
      <c r="R378" s="183"/>
      <c r="S378" s="183"/>
      <c r="T378" s="183"/>
      <c r="U378" s="179"/>
      <c r="V378" s="179"/>
      <c r="W378" s="179"/>
      <c r="X378" s="184">
        <f t="shared" si="70"/>
      </c>
    </row>
    <row r="379" ht="12.75" customHeight="1" spans="10:24" x14ac:dyDescent="0.25">
      <c r="J379" s="178">
        <v>43484</v>
      </c>
      <c r="K379" s="179"/>
      <c r="L379" s="179"/>
      <c r="M379" s="179"/>
      <c r="N379" s="180">
        <f t="shared" si="68"/>
      </c>
      <c r="O379" s="181">
        <f t="shared" si="69"/>
      </c>
      <c r="P379" s="182"/>
      <c r="Q379" s="183"/>
      <c r="R379" s="183"/>
      <c r="S379" s="183"/>
      <c r="T379" s="183"/>
      <c r="U379" s="179"/>
      <c r="V379" s="179"/>
      <c r="W379" s="179"/>
      <c r="X379" s="184">
        <f t="shared" si="70"/>
      </c>
    </row>
    <row r="380" ht="12.75" customHeight="1" spans="10:24" x14ac:dyDescent="0.25">
      <c r="J380" s="178">
        <v>43515</v>
      </c>
      <c r="K380" s="179"/>
      <c r="L380" s="179"/>
      <c r="M380" s="179"/>
      <c r="N380" s="180">
        <f t="shared" si="68"/>
      </c>
      <c r="O380" s="181">
        <f t="shared" si="69"/>
      </c>
      <c r="P380" s="182"/>
      <c r="Q380" s="183"/>
      <c r="R380" s="183"/>
      <c r="S380" s="183"/>
      <c r="T380" s="183"/>
      <c r="U380" s="179"/>
      <c r="V380" s="179"/>
      <c r="W380" s="179"/>
      <c r="X380" s="184">
        <f t="shared" si="70"/>
      </c>
    </row>
    <row r="381" ht="12.75" customHeight="1" spans="10:24" x14ac:dyDescent="0.25">
      <c r="J381" s="178">
        <v>43543</v>
      </c>
      <c r="K381" s="179"/>
      <c r="L381" s="179"/>
      <c r="M381" s="179"/>
      <c r="N381" s="180">
        <f t="shared" si="68"/>
      </c>
      <c r="O381" s="181">
        <f t="shared" si="69"/>
      </c>
      <c r="P381" s="182"/>
      <c r="Q381" s="183"/>
      <c r="R381" s="183"/>
      <c r="S381" s="183"/>
      <c r="T381" s="183"/>
      <c r="U381" s="179"/>
      <c r="V381" s="179"/>
      <c r="W381" s="179"/>
      <c r="X381" s="184">
        <f t="shared" si="70"/>
      </c>
    </row>
    <row r="382" ht="12.75" customHeight="1" spans="10:24" x14ac:dyDescent="0.25">
      <c r="J382" s="178">
        <v>43574</v>
      </c>
      <c r="K382" s="179"/>
      <c r="L382" s="179"/>
      <c r="M382" s="179"/>
      <c r="N382" s="180">
        <f t="shared" si="68"/>
      </c>
      <c r="O382" s="181">
        <f t="shared" si="69"/>
      </c>
      <c r="P382" s="182"/>
      <c r="Q382" s="183"/>
      <c r="R382" s="183"/>
      <c r="S382" s="183"/>
      <c r="T382" s="183"/>
      <c r="U382" s="179"/>
      <c r="V382" s="179"/>
      <c r="W382" s="179"/>
      <c r="X382" s="184">
        <f t="shared" si="70"/>
      </c>
    </row>
    <row r="383" ht="12.75" customHeight="1" spans="10:24" x14ac:dyDescent="0.25">
      <c r="J383" s="178">
        <v>43604</v>
      </c>
      <c r="K383" s="179"/>
      <c r="L383" s="179"/>
      <c r="M383" s="179"/>
      <c r="N383" s="180">
        <f t="shared" si="68"/>
      </c>
      <c r="O383" s="181">
        <f t="shared" si="69"/>
      </c>
      <c r="P383" s="182"/>
      <c r="Q383" s="183"/>
      <c r="R383" s="183"/>
      <c r="S383" s="183"/>
      <c r="T383" s="183"/>
      <c r="U383" s="179"/>
      <c r="V383" s="179"/>
      <c r="W383" s="179"/>
      <c r="X383" s="184">
        <f t="shared" si="70"/>
      </c>
    </row>
    <row r="384" ht="12.75" customHeight="1" spans="10:24" x14ac:dyDescent="0.25">
      <c r="J384" s="178">
        <v>43635</v>
      </c>
      <c r="K384" s="179"/>
      <c r="L384" s="179"/>
      <c r="M384" s="179"/>
      <c r="N384" s="180">
        <f t="shared" si="68"/>
      </c>
      <c r="O384" s="181">
        <f t="shared" si="69"/>
      </c>
      <c r="P384" s="182"/>
      <c r="Q384" s="183"/>
      <c r="R384" s="183"/>
      <c r="S384" s="183"/>
      <c r="T384" s="183"/>
      <c r="U384" s="179"/>
      <c r="V384" s="179"/>
      <c r="W384" s="179"/>
      <c r="X384" s="184">
        <f t="shared" si="70"/>
      </c>
    </row>
    <row r="385" ht="12.75" customHeight="1" spans="10:24" x14ac:dyDescent="0.25">
      <c r="J385" s="178">
        <v>43665</v>
      </c>
      <c r="K385" s="179"/>
      <c r="L385" s="179"/>
      <c r="M385" s="179"/>
      <c r="N385" s="180">
        <f t="shared" si="68"/>
      </c>
      <c r="O385" s="181">
        <f t="shared" si="69"/>
      </c>
      <c r="P385" s="182"/>
      <c r="Q385" s="183"/>
      <c r="R385" s="183"/>
      <c r="S385" s="183"/>
      <c r="T385" s="183"/>
      <c r="U385" s="179"/>
      <c r="V385" s="179"/>
      <c r="W385" s="179"/>
      <c r="X385" s="184">
        <f t="shared" si="70"/>
      </c>
    </row>
    <row r="386" ht="12.75" customHeight="1" spans="10:24" x14ac:dyDescent="0.25">
      <c r="J386" s="178">
        <v>43696</v>
      </c>
      <c r="K386" s="179"/>
      <c r="L386" s="179"/>
      <c r="M386" s="179"/>
      <c r="N386" s="180">
        <f t="shared" si="68"/>
      </c>
      <c r="O386" s="181">
        <f t="shared" si="69"/>
      </c>
      <c r="P386" s="182"/>
      <c r="Q386" s="183"/>
      <c r="R386" s="183"/>
      <c r="S386" s="183"/>
      <c r="T386" s="183"/>
      <c r="U386" s="179"/>
      <c r="V386" s="179"/>
      <c r="W386" s="179"/>
      <c r="X386" s="184">
        <f t="shared" si="70"/>
      </c>
    </row>
    <row r="387" ht="12.75" customHeight="1" spans="10:24" x14ac:dyDescent="0.25">
      <c r="J387" s="178">
        <v>43727</v>
      </c>
      <c r="K387" s="179"/>
      <c r="L387" s="179"/>
      <c r="M387" s="179"/>
      <c r="N387" s="180">
        <f t="shared" si="68"/>
      </c>
      <c r="O387" s="181">
        <f t="shared" si="69"/>
      </c>
      <c r="P387" s="182"/>
      <c r="Q387" s="183"/>
      <c r="R387" s="183"/>
      <c r="S387" s="183"/>
      <c r="T387" s="183"/>
      <c r="U387" s="179"/>
      <c r="V387" s="179"/>
      <c r="W387" s="179"/>
      <c r="X387" s="184">
        <f t="shared" si="70"/>
      </c>
    </row>
    <row r="388" ht="12.75" customHeight="1" spans="10:24" x14ac:dyDescent="0.25">
      <c r="J388" s="178">
        <v>43757</v>
      </c>
      <c r="K388" s="179"/>
      <c r="L388" s="179"/>
      <c r="M388" s="179"/>
      <c r="N388" s="180">
        <f t="shared" si="68"/>
      </c>
      <c r="O388" s="181">
        <f t="shared" si="69"/>
      </c>
      <c r="P388" s="182"/>
      <c r="Q388" s="183"/>
      <c r="R388" s="183"/>
      <c r="S388" s="183"/>
      <c r="T388" s="183"/>
      <c r="U388" s="179"/>
      <c r="V388" s="179"/>
      <c r="W388" s="179"/>
      <c r="X388" s="184">
        <f t="shared" si="70"/>
      </c>
    </row>
    <row r="389" ht="12.75" customHeight="1" spans="10:24" x14ac:dyDescent="0.25">
      <c r="J389" s="178">
        <v>43788</v>
      </c>
      <c r="K389" s="179"/>
      <c r="L389" s="179"/>
      <c r="M389" s="179"/>
      <c r="N389" s="180">
        <f t="shared" si="68"/>
      </c>
      <c r="O389" s="181">
        <f t="shared" si="69"/>
      </c>
      <c r="P389" s="182"/>
      <c r="Q389" s="183"/>
      <c r="R389" s="183"/>
      <c r="S389" s="183"/>
      <c r="T389" s="183"/>
      <c r="U389" s="179"/>
      <c r="V389" s="179"/>
      <c r="W389" s="179"/>
      <c r="X389" s="184">
        <f t="shared" si="70"/>
      </c>
    </row>
    <row r="390" ht="12.75" customHeight="1" spans="10:24" x14ac:dyDescent="0.25">
      <c r="J390" s="178">
        <v>43818</v>
      </c>
      <c r="K390" s="179"/>
      <c r="L390" s="179"/>
      <c r="M390" s="179"/>
      <c r="N390" s="180">
        <f t="shared" si="68"/>
      </c>
      <c r="O390" s="181">
        <f t="shared" si="69"/>
      </c>
      <c r="P390" s="182"/>
      <c r="Q390" s="183"/>
      <c r="R390" s="183"/>
      <c r="S390" s="183"/>
      <c r="T390" s="183"/>
      <c r="U390" s="179"/>
      <c r="V390" s="179"/>
      <c r="W390" s="179"/>
      <c r="X390" s="184">
        <f t="shared" si="70"/>
      </c>
    </row>
    <row r="391" ht="12.75" customHeight="1" spans="10:24" x14ac:dyDescent="0.25">
      <c r="J391" s="178">
        <v>43850</v>
      </c>
      <c r="K391" s="179"/>
      <c r="L391" s="179"/>
      <c r="M391" s="179"/>
      <c r="N391" s="180">
        <f t="shared" si="68"/>
      </c>
      <c r="O391" s="181">
        <f t="shared" si="69"/>
      </c>
      <c r="P391" s="182"/>
      <c r="Q391" s="183"/>
      <c r="R391" s="183"/>
      <c r="S391" s="183"/>
      <c r="T391" s="183"/>
      <c r="U391" s="179"/>
      <c r="V391" s="179"/>
      <c r="W391" s="179"/>
      <c r="X391" s="184">
        <f t="shared" si="70"/>
      </c>
    </row>
    <row r="392" ht="12.75" customHeight="1" spans="10:24" x14ac:dyDescent="0.25">
      <c r="J392" s="178">
        <v>43881</v>
      </c>
      <c r="K392" s="179"/>
      <c r="L392" s="179"/>
      <c r="M392" s="179"/>
      <c r="N392" s="180">
        <f t="shared" si="68"/>
      </c>
      <c r="O392" s="181">
        <f t="shared" si="69"/>
      </c>
      <c r="P392" s="182"/>
      <c r="Q392" s="183"/>
      <c r="R392" s="183"/>
      <c r="S392" s="183"/>
      <c r="T392" s="183"/>
      <c r="U392" s="179"/>
      <c r="V392" s="179"/>
      <c r="W392" s="179"/>
      <c r="X392" s="184">
        <f t="shared" si="70"/>
      </c>
    </row>
    <row r="393" ht="12.75" customHeight="1" spans="10:24" x14ac:dyDescent="0.25">
      <c r="J393" s="178">
        <v>43910</v>
      </c>
      <c r="K393" s="179"/>
      <c r="L393" s="179"/>
      <c r="M393" s="179"/>
      <c r="N393" s="180">
        <f t="shared" si="68"/>
      </c>
      <c r="O393" s="181">
        <f t="shared" si="69"/>
      </c>
      <c r="P393" s="182"/>
      <c r="Q393" s="183"/>
      <c r="R393" s="183"/>
      <c r="S393" s="183"/>
      <c r="T393" s="183"/>
      <c r="U393" s="179"/>
      <c r="V393" s="179"/>
      <c r="W393" s="179"/>
      <c r="X393" s="184">
        <f t="shared" si="70"/>
      </c>
    </row>
    <row r="394" ht="12.75" customHeight="1" spans="10:24" x14ac:dyDescent="0.25">
      <c r="J394" s="201" t="s">
        <v>186</v>
      </c>
      <c r="K394" s="202">
        <f t="shared" ref="K394:P394" si="71">IFERROR(AVERAGE(K362:K393),0)</f>
        <v>0</v>
      </c>
      <c r="L394" s="202">
        <f t="shared" si="71"/>
        <v>0</v>
      </c>
      <c r="M394" s="203">
        <f t="shared" si="71"/>
        <v>0</v>
      </c>
      <c r="N394" s="203">
        <f t="shared" si="71"/>
        <v>0</v>
      </c>
      <c r="O394" s="203">
        <f t="shared" si="71"/>
        <v>0</v>
      </c>
      <c r="P394" s="205">
        <f t="shared" si="71"/>
        <v>0</v>
      </c>
      <c r="Q394" s="204">
        <f t="shared" ref="Q394:T394" si="72">SUM(Q362:Q393)</f>
        <v>0</v>
      </c>
      <c r="R394" s="204">
        <f t="shared" si="72"/>
        <v>0</v>
      </c>
      <c r="S394" s="204">
        <f t="shared" si="72"/>
        <v>0</v>
      </c>
      <c r="T394" s="204">
        <f t="shared" si="72"/>
        <v>0</v>
      </c>
      <c r="U394" s="205">
        <f t="shared" ref="U394:X394" si="73">IFERROR(AVERAGE(U362:U393),0)</f>
        <v>0</v>
      </c>
      <c r="V394" s="205">
        <f t="shared" si="73"/>
        <v>0</v>
      </c>
      <c r="W394" s="205">
        <f t="shared" si="73"/>
        <v>0</v>
      </c>
      <c r="X394" s="206">
        <f t="shared" si="73"/>
        <v>0</v>
      </c>
    </row>
    <row r="395" ht="12.75" customHeight="1" spans="10:24" x14ac:dyDescent="0.25">
      <c r="J395" s="209" t="s">
        <v>188</v>
      </c>
      <c r="K395" s="210">
        <f>K394*12</f>
        <v>0</v>
      </c>
      <c r="L395" s="210" t="s">
        <v>189</v>
      </c>
      <c r="M395" s="205" t="str">
        <f>IF(N394=0,"0",100%-N394)</f>
        <v>0</v>
      </c>
      <c r="N395" s="210" t="s">
        <v>190</v>
      </c>
      <c r="O395" s="206">
        <f>M395*O394</f>
        <v>0</v>
      </c>
      <c r="P395" s="211"/>
      <c r="Q395" s="212"/>
      <c r="R395" s="212"/>
      <c r="S395" s="212"/>
      <c r="T395" s="212"/>
      <c r="U395" s="212"/>
      <c r="V395" s="212"/>
      <c r="W395" s="212"/>
      <c r="X395" s="212"/>
    </row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spans="22:24" x14ac:dyDescent="0.25">
      <c r="V402" s="172"/>
      <c r="W402" s="107"/>
      <c r="X402" s="107"/>
    </row>
    <row r="403" ht="12.75" customHeight="1" spans="10:24" x14ac:dyDescent="0.25">
      <c r="J403" s="213" t="s">
        <v>155</v>
      </c>
      <c r="K403" s="213"/>
      <c r="L403" s="158" t="s">
        <v>156</v>
      </c>
      <c r="M403" s="160" t="s">
        <v>157</v>
      </c>
      <c r="N403" s="160" t="s">
        <v>158</v>
      </c>
      <c r="O403" s="160" t="s">
        <v>159</v>
      </c>
      <c r="P403" s="161" t="s">
        <v>160</v>
      </c>
      <c r="Q403" s="161" t="s">
        <v>161</v>
      </c>
      <c r="R403" s="162" t="s">
        <v>162</v>
      </c>
      <c r="S403" s="163"/>
      <c r="T403" s="164" t="s">
        <v>163</v>
      </c>
      <c r="U403" s="163"/>
      <c r="V403" s="172"/>
      <c r="W403" s="107"/>
      <c r="X403" s="107"/>
    </row>
    <row r="404" ht="12.75" customHeight="1" spans="10:24" x14ac:dyDescent="0.25">
      <c r="J404" s="214"/>
      <c r="K404" s="214"/>
      <c r="L404" s="167"/>
      <c r="M404" s="168"/>
      <c r="N404" s="168"/>
      <c r="O404" s="169">
        <f>IFERROR(IF(OR((R404=""),(N404=""),(M404="")),"",DAYS(N404,M404))+1,"")</f>
        <v>1</v>
      </c>
      <c r="P404" s="170"/>
      <c r="Q404" s="170"/>
      <c r="R404" s="217"/>
      <c r="S404" s="166"/>
      <c r="T404" s="217"/>
      <c r="U404" s="166"/>
      <c r="V404" s="172"/>
      <c r="W404" s="173"/>
      <c r="X404" s="173"/>
    </row>
    <row r="405" ht="12.75" customHeight="1" spans="10:24" x14ac:dyDescent="0.25">
      <c r="J405" s="201" t="s">
        <v>168</v>
      </c>
      <c r="K405" s="202" t="s">
        <v>169</v>
      </c>
      <c r="L405" s="202" t="s">
        <v>170</v>
      </c>
      <c r="M405" s="202" t="s">
        <v>171</v>
      </c>
      <c r="N405" s="202" t="s">
        <v>172</v>
      </c>
      <c r="O405" s="202" t="s">
        <v>173</v>
      </c>
      <c r="P405" s="202" t="s">
        <v>174</v>
      </c>
      <c r="Q405" s="202" t="s">
        <v>175</v>
      </c>
      <c r="R405" s="12" t="s">
        <v>176</v>
      </c>
      <c r="S405" s="12" t="s">
        <v>177</v>
      </c>
      <c r="T405" s="202" t="s">
        <v>178</v>
      </c>
      <c r="U405" s="202" t="s">
        <v>179</v>
      </c>
      <c r="V405" s="175" t="s">
        <v>180</v>
      </c>
      <c r="W405" s="175" t="s">
        <v>181</v>
      </c>
      <c r="X405" s="176" t="s">
        <v>182</v>
      </c>
    </row>
    <row r="406" ht="12.75" customHeight="1" spans="10:24" x14ac:dyDescent="0.25">
      <c r="J406" s="178">
        <v>42964</v>
      </c>
      <c r="K406" s="179"/>
      <c r="L406" s="179"/>
      <c r="M406" s="179"/>
      <c r="N406" s="180">
        <f t="shared" ref="N406:N437" si="74">IF(M406="","",IF(O406&gt;0,M406/O406,""))</f>
      </c>
      <c r="O406" s="181">
        <f t="shared" ref="O406:O437" si="75">IF(M406="","",IF($Q$404="",$P$404,$Q$404))</f>
      </c>
      <c r="P406" s="182"/>
      <c r="Q406" s="183"/>
      <c r="R406" s="183"/>
      <c r="S406" s="183"/>
      <c r="T406" s="183"/>
      <c r="U406" s="179"/>
      <c r="V406" s="179"/>
      <c r="W406" s="179"/>
      <c r="X406" s="184">
        <f t="shared" ref="X406:X437" si="76">IF(K406="","",IF($L$404="OD",O406-SUM(U406:W406)/3,IF($L$404="CC",O406-SUM(U406:W406)/3,SUM(U406:W406)/3)))</f>
      </c>
    </row>
    <row r="407" ht="12.75" customHeight="1" spans="10:24" x14ac:dyDescent="0.25">
      <c r="J407" s="178">
        <v>42995</v>
      </c>
      <c r="K407" s="179"/>
      <c r="L407" s="179"/>
      <c r="M407" s="179"/>
      <c r="N407" s="180">
        <f t="shared" si="74"/>
      </c>
      <c r="O407" s="181">
        <f t="shared" si="75"/>
      </c>
      <c r="P407" s="182"/>
      <c r="Q407" s="183"/>
      <c r="R407" s="183"/>
      <c r="S407" s="183"/>
      <c r="T407" s="183"/>
      <c r="U407" s="179"/>
      <c r="V407" s="179"/>
      <c r="W407" s="179"/>
      <c r="X407" s="184">
        <f t="shared" si="76"/>
      </c>
    </row>
    <row r="408" ht="12.75" customHeight="1" spans="10:24" x14ac:dyDescent="0.25">
      <c r="J408" s="178">
        <v>43025</v>
      </c>
      <c r="K408" s="179"/>
      <c r="L408" s="179"/>
      <c r="M408" s="179"/>
      <c r="N408" s="180">
        <f t="shared" si="74"/>
      </c>
      <c r="O408" s="181">
        <f t="shared" si="75"/>
      </c>
      <c r="P408" s="182"/>
      <c r="Q408" s="183"/>
      <c r="R408" s="183"/>
      <c r="S408" s="183"/>
      <c r="T408" s="183"/>
      <c r="U408" s="179"/>
      <c r="V408" s="179"/>
      <c r="W408" s="179"/>
      <c r="X408" s="184">
        <f t="shared" si="76"/>
      </c>
    </row>
    <row r="409" ht="12.75" customHeight="1" spans="10:24" x14ac:dyDescent="0.25">
      <c r="J409" s="178">
        <v>43056</v>
      </c>
      <c r="K409" s="179"/>
      <c r="L409" s="179"/>
      <c r="M409" s="179"/>
      <c r="N409" s="180">
        <f t="shared" si="74"/>
      </c>
      <c r="O409" s="181">
        <f t="shared" si="75"/>
      </c>
      <c r="P409" s="182"/>
      <c r="Q409" s="183"/>
      <c r="R409" s="183"/>
      <c r="S409" s="183"/>
      <c r="T409" s="183"/>
      <c r="U409" s="179"/>
      <c r="V409" s="179"/>
      <c r="W409" s="179"/>
      <c r="X409" s="184">
        <f t="shared" si="76"/>
      </c>
    </row>
    <row r="410" ht="12.75" customHeight="1" spans="10:24" x14ac:dyDescent="0.25">
      <c r="J410" s="178">
        <v>43086</v>
      </c>
      <c r="K410" s="179"/>
      <c r="L410" s="179"/>
      <c r="M410" s="179"/>
      <c r="N410" s="180">
        <f t="shared" si="74"/>
      </c>
      <c r="O410" s="181">
        <f t="shared" si="75"/>
      </c>
      <c r="P410" s="182"/>
      <c r="Q410" s="183"/>
      <c r="R410" s="183"/>
      <c r="S410" s="183"/>
      <c r="T410" s="183"/>
      <c r="U410" s="179"/>
      <c r="V410" s="179"/>
      <c r="W410" s="179"/>
      <c r="X410" s="184">
        <f t="shared" si="76"/>
      </c>
    </row>
    <row r="411" ht="12.75" customHeight="1" spans="10:24" x14ac:dyDescent="0.25">
      <c r="J411" s="178">
        <v>43118</v>
      </c>
      <c r="K411" s="179"/>
      <c r="L411" s="179"/>
      <c r="M411" s="179"/>
      <c r="N411" s="180">
        <f t="shared" si="74"/>
      </c>
      <c r="O411" s="181">
        <f t="shared" si="75"/>
      </c>
      <c r="P411" s="182"/>
      <c r="Q411" s="183"/>
      <c r="R411" s="183"/>
      <c r="S411" s="183"/>
      <c r="T411" s="183"/>
      <c r="U411" s="179"/>
      <c r="V411" s="179"/>
      <c r="W411" s="179"/>
      <c r="X411" s="184">
        <f t="shared" si="76"/>
      </c>
    </row>
    <row r="412" ht="12.75" customHeight="1" spans="10:24" x14ac:dyDescent="0.25">
      <c r="J412" s="178">
        <v>43149</v>
      </c>
      <c r="K412" s="179"/>
      <c r="L412" s="179"/>
      <c r="M412" s="179"/>
      <c r="N412" s="180">
        <f t="shared" si="74"/>
      </c>
      <c r="O412" s="181">
        <f t="shared" si="75"/>
      </c>
      <c r="P412" s="182"/>
      <c r="Q412" s="183"/>
      <c r="R412" s="183"/>
      <c r="S412" s="183"/>
      <c r="T412" s="183"/>
      <c r="U412" s="179"/>
      <c r="V412" s="179"/>
      <c r="W412" s="179"/>
      <c r="X412" s="184">
        <f t="shared" si="76"/>
      </c>
    </row>
    <row r="413" ht="12.75" customHeight="1" spans="10:24" x14ac:dyDescent="0.25">
      <c r="J413" s="178">
        <v>43177</v>
      </c>
      <c r="K413" s="179"/>
      <c r="L413" s="179"/>
      <c r="M413" s="179"/>
      <c r="N413" s="180">
        <f t="shared" si="74"/>
      </c>
      <c r="O413" s="181">
        <f t="shared" si="75"/>
      </c>
      <c r="P413" s="182"/>
      <c r="Q413" s="183"/>
      <c r="R413" s="183"/>
      <c r="S413" s="183"/>
      <c r="T413" s="183"/>
      <c r="U413" s="179"/>
      <c r="V413" s="179"/>
      <c r="W413" s="179"/>
      <c r="X413" s="184">
        <f t="shared" si="76"/>
      </c>
    </row>
    <row r="414" ht="12.75" customHeight="1" spans="10:24" x14ac:dyDescent="0.25">
      <c r="J414" s="178">
        <v>43208</v>
      </c>
      <c r="K414" s="179"/>
      <c r="L414" s="179"/>
      <c r="M414" s="179"/>
      <c r="N414" s="180">
        <f t="shared" si="74"/>
      </c>
      <c r="O414" s="181">
        <f t="shared" si="75"/>
      </c>
      <c r="P414" s="182"/>
      <c r="Q414" s="183"/>
      <c r="R414" s="183"/>
      <c r="S414" s="183"/>
      <c r="T414" s="183"/>
      <c r="U414" s="179"/>
      <c r="V414" s="179"/>
      <c r="W414" s="179"/>
      <c r="X414" s="184">
        <f t="shared" si="76"/>
      </c>
    </row>
    <row r="415" ht="12.75" customHeight="1" spans="10:24" x14ac:dyDescent="0.25">
      <c r="J415" s="178">
        <v>43238</v>
      </c>
      <c r="K415" s="179"/>
      <c r="L415" s="179"/>
      <c r="M415" s="179"/>
      <c r="N415" s="180">
        <f t="shared" si="74"/>
      </c>
      <c r="O415" s="181">
        <f t="shared" si="75"/>
      </c>
      <c r="P415" s="182"/>
      <c r="Q415" s="183"/>
      <c r="R415" s="183"/>
      <c r="S415" s="183"/>
      <c r="T415" s="183"/>
      <c r="U415" s="179"/>
      <c r="V415" s="179"/>
      <c r="W415" s="179"/>
      <c r="X415" s="184">
        <f t="shared" si="76"/>
      </c>
    </row>
    <row r="416" ht="12.75" customHeight="1" spans="10:24" x14ac:dyDescent="0.25">
      <c r="J416" s="178">
        <v>43269</v>
      </c>
      <c r="K416" s="179"/>
      <c r="L416" s="179"/>
      <c r="M416" s="179"/>
      <c r="N416" s="180">
        <f t="shared" si="74"/>
      </c>
      <c r="O416" s="181">
        <f t="shared" si="75"/>
      </c>
      <c r="P416" s="182"/>
      <c r="Q416" s="183"/>
      <c r="R416" s="183"/>
      <c r="S416" s="183"/>
      <c r="T416" s="183"/>
      <c r="U416" s="179"/>
      <c r="V416" s="179"/>
      <c r="W416" s="179"/>
      <c r="X416" s="184">
        <f t="shared" si="76"/>
      </c>
    </row>
    <row r="417" ht="12.75" customHeight="1" spans="10:24" x14ac:dyDescent="0.25">
      <c r="J417" s="178">
        <v>43299</v>
      </c>
      <c r="K417" s="179"/>
      <c r="L417" s="179"/>
      <c r="M417" s="179"/>
      <c r="N417" s="180">
        <f t="shared" si="74"/>
      </c>
      <c r="O417" s="181">
        <f t="shared" si="75"/>
      </c>
      <c r="P417" s="182"/>
      <c r="Q417" s="183"/>
      <c r="R417" s="183"/>
      <c r="S417" s="183"/>
      <c r="T417" s="183"/>
      <c r="U417" s="179"/>
      <c r="V417" s="179"/>
      <c r="W417" s="179"/>
      <c r="X417" s="184">
        <f t="shared" si="76"/>
      </c>
    </row>
    <row r="418" ht="12.75" customHeight="1" spans="10:24" x14ac:dyDescent="0.25">
      <c r="J418" s="178">
        <v>43330</v>
      </c>
      <c r="K418" s="179"/>
      <c r="L418" s="179"/>
      <c r="M418" s="179"/>
      <c r="N418" s="180">
        <f t="shared" si="74"/>
      </c>
      <c r="O418" s="181">
        <f t="shared" si="75"/>
      </c>
      <c r="P418" s="182"/>
      <c r="Q418" s="183"/>
      <c r="R418" s="183"/>
      <c r="S418" s="183"/>
      <c r="T418" s="183"/>
      <c r="U418" s="179"/>
      <c r="V418" s="179"/>
      <c r="W418" s="179"/>
      <c r="X418" s="184">
        <f t="shared" si="76"/>
      </c>
    </row>
    <row r="419" ht="12.75" customHeight="1" spans="10:24" x14ac:dyDescent="0.25">
      <c r="J419" s="178">
        <v>43361</v>
      </c>
      <c r="K419" s="179"/>
      <c r="L419" s="179"/>
      <c r="M419" s="179"/>
      <c r="N419" s="180">
        <f t="shared" si="74"/>
      </c>
      <c r="O419" s="181">
        <f t="shared" si="75"/>
      </c>
      <c r="P419" s="182"/>
      <c r="Q419" s="183"/>
      <c r="R419" s="183"/>
      <c r="S419" s="183"/>
      <c r="T419" s="183"/>
      <c r="U419" s="179"/>
      <c r="V419" s="179"/>
      <c r="W419" s="179"/>
      <c r="X419" s="184">
        <f t="shared" si="76"/>
      </c>
    </row>
    <row r="420" ht="12.75" customHeight="1" spans="10:24" x14ac:dyDescent="0.25">
      <c r="J420" s="178">
        <v>43391</v>
      </c>
      <c r="K420" s="179"/>
      <c r="L420" s="179"/>
      <c r="M420" s="179"/>
      <c r="N420" s="180">
        <f t="shared" si="74"/>
      </c>
      <c r="O420" s="181">
        <f t="shared" si="75"/>
      </c>
      <c r="P420" s="182"/>
      <c r="Q420" s="183"/>
      <c r="R420" s="183"/>
      <c r="S420" s="183"/>
      <c r="T420" s="183"/>
      <c r="U420" s="179"/>
      <c r="V420" s="179"/>
      <c r="W420" s="179"/>
      <c r="X420" s="184">
        <f t="shared" si="76"/>
      </c>
    </row>
    <row r="421" ht="12.75" customHeight="1" spans="10:24" x14ac:dyDescent="0.25">
      <c r="J421" s="178">
        <v>43422</v>
      </c>
      <c r="K421" s="179"/>
      <c r="L421" s="179"/>
      <c r="M421" s="179"/>
      <c r="N421" s="180">
        <f t="shared" si="74"/>
      </c>
      <c r="O421" s="181">
        <f t="shared" si="75"/>
      </c>
      <c r="P421" s="182"/>
      <c r="Q421" s="183"/>
      <c r="R421" s="183"/>
      <c r="S421" s="183"/>
      <c r="T421" s="183"/>
      <c r="U421" s="179"/>
      <c r="V421" s="179"/>
      <c r="W421" s="179"/>
      <c r="X421" s="184">
        <f t="shared" si="76"/>
      </c>
    </row>
    <row r="422" ht="12.75" customHeight="1" spans="10:24" x14ac:dyDescent="0.25">
      <c r="J422" s="178">
        <v>43452</v>
      </c>
      <c r="K422" s="179"/>
      <c r="L422" s="179"/>
      <c r="M422" s="179"/>
      <c r="N422" s="180">
        <f t="shared" si="74"/>
      </c>
      <c r="O422" s="181">
        <f t="shared" si="75"/>
      </c>
      <c r="P422" s="182"/>
      <c r="Q422" s="183"/>
      <c r="R422" s="183"/>
      <c r="S422" s="183"/>
      <c r="T422" s="183"/>
      <c r="U422" s="179"/>
      <c r="V422" s="179"/>
      <c r="W422" s="179"/>
      <c r="X422" s="184">
        <f t="shared" si="76"/>
      </c>
    </row>
    <row r="423" ht="12.75" customHeight="1" spans="10:24" x14ac:dyDescent="0.25">
      <c r="J423" s="178">
        <v>43484</v>
      </c>
      <c r="K423" s="179"/>
      <c r="L423" s="179"/>
      <c r="M423" s="179"/>
      <c r="N423" s="180">
        <f t="shared" si="74"/>
      </c>
      <c r="O423" s="181">
        <f t="shared" si="75"/>
      </c>
      <c r="P423" s="182"/>
      <c r="Q423" s="183"/>
      <c r="R423" s="183"/>
      <c r="S423" s="183"/>
      <c r="T423" s="183"/>
      <c r="U423" s="179"/>
      <c r="V423" s="179"/>
      <c r="W423" s="179"/>
      <c r="X423" s="184">
        <f t="shared" si="76"/>
      </c>
    </row>
    <row r="424" ht="12.75" customHeight="1" spans="10:24" x14ac:dyDescent="0.25">
      <c r="J424" s="178">
        <v>43515</v>
      </c>
      <c r="K424" s="179"/>
      <c r="L424" s="179"/>
      <c r="M424" s="179"/>
      <c r="N424" s="180">
        <f t="shared" si="74"/>
      </c>
      <c r="O424" s="181">
        <f t="shared" si="75"/>
      </c>
      <c r="P424" s="182"/>
      <c r="Q424" s="183"/>
      <c r="R424" s="183"/>
      <c r="S424" s="183"/>
      <c r="T424" s="183"/>
      <c r="U424" s="179"/>
      <c r="V424" s="179"/>
      <c r="W424" s="179"/>
      <c r="X424" s="184">
        <f t="shared" si="76"/>
      </c>
    </row>
    <row r="425" ht="12.75" customHeight="1" spans="10:24" x14ac:dyDescent="0.25">
      <c r="J425" s="178">
        <v>43543</v>
      </c>
      <c r="K425" s="179"/>
      <c r="L425" s="179"/>
      <c r="M425" s="179"/>
      <c r="N425" s="180">
        <f t="shared" si="74"/>
      </c>
      <c r="O425" s="181">
        <f t="shared" si="75"/>
      </c>
      <c r="P425" s="182"/>
      <c r="Q425" s="183"/>
      <c r="R425" s="183"/>
      <c r="S425" s="183"/>
      <c r="T425" s="183"/>
      <c r="U425" s="179"/>
      <c r="V425" s="179"/>
      <c r="W425" s="179"/>
      <c r="X425" s="184">
        <f t="shared" si="76"/>
      </c>
    </row>
    <row r="426" ht="12.75" customHeight="1" spans="10:24" x14ac:dyDescent="0.25">
      <c r="J426" s="178">
        <v>43574</v>
      </c>
      <c r="K426" s="179"/>
      <c r="L426" s="179"/>
      <c r="M426" s="179"/>
      <c r="N426" s="180">
        <f t="shared" si="74"/>
      </c>
      <c r="O426" s="181">
        <f t="shared" si="75"/>
      </c>
      <c r="P426" s="182"/>
      <c r="Q426" s="183"/>
      <c r="R426" s="183"/>
      <c r="S426" s="183"/>
      <c r="T426" s="183"/>
      <c r="U426" s="179"/>
      <c r="V426" s="179"/>
      <c r="W426" s="179"/>
      <c r="X426" s="184">
        <f t="shared" si="76"/>
      </c>
    </row>
    <row r="427" ht="12.75" customHeight="1" spans="10:24" x14ac:dyDescent="0.25">
      <c r="J427" s="178">
        <v>43604</v>
      </c>
      <c r="K427" s="179"/>
      <c r="L427" s="179"/>
      <c r="M427" s="179"/>
      <c r="N427" s="180">
        <f t="shared" si="74"/>
      </c>
      <c r="O427" s="181">
        <f t="shared" si="75"/>
      </c>
      <c r="P427" s="182"/>
      <c r="Q427" s="183"/>
      <c r="R427" s="183"/>
      <c r="S427" s="183"/>
      <c r="T427" s="183"/>
      <c r="U427" s="179"/>
      <c r="V427" s="179"/>
      <c r="W427" s="179"/>
      <c r="X427" s="184">
        <f t="shared" si="76"/>
      </c>
    </row>
    <row r="428" ht="12.75" customHeight="1" spans="10:24" x14ac:dyDescent="0.25">
      <c r="J428" s="178">
        <v>43635</v>
      </c>
      <c r="K428" s="179"/>
      <c r="L428" s="179"/>
      <c r="M428" s="179"/>
      <c r="N428" s="180">
        <f t="shared" si="74"/>
      </c>
      <c r="O428" s="181">
        <f t="shared" si="75"/>
      </c>
      <c r="P428" s="182"/>
      <c r="Q428" s="183"/>
      <c r="R428" s="183"/>
      <c r="S428" s="183"/>
      <c r="T428" s="183"/>
      <c r="U428" s="179"/>
      <c r="V428" s="179"/>
      <c r="W428" s="179"/>
      <c r="X428" s="184">
        <f t="shared" si="76"/>
      </c>
    </row>
    <row r="429" ht="12.75" customHeight="1" spans="10:24" x14ac:dyDescent="0.25">
      <c r="J429" s="178">
        <v>43665</v>
      </c>
      <c r="K429" s="179"/>
      <c r="L429" s="179"/>
      <c r="M429" s="179"/>
      <c r="N429" s="180">
        <f t="shared" si="74"/>
      </c>
      <c r="O429" s="181">
        <f t="shared" si="75"/>
      </c>
      <c r="P429" s="182"/>
      <c r="Q429" s="183"/>
      <c r="R429" s="183"/>
      <c r="S429" s="183"/>
      <c r="T429" s="183"/>
      <c r="U429" s="179"/>
      <c r="V429" s="179"/>
      <c r="W429" s="179"/>
      <c r="X429" s="184">
        <f t="shared" si="76"/>
      </c>
    </row>
    <row r="430" ht="12.75" customHeight="1" spans="10:24" x14ac:dyDescent="0.25">
      <c r="J430" s="178">
        <v>43696</v>
      </c>
      <c r="K430" s="179"/>
      <c r="L430" s="179"/>
      <c r="M430" s="179"/>
      <c r="N430" s="180">
        <f t="shared" si="74"/>
      </c>
      <c r="O430" s="181">
        <f t="shared" si="75"/>
      </c>
      <c r="P430" s="182"/>
      <c r="Q430" s="183"/>
      <c r="R430" s="183"/>
      <c r="S430" s="183"/>
      <c r="T430" s="183"/>
      <c r="U430" s="179"/>
      <c r="V430" s="179"/>
      <c r="W430" s="179"/>
      <c r="X430" s="184">
        <f t="shared" si="76"/>
      </c>
    </row>
    <row r="431" ht="12.75" customHeight="1" spans="10:24" x14ac:dyDescent="0.25">
      <c r="J431" s="178">
        <v>43727</v>
      </c>
      <c r="K431" s="179"/>
      <c r="L431" s="179"/>
      <c r="M431" s="179"/>
      <c r="N431" s="180">
        <f t="shared" si="74"/>
      </c>
      <c r="O431" s="181">
        <f t="shared" si="75"/>
      </c>
      <c r="P431" s="182"/>
      <c r="Q431" s="183"/>
      <c r="R431" s="183"/>
      <c r="S431" s="183"/>
      <c r="T431" s="183"/>
      <c r="U431" s="179"/>
      <c r="V431" s="179"/>
      <c r="W431" s="179"/>
      <c r="X431" s="184">
        <f t="shared" si="76"/>
      </c>
    </row>
    <row r="432" ht="12.75" customHeight="1" spans="10:24" x14ac:dyDescent="0.25">
      <c r="J432" s="178">
        <v>43757</v>
      </c>
      <c r="K432" s="179"/>
      <c r="L432" s="179"/>
      <c r="M432" s="179"/>
      <c r="N432" s="180">
        <f t="shared" si="74"/>
      </c>
      <c r="O432" s="181">
        <f t="shared" si="75"/>
      </c>
      <c r="P432" s="182"/>
      <c r="Q432" s="183"/>
      <c r="R432" s="183"/>
      <c r="S432" s="183"/>
      <c r="T432" s="183"/>
      <c r="U432" s="179"/>
      <c r="V432" s="179"/>
      <c r="W432" s="179"/>
      <c r="X432" s="184">
        <f t="shared" si="76"/>
      </c>
    </row>
    <row r="433" ht="12.75" customHeight="1" spans="10:24" x14ac:dyDescent="0.25">
      <c r="J433" s="178">
        <v>43788</v>
      </c>
      <c r="K433" s="179"/>
      <c r="L433" s="179"/>
      <c r="M433" s="179"/>
      <c r="N433" s="180">
        <f t="shared" si="74"/>
      </c>
      <c r="O433" s="181">
        <f t="shared" si="75"/>
      </c>
      <c r="P433" s="182"/>
      <c r="Q433" s="183"/>
      <c r="R433" s="183"/>
      <c r="S433" s="183"/>
      <c r="T433" s="183"/>
      <c r="U433" s="179"/>
      <c r="V433" s="179"/>
      <c r="W433" s="179"/>
      <c r="X433" s="184">
        <f t="shared" si="76"/>
      </c>
    </row>
    <row r="434" ht="12.75" customHeight="1" spans="10:24" x14ac:dyDescent="0.25">
      <c r="J434" s="178">
        <v>43818</v>
      </c>
      <c r="K434" s="179"/>
      <c r="L434" s="179"/>
      <c r="M434" s="179"/>
      <c r="N434" s="180">
        <f t="shared" si="74"/>
      </c>
      <c r="O434" s="181">
        <f t="shared" si="75"/>
      </c>
      <c r="P434" s="182"/>
      <c r="Q434" s="183"/>
      <c r="R434" s="183"/>
      <c r="S434" s="183"/>
      <c r="T434" s="183"/>
      <c r="U434" s="179"/>
      <c r="V434" s="179"/>
      <c r="W434" s="179"/>
      <c r="X434" s="184">
        <f t="shared" si="76"/>
      </c>
    </row>
    <row r="435" ht="12.75" customHeight="1" spans="10:24" x14ac:dyDescent="0.25">
      <c r="J435" s="178">
        <v>43850</v>
      </c>
      <c r="K435" s="179"/>
      <c r="L435" s="179"/>
      <c r="M435" s="179"/>
      <c r="N435" s="180">
        <f t="shared" si="74"/>
      </c>
      <c r="O435" s="181">
        <f t="shared" si="75"/>
      </c>
      <c r="P435" s="182"/>
      <c r="Q435" s="183"/>
      <c r="R435" s="183"/>
      <c r="S435" s="183"/>
      <c r="T435" s="183"/>
      <c r="U435" s="179"/>
      <c r="V435" s="179"/>
      <c r="W435" s="179"/>
      <c r="X435" s="184">
        <f t="shared" si="76"/>
      </c>
    </row>
    <row r="436" ht="12.75" customHeight="1" spans="10:24" x14ac:dyDescent="0.25">
      <c r="J436" s="178">
        <v>43881</v>
      </c>
      <c r="K436" s="179"/>
      <c r="L436" s="179"/>
      <c r="M436" s="179"/>
      <c r="N436" s="180">
        <f t="shared" si="74"/>
      </c>
      <c r="O436" s="181">
        <f t="shared" si="75"/>
      </c>
      <c r="P436" s="182"/>
      <c r="Q436" s="183"/>
      <c r="R436" s="183"/>
      <c r="S436" s="183"/>
      <c r="T436" s="183"/>
      <c r="U436" s="179"/>
      <c r="V436" s="179"/>
      <c r="W436" s="179"/>
      <c r="X436" s="184">
        <f t="shared" si="76"/>
      </c>
    </row>
    <row r="437" ht="12.75" customHeight="1" spans="10:24" x14ac:dyDescent="0.25">
      <c r="J437" s="178">
        <v>43910</v>
      </c>
      <c r="K437" s="179"/>
      <c r="L437" s="179"/>
      <c r="M437" s="179"/>
      <c r="N437" s="180">
        <f t="shared" si="74"/>
      </c>
      <c r="O437" s="181">
        <f t="shared" si="75"/>
      </c>
      <c r="P437" s="182"/>
      <c r="Q437" s="183"/>
      <c r="R437" s="183"/>
      <c r="S437" s="183"/>
      <c r="T437" s="183"/>
      <c r="U437" s="179"/>
      <c r="V437" s="179"/>
      <c r="W437" s="179"/>
      <c r="X437" s="184">
        <f t="shared" si="76"/>
      </c>
    </row>
    <row r="438" ht="12.75" customHeight="1" spans="10:24" x14ac:dyDescent="0.25">
      <c r="J438" s="201" t="s">
        <v>186</v>
      </c>
      <c r="K438" s="202">
        <f t="shared" ref="K438:P438" si="77">IFERROR(AVERAGE(K406:K437),0)</f>
        <v>0</v>
      </c>
      <c r="L438" s="202">
        <f t="shared" si="77"/>
        <v>0</v>
      </c>
      <c r="M438" s="203">
        <f t="shared" si="77"/>
        <v>0</v>
      </c>
      <c r="N438" s="203">
        <f t="shared" si="77"/>
        <v>0</v>
      </c>
      <c r="O438" s="203">
        <f t="shared" si="77"/>
        <v>0</v>
      </c>
      <c r="P438" s="205">
        <f t="shared" si="77"/>
        <v>0</v>
      </c>
      <c r="Q438" s="204">
        <f t="shared" ref="Q438:T438" si="78">SUM(Q406:Q437)</f>
        <v>0</v>
      </c>
      <c r="R438" s="204">
        <f t="shared" si="78"/>
        <v>0</v>
      </c>
      <c r="S438" s="204">
        <f t="shared" si="78"/>
        <v>0</v>
      </c>
      <c r="T438" s="204">
        <f t="shared" si="78"/>
        <v>0</v>
      </c>
      <c r="U438" s="205">
        <f t="shared" ref="U438:X438" si="79">IFERROR(AVERAGE(U406:U437),0)</f>
        <v>0</v>
      </c>
      <c r="V438" s="205">
        <f t="shared" si="79"/>
        <v>0</v>
      </c>
      <c r="W438" s="205">
        <f t="shared" si="79"/>
        <v>0</v>
      </c>
      <c r="X438" s="206">
        <f t="shared" si="79"/>
        <v>0</v>
      </c>
    </row>
    <row r="439" ht="12.75" customHeight="1" spans="10:24" x14ac:dyDescent="0.25">
      <c r="J439" s="209" t="s">
        <v>188</v>
      </c>
      <c r="K439" s="210">
        <f>K438*12</f>
        <v>0</v>
      </c>
      <c r="L439" s="210" t="s">
        <v>189</v>
      </c>
      <c r="M439" s="205" t="str">
        <f>IF(N438=0,"0",100%-N438)</f>
        <v>0</v>
      </c>
      <c r="N439" s="210" t="s">
        <v>190</v>
      </c>
      <c r="O439" s="206">
        <f>M439*O438</f>
        <v>0</v>
      </c>
      <c r="P439" s="211"/>
      <c r="Q439" s="212"/>
      <c r="R439" s="212"/>
      <c r="S439" s="212"/>
      <c r="T439" s="212"/>
      <c r="U439" s="212"/>
      <c r="V439" s="212"/>
      <c r="W439" s="212"/>
      <c r="X439" s="212"/>
    </row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</sheetData>
  <mergeCells count="3">
    <mergeCell ref="B2:H2"/>
    <mergeCell ref="AJ2:AT2"/>
    <mergeCell ref="AF42:AG42"/>
  </mergeCells>
  <dataValidations count="1">
    <dataValidation type="list" allowBlank="1" showErrorMessage="1" sqref="L8 L52 L96 L140 L184 L228 L272 L316 L360 L404">
      <formula1>"OD,CC,Current"</formula1>
    </dataValidation>
  </dataValidation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39"/>
  <sheetViews>
    <sheetView workbookViewId="0" zoomScale="100" zoomScaleNormal="100"/>
  </sheetViews>
  <sheetFormatPr defaultRowHeight="15" outlineLevelRow="0" outlineLevelCol="0" x14ac:dyDescent="0"/>
  <cols>
    <col min="1" max="1" width="2.86" customWidth="1"/>
    <col min="2" max="2" width="40.86" customWidth="1"/>
    <col min="3" max="3" width="19.43" customWidth="1"/>
    <col min="4" max="4" width="10.43" customWidth="1"/>
    <col min="5" max="5" width="12" customWidth="1"/>
    <col min="6" max="6" width="13.43" customWidth="1"/>
    <col min="7" max="7" width="13.29" customWidth="1"/>
    <col min="8" max="8" width="14.43" customWidth="1"/>
    <col min="9" max="9" width="12.43" customWidth="1"/>
    <col min="10" max="10" width="14.14" customWidth="1"/>
    <col min="11" max="11" width="13.71" customWidth="1"/>
    <col min="12" max="12" width="12.43" customWidth="1"/>
    <col min="13" max="14" width="17.29" customWidth="1"/>
    <col min="15" max="16" width="10.43" customWidth="1"/>
    <col min="17" max="17" width="12.71" customWidth="1"/>
    <col min="18" max="18" width="16.29" customWidth="1"/>
    <col min="19" max="19" width="14.71" customWidth="1"/>
    <col min="20" max="20" width="17.14" customWidth="1"/>
    <col min="21" max="22" width="13.14" customWidth="1"/>
    <col min="23" max="23" width="13.71" customWidth="1"/>
    <col min="24" max="25" width="13.14" customWidth="1"/>
    <col min="26" max="26" width="15.29" customWidth="1"/>
    <col min="27" max="56" width="9.14" customWidth="1"/>
  </cols>
  <sheetData>
    <row r="1" ht="12.75" customHeight="1" spans="1:106" x14ac:dyDescent="0.25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 s="218"/>
      <c r="DB1" t="s">
        <v>195</v>
      </c>
    </row>
    <row r="2" ht="12.75" customHeight="1" spans="1:106" x14ac:dyDescent="0.25">
      <c r="A2" s="218"/>
      <c r="B2" s="219" t="s">
        <v>196</v>
      </c>
      <c r="C2" s="219"/>
      <c r="D2" s="220">
        <f>+'FINANCIAL SHEET'!E3</f>
        <v>43190</v>
      </c>
      <c r="E2" s="218"/>
      <c r="F2" s="221" t="s">
        <v>197</v>
      </c>
      <c r="G2" s="222">
        <v>1</v>
      </c>
      <c r="H2" s="223"/>
      <c r="I2" s="224" t="s">
        <v>141</v>
      </c>
      <c r="J2" s="224"/>
      <c r="K2" s="225" t="s">
        <v>198</v>
      </c>
      <c r="L2" s="226" t="s">
        <v>199</v>
      </c>
      <c r="M2" s="227" t="s">
        <v>200</v>
      </c>
      <c r="N2" s="218"/>
      <c r="O2" s="228"/>
      <c r="P2" s="218"/>
      <c r="Q2" s="229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8"/>
      <c r="AZ2" s="218"/>
      <c r="BA2" s="218"/>
      <c r="BB2" s="218"/>
      <c r="BC2" s="218"/>
      <c r="BD2" s="218"/>
      <c r="DB2" t="s">
        <v>201</v>
      </c>
    </row>
    <row r="3" ht="12.75" customHeight="1" spans="1:106" x14ac:dyDescent="0.25">
      <c r="A3" s="218"/>
      <c r="B3" s="218"/>
      <c r="C3" s="218"/>
      <c r="D3" s="218"/>
      <c r="F3" s="221"/>
      <c r="G3" s="230"/>
      <c r="H3" s="218"/>
      <c r="I3" s="231" t="s">
        <v>202</v>
      </c>
      <c r="J3" s="231"/>
      <c r="K3" s="232">
        <f>SUMIFS(H9:H29,D9:D29,"BSL",E9:E29,"Live")</f>
        <v>0</v>
      </c>
      <c r="L3" s="233">
        <f>SUMIFS(G9:G29,D9:D29,"BSL",E9:E29,"Live")</f>
        <v>0</v>
      </c>
      <c r="M3" s="234">
        <f>SUMIFS(M9:M29,D9:D29,"BSL",E9:E29,"Live")</f>
        <v>0</v>
      </c>
      <c r="N3" s="218"/>
      <c r="O3" s="235"/>
      <c r="P3" s="218"/>
      <c r="Q3" s="218"/>
      <c r="R3" s="218"/>
      <c r="S3" s="218"/>
      <c r="T3" s="218"/>
      <c r="U3" s="218"/>
      <c r="V3" s="218"/>
      <c r="W3" s="218"/>
      <c r="X3" s="218"/>
      <c r="Y3" s="235"/>
      <c r="Z3" s="235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DB3" t="s">
        <v>203</v>
      </c>
    </row>
    <row r="4" ht="12.75" customHeight="1" spans="1:106" x14ac:dyDescent="0.25">
      <c r="A4" s="218"/>
      <c r="B4" s="219" t="s">
        <v>204</v>
      </c>
      <c r="C4" s="219"/>
      <c r="D4" s="220">
        <v>43191</v>
      </c>
      <c r="E4" s="218"/>
      <c r="F4" s="221"/>
      <c r="G4" s="230"/>
      <c r="H4" s="236"/>
      <c r="I4" s="237" t="s">
        <v>205</v>
      </c>
      <c r="J4" s="237"/>
      <c r="K4" s="238">
        <f>SUMIFS(H9:H29,D9:D29,"PBSL",E9:E29,"Live")</f>
        <v>10000</v>
      </c>
      <c r="L4" s="239">
        <f>SUMIFS(G9:G29,D9:D29,"PBSL",E9:E29,"Live")</f>
        <v>7.563714522</v>
      </c>
      <c r="M4" s="240">
        <f>SUMIFS(M9:M29,D9:D29,"PBSL",E9:E29,"Live")</f>
        <v>110000</v>
      </c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DB4" t="s">
        <v>206</v>
      </c>
    </row>
    <row r="5" ht="12.75" customHeight="1" spans="1:106" x14ac:dyDescent="0.25">
      <c r="A5" s="218"/>
      <c r="B5" s="219" t="s">
        <v>207</v>
      </c>
      <c r="C5" s="219"/>
      <c r="D5" s="241" t="s">
        <v>208</v>
      </c>
      <c r="F5" s="221"/>
      <c r="G5" s="170"/>
      <c r="I5" s="237" t="s">
        <v>209</v>
      </c>
      <c r="J5" s="237"/>
      <c r="K5" s="242">
        <f>SUMIF(E9:E29,"Live",H9:H29)-K6</f>
        <v>10000</v>
      </c>
      <c r="L5" s="243">
        <f>SUMIF(E9:E29,"Live",G9:G29)-L6</f>
        <v>7.563714522</v>
      </c>
      <c r="M5" s="240">
        <f>SUMIF(E9:E29,"Live",M9:M29)-M6</f>
        <v>110000</v>
      </c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DB5" t="s">
        <v>210</v>
      </c>
    </row>
    <row r="6" ht="12.75" customHeight="1" spans="1:106" x14ac:dyDescent="0.25">
      <c r="A6" s="218"/>
      <c r="C6" s="223"/>
      <c r="D6" s="223"/>
      <c r="E6" s="223"/>
      <c r="F6" s="223"/>
      <c r="G6" s="223"/>
      <c r="H6" s="223"/>
      <c r="I6" s="244" t="s">
        <v>211</v>
      </c>
      <c r="J6" s="244"/>
      <c r="K6" s="245">
        <f>SUMIFS(H9:H29,C9:C29,"BL",E9:E29,"Live")+SUMIFS(H9:H29,C9:C29,"PL",E9:E29,"Live")+SUMIFS(H9:H29,C9:C29,"Other Unsecured",E9:E29,"Live")</f>
        <v>0</v>
      </c>
      <c r="L6" s="246">
        <f>SUMIFS(G9:G29,C9:C29,"BL",E9:E29,"Live")+SUMIFS(G9:G29,C9:C29,"PL",E9:E29,"Live")+SUMIFS(G9:G29,C9:C29,"Other Unsecured",E9:E29,"Live")</f>
        <v>0</v>
      </c>
      <c r="M6" s="247">
        <f>SUMIFS(M9:M29,C9:C29,"BL",E9:E29,"Live")+SUMIFS(G9:G29,C9:C29,"PL",E9:E29,"Live")+SUMIFS(G9:G29,C9:C29,"Other Unsecured",E9:E29,"Live")</f>
        <v>0</v>
      </c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DB6" t="s">
        <v>212</v>
      </c>
    </row>
    <row r="7" ht="12.75" customHeight="1" spans="1:106" x14ac:dyDescent="0.25">
      <c r="A7" s="218"/>
      <c r="B7" s="248" t="s">
        <v>213</v>
      </c>
      <c r="C7" s="223"/>
      <c r="D7" s="223"/>
      <c r="E7" s="223"/>
      <c r="F7" s="223"/>
      <c r="G7" s="223"/>
      <c r="H7" s="223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DB7" t="s">
        <v>214</v>
      </c>
    </row>
    <row r="8" ht="12.75" customHeight="1" spans="1:106" x14ac:dyDescent="0.25">
      <c r="A8" s="218"/>
      <c r="B8" s="249" t="s">
        <v>215</v>
      </c>
      <c r="C8" s="250" t="s">
        <v>216</v>
      </c>
      <c r="D8" s="250" t="s">
        <v>217</v>
      </c>
      <c r="E8" s="250" t="s">
        <v>218</v>
      </c>
      <c r="F8" s="250" t="s">
        <v>219</v>
      </c>
      <c r="G8" s="250" t="s">
        <v>220</v>
      </c>
      <c r="H8" s="251" t="s">
        <v>221</v>
      </c>
      <c r="I8" s="250" t="s">
        <v>222</v>
      </c>
      <c r="J8" s="251" t="s">
        <v>223</v>
      </c>
      <c r="K8" s="250" t="s">
        <v>224</v>
      </c>
      <c r="L8" s="250" t="s">
        <v>225</v>
      </c>
      <c r="M8" s="252" t="s">
        <v>200</v>
      </c>
      <c r="N8" s="253" t="s">
        <v>226</v>
      </c>
      <c r="O8" s="254">
        <f>D4</f>
        <v>43191</v>
      </c>
      <c r="P8" s="255">
        <f t="shared" ref="P8:BD8" si="0">DATE(YEAR(O8),MONTH(O8)+1,1)</f>
        <v>43221</v>
      </c>
      <c r="Q8" s="255">
        <f t="shared" si="0"/>
        <v>43252</v>
      </c>
      <c r="R8" s="255">
        <f t="shared" si="0"/>
        <v>43282</v>
      </c>
      <c r="S8" s="255">
        <f t="shared" si="0"/>
        <v>43313</v>
      </c>
      <c r="T8" s="255">
        <f t="shared" si="0"/>
        <v>43344</v>
      </c>
      <c r="U8" s="255">
        <f t="shared" si="0"/>
        <v>43374</v>
      </c>
      <c r="V8" s="255">
        <f t="shared" si="0"/>
        <v>43405</v>
      </c>
      <c r="W8" s="255">
        <f t="shared" si="0"/>
        <v>43435</v>
      </c>
      <c r="X8" s="255">
        <f t="shared" si="0"/>
        <v>43466</v>
      </c>
      <c r="Y8" s="255">
        <f t="shared" si="0"/>
        <v>43497</v>
      </c>
      <c r="Z8" s="256">
        <f t="shared" si="0"/>
        <v>43525</v>
      </c>
      <c r="AA8" s="256">
        <f t="shared" si="0"/>
        <v>43556</v>
      </c>
      <c r="AB8" s="256">
        <f t="shared" si="0"/>
        <v>43586</v>
      </c>
      <c r="AC8" s="256">
        <f t="shared" si="0"/>
        <v>43617</v>
      </c>
      <c r="AD8" s="256">
        <f t="shared" si="0"/>
        <v>43647</v>
      </c>
      <c r="AE8" s="256">
        <f t="shared" si="0"/>
        <v>43678</v>
      </c>
      <c r="AF8" s="256">
        <f t="shared" si="0"/>
        <v>43709</v>
      </c>
      <c r="AG8" s="256">
        <f t="shared" si="0"/>
        <v>43739</v>
      </c>
      <c r="AH8" s="256">
        <f t="shared" si="0"/>
        <v>43770</v>
      </c>
      <c r="AI8" s="256">
        <f t="shared" si="0"/>
        <v>43800</v>
      </c>
      <c r="AJ8" s="256">
        <f t="shared" si="0"/>
        <v>43831</v>
      </c>
      <c r="AK8" s="256">
        <f t="shared" si="0"/>
        <v>43862</v>
      </c>
      <c r="AL8" s="256">
        <f t="shared" si="0"/>
        <v>43891</v>
      </c>
      <c r="AM8" s="256">
        <f t="shared" si="0"/>
        <v>43922</v>
      </c>
      <c r="AN8" s="256">
        <f t="shared" si="0"/>
        <v>43952</v>
      </c>
      <c r="AO8" s="256">
        <f t="shared" si="0"/>
        <v>43983</v>
      </c>
      <c r="AP8" s="256">
        <f t="shared" si="0"/>
        <v>44013</v>
      </c>
      <c r="AQ8" s="256">
        <f t="shared" si="0"/>
        <v>44044</v>
      </c>
      <c r="AR8" s="256">
        <f t="shared" si="0"/>
        <v>44075</v>
      </c>
      <c r="AS8" s="256">
        <f t="shared" si="0"/>
        <v>44105</v>
      </c>
      <c r="AT8" s="256">
        <f t="shared" si="0"/>
        <v>44136</v>
      </c>
      <c r="AU8" s="256">
        <f t="shared" si="0"/>
        <v>44166</v>
      </c>
      <c r="AV8" s="256">
        <f t="shared" si="0"/>
        <v>44197</v>
      </c>
      <c r="AW8" s="256">
        <f t="shared" si="0"/>
        <v>44228</v>
      </c>
      <c r="AX8" s="256">
        <f t="shared" si="0"/>
        <v>44256</v>
      </c>
      <c r="AY8" s="256">
        <f t="shared" si="0"/>
        <v>44287</v>
      </c>
      <c r="AZ8" s="256">
        <f t="shared" si="0"/>
        <v>44317</v>
      </c>
      <c r="BA8" s="256">
        <f t="shared" si="0"/>
        <v>44348</v>
      </c>
      <c r="BB8" s="256">
        <f t="shared" si="0"/>
        <v>44378</v>
      </c>
      <c r="BC8" s="256">
        <f t="shared" si="0"/>
        <v>44409</v>
      </c>
      <c r="BD8" s="256">
        <f t="shared" si="0"/>
        <v>44440</v>
      </c>
      <c r="DB8" t="s">
        <v>227</v>
      </c>
    </row>
    <row r="9" ht="12.75" customHeight="1" spans="1:106" x14ac:dyDescent="0.25">
      <c r="A9" s="218"/>
      <c r="B9" s="257" t="s">
        <v>203</v>
      </c>
      <c r="C9" s="258" t="s">
        <v>228</v>
      </c>
      <c r="D9" s="259" t="str">
        <f>IF(J9="","",IF(D2&lt;J9,"PBSL","BSL"))</f>
        <v>PBSL</v>
      </c>
      <c r="E9" s="258" t="s">
        <v>229</v>
      </c>
      <c r="F9" s="260">
        <v>10</v>
      </c>
      <c r="G9" s="261">
        <f t="shared" ref="G9:G29" si="1">IF(OR(E9="Closed",E9="BT/SC"),0,IF(AND(F9&gt;0,L9&gt;0,I9&gt;0),IF(ISERROR(-PV((RATE(I9,H9,-F9*100000)*12)/12,L9,H9)/100000),0,-PV((RATE(I9,H9,-F9*100000)*12)/12,L9,H9)/100000),0))</f>
        <v>7.563714522</v>
      </c>
      <c r="H9" s="260">
        <v>10000</v>
      </c>
      <c r="I9" s="260">
        <v>12</v>
      </c>
      <c r="J9" s="262">
        <v>43385</v>
      </c>
      <c r="K9" s="263">
        <v>1</v>
      </c>
      <c r="L9" s="259">
        <f t="shared" ref="L9:L29" si="2">IF(ISERROR(I9-K9),"",I9-K9)</f>
        <v>11</v>
      </c>
      <c r="M9" s="259">
        <f t="shared" ref="M9:M29" si="3">IF(E9="Live",IF(L9&lt;=6,0,IF(L9&gt;=12,H9*12,IF(L9&lt;12,H9*L9))),"0")</f>
        <v>110000</v>
      </c>
      <c r="N9" s="263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DB9" t="s">
        <v>230</v>
      </c>
    </row>
    <row r="10" ht="12.75" customHeight="1" spans="1:106" x14ac:dyDescent="0.25">
      <c r="A10" s="218"/>
      <c r="B10" s="257"/>
      <c r="C10" s="258"/>
      <c r="D10" s="266">
        <f>IF(J10="","",IF(D2&lt;J10,"PBSL","BSL"))</f>
      </c>
      <c r="E10" s="258"/>
      <c r="F10" s="267"/>
      <c r="G10" s="268">
        <f t="shared" si="1"/>
        <v>0</v>
      </c>
      <c r="H10" s="260"/>
      <c r="I10" s="267"/>
      <c r="J10" s="262"/>
      <c r="K10" s="269"/>
      <c r="L10" s="266">
        <f t="shared" si="2"/>
        <v>0</v>
      </c>
      <c r="M10" s="259" t="str">
        <f t="shared" si="3"/>
        <v>0</v>
      </c>
      <c r="N10" s="263"/>
      <c r="O10" s="270"/>
      <c r="P10" s="271"/>
      <c r="Q10" s="271"/>
      <c r="R10" s="272"/>
      <c r="S10" s="272"/>
      <c r="T10" s="272"/>
      <c r="U10" s="272"/>
      <c r="V10" s="272"/>
      <c r="W10" s="272"/>
      <c r="X10" s="272"/>
      <c r="Y10" s="272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3"/>
      <c r="AY10" s="273"/>
      <c r="AZ10" s="273"/>
      <c r="BA10" s="273"/>
      <c r="BB10" s="273"/>
      <c r="BC10" s="273"/>
      <c r="BD10" s="273"/>
      <c r="DB10" t="s">
        <v>231</v>
      </c>
    </row>
    <row r="11" ht="12.75" customHeight="1" spans="1:106" x14ac:dyDescent="0.25">
      <c r="A11" s="218"/>
      <c r="B11" s="257"/>
      <c r="C11" s="258"/>
      <c r="D11" s="266">
        <f>IF(J11="","",IF(D2&lt;J11,"PBSL","BSL"))</f>
      </c>
      <c r="E11" s="258"/>
      <c r="F11" s="267"/>
      <c r="G11" s="268">
        <f t="shared" si="1"/>
        <v>0</v>
      </c>
      <c r="H11" s="260"/>
      <c r="I11" s="267"/>
      <c r="J11" s="262"/>
      <c r="K11" s="269"/>
      <c r="L11" s="266">
        <f t="shared" si="2"/>
        <v>0</v>
      </c>
      <c r="M11" s="259" t="str">
        <f t="shared" si="3"/>
        <v>0</v>
      </c>
      <c r="N11" s="263"/>
      <c r="O11" s="270"/>
      <c r="P11" s="270"/>
      <c r="Q11" s="270"/>
      <c r="R11" s="137"/>
      <c r="S11" s="137"/>
      <c r="T11" s="137"/>
      <c r="U11" s="137"/>
      <c r="V11" s="137"/>
      <c r="W11" s="137"/>
      <c r="X11" s="137"/>
      <c r="Y11" s="137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  <c r="AN11" s="274"/>
      <c r="AO11" s="274"/>
      <c r="AP11" s="274"/>
      <c r="AQ11" s="274"/>
      <c r="AR11" s="274"/>
      <c r="AS11" s="274"/>
      <c r="AT11" s="274"/>
      <c r="AU11" s="274"/>
      <c r="AV11" s="274"/>
      <c r="AW11" s="274"/>
      <c r="AX11" s="274"/>
      <c r="AY11" s="274"/>
      <c r="AZ11" s="274"/>
      <c r="BA11" s="274"/>
      <c r="BB11" s="274"/>
      <c r="BC11" s="274"/>
      <c r="BD11" s="274"/>
      <c r="DB11" t="s">
        <v>232</v>
      </c>
    </row>
    <row r="12" ht="12.75" customHeight="1" spans="1:106" x14ac:dyDescent="0.25">
      <c r="A12" s="218"/>
      <c r="B12" s="257"/>
      <c r="C12" s="258"/>
      <c r="D12" s="266">
        <f>IF(J12="","",IF(D2&lt;J12,"PBSL","BSL"))</f>
      </c>
      <c r="E12" s="275"/>
      <c r="F12" s="260"/>
      <c r="G12" s="268">
        <f t="shared" si="1"/>
        <v>0</v>
      </c>
      <c r="H12" s="267"/>
      <c r="I12" s="267"/>
      <c r="J12" s="262"/>
      <c r="K12" s="269"/>
      <c r="L12" s="266">
        <f t="shared" si="2"/>
        <v>0</v>
      </c>
      <c r="M12" s="259" t="str">
        <f t="shared" si="3"/>
        <v>0</v>
      </c>
      <c r="N12" s="263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DB12" t="s">
        <v>233</v>
      </c>
    </row>
    <row r="13" ht="12.75" customHeight="1" spans="1:106" x14ac:dyDescent="0.25">
      <c r="A13" s="218"/>
      <c r="B13" s="257"/>
      <c r="C13" s="258"/>
      <c r="D13" s="266">
        <f>IF(J13="","",IF(D2&lt;J13,"PBSL","BSL"))</f>
      </c>
      <c r="E13" s="275"/>
      <c r="F13" s="267"/>
      <c r="G13" s="268">
        <f t="shared" si="1"/>
        <v>0</v>
      </c>
      <c r="H13" s="267"/>
      <c r="I13" s="267"/>
      <c r="J13" s="262"/>
      <c r="K13" s="269"/>
      <c r="L13" s="266">
        <f t="shared" si="2"/>
        <v>0</v>
      </c>
      <c r="M13" s="259" t="str">
        <f t="shared" si="3"/>
        <v>0</v>
      </c>
      <c r="N13" s="263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  <c r="AN13" s="274"/>
      <c r="AO13" s="274"/>
      <c r="AP13" s="274"/>
      <c r="AQ13" s="274"/>
      <c r="AR13" s="274"/>
      <c r="AS13" s="274"/>
      <c r="AT13" s="274"/>
      <c r="AU13" s="274"/>
      <c r="AV13" s="274"/>
      <c r="AW13" s="274"/>
      <c r="AX13" s="274"/>
      <c r="AY13" s="274"/>
      <c r="AZ13" s="274"/>
      <c r="BA13" s="274"/>
      <c r="BB13" s="274"/>
      <c r="BC13" s="274"/>
      <c r="BD13" s="274"/>
      <c r="DB13" t="s">
        <v>234</v>
      </c>
    </row>
    <row r="14" ht="12.75" customHeight="1" spans="1:106" x14ac:dyDescent="0.25">
      <c r="A14" s="218"/>
      <c r="B14" s="257"/>
      <c r="C14" s="258"/>
      <c r="D14" s="266">
        <f>IF(J14="","",IF(D2&lt;J14,"PBSL","BSL"))</f>
      </c>
      <c r="E14" s="275"/>
      <c r="F14" s="267"/>
      <c r="G14" s="268">
        <f t="shared" si="1"/>
        <v>0</v>
      </c>
      <c r="H14" s="267"/>
      <c r="I14" s="267"/>
      <c r="J14" s="262"/>
      <c r="K14" s="269"/>
      <c r="L14" s="266">
        <f t="shared" si="2"/>
        <v>0</v>
      </c>
      <c r="M14" s="259" t="str">
        <f t="shared" si="3"/>
        <v>0</v>
      </c>
      <c r="N14" s="263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4"/>
      <c r="AV14" s="274"/>
      <c r="AW14" s="274"/>
      <c r="AX14" s="274"/>
      <c r="AY14" s="274"/>
      <c r="AZ14" s="274"/>
      <c r="BA14" s="274"/>
      <c r="BB14" s="274"/>
      <c r="BC14" s="274"/>
      <c r="BD14" s="274"/>
      <c r="DB14" t="s">
        <v>235</v>
      </c>
    </row>
    <row r="15" ht="12.75" customHeight="1" spans="1:106" x14ac:dyDescent="0.25">
      <c r="A15" s="218"/>
      <c r="B15" s="257"/>
      <c r="C15" s="258"/>
      <c r="D15" s="266">
        <f>IF(J15="","",IF(D2&lt;J15,"PBSL","BSL"))</f>
      </c>
      <c r="E15" s="275"/>
      <c r="F15" s="267"/>
      <c r="G15" s="268">
        <f t="shared" si="1"/>
        <v>0</v>
      </c>
      <c r="H15" s="267"/>
      <c r="I15" s="267"/>
      <c r="J15" s="262"/>
      <c r="K15" s="269"/>
      <c r="L15" s="266">
        <f t="shared" si="2"/>
        <v>0</v>
      </c>
      <c r="M15" s="259" t="str">
        <f t="shared" si="3"/>
        <v>0</v>
      </c>
      <c r="N15" s="263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4"/>
      <c r="AV15" s="274"/>
      <c r="AW15" s="274"/>
      <c r="AX15" s="274"/>
      <c r="AY15" s="274"/>
      <c r="AZ15" s="274"/>
      <c r="BA15" s="274"/>
      <c r="BB15" s="274"/>
      <c r="BC15" s="274"/>
      <c r="BD15" s="274"/>
      <c r="DB15" t="s">
        <v>236</v>
      </c>
    </row>
    <row r="16" ht="12.75" customHeight="1" spans="1:106" x14ac:dyDescent="0.25">
      <c r="A16" s="218"/>
      <c r="B16" s="257"/>
      <c r="C16" s="258"/>
      <c r="D16" s="266">
        <f>IF(J16="","",IF(D2&lt;J16,"PBSL","BSL"))</f>
      </c>
      <c r="E16" s="275"/>
      <c r="F16" s="267"/>
      <c r="G16" s="268">
        <f t="shared" si="1"/>
        <v>0</v>
      </c>
      <c r="H16" s="267"/>
      <c r="I16" s="267"/>
      <c r="J16" s="262"/>
      <c r="K16" s="269"/>
      <c r="L16" s="266">
        <f t="shared" si="2"/>
        <v>0</v>
      </c>
      <c r="M16" s="259" t="str">
        <f t="shared" si="3"/>
        <v>0</v>
      </c>
      <c r="N16" s="263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4"/>
      <c r="AQ16" s="274"/>
      <c r="AR16" s="274"/>
      <c r="AS16" s="274"/>
      <c r="AT16" s="274"/>
      <c r="AU16" s="274"/>
      <c r="AV16" s="274"/>
      <c r="AW16" s="274"/>
      <c r="AX16" s="274"/>
      <c r="AY16" s="274"/>
      <c r="AZ16" s="274"/>
      <c r="BA16" s="274"/>
      <c r="BB16" s="274"/>
      <c r="BC16" s="274"/>
      <c r="BD16" s="274"/>
      <c r="DB16" t="s">
        <v>237</v>
      </c>
    </row>
    <row r="17" ht="12.75" customHeight="1" spans="1:106" x14ac:dyDescent="0.25">
      <c r="A17" s="218"/>
      <c r="B17" s="257"/>
      <c r="C17" s="258"/>
      <c r="D17" s="259">
        <f>IF(J17="","",IF(D2&lt;J17,"PBSL","BSL"))</f>
      </c>
      <c r="E17" s="275"/>
      <c r="F17" s="267"/>
      <c r="G17" s="268">
        <f t="shared" si="1"/>
        <v>0</v>
      </c>
      <c r="H17" s="267"/>
      <c r="I17" s="267"/>
      <c r="J17" s="262"/>
      <c r="K17" s="269"/>
      <c r="L17" s="266">
        <f t="shared" si="2"/>
        <v>0</v>
      </c>
      <c r="M17" s="259" t="str">
        <f t="shared" si="3"/>
        <v>0</v>
      </c>
      <c r="N17" s="263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  <c r="AN17" s="274"/>
      <c r="AO17" s="274"/>
      <c r="AP17" s="274"/>
      <c r="AQ17" s="274"/>
      <c r="AR17" s="274"/>
      <c r="AS17" s="274"/>
      <c r="AT17" s="274"/>
      <c r="AU17" s="274"/>
      <c r="AV17" s="274"/>
      <c r="AW17" s="274"/>
      <c r="AX17" s="274"/>
      <c r="AY17" s="274"/>
      <c r="AZ17" s="274"/>
      <c r="BA17" s="274"/>
      <c r="BB17" s="274"/>
      <c r="BC17" s="274"/>
      <c r="BD17" s="274"/>
      <c r="DB17" t="s">
        <v>238</v>
      </c>
    </row>
    <row r="18" ht="12.75" customHeight="1" spans="1:106" x14ac:dyDescent="0.25">
      <c r="A18" s="218"/>
      <c r="B18" s="257"/>
      <c r="C18" s="258"/>
      <c r="D18" s="266">
        <f>IF(J18="","",IF(D2&lt;J18,"PBSL","BSL"))</f>
      </c>
      <c r="E18" s="275"/>
      <c r="F18" s="267"/>
      <c r="G18" s="268">
        <f t="shared" si="1"/>
        <v>0</v>
      </c>
      <c r="H18" s="267"/>
      <c r="I18" s="267"/>
      <c r="J18" s="262"/>
      <c r="K18" s="269"/>
      <c r="L18" s="266">
        <f t="shared" si="2"/>
        <v>0</v>
      </c>
      <c r="M18" s="259" t="str">
        <f t="shared" si="3"/>
        <v>0</v>
      </c>
      <c r="N18" s="263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  <c r="AN18" s="274"/>
      <c r="AO18" s="274"/>
      <c r="AP18" s="274"/>
      <c r="AQ18" s="274"/>
      <c r="AR18" s="274"/>
      <c r="AS18" s="274"/>
      <c r="AT18" s="274"/>
      <c r="AU18" s="274"/>
      <c r="AV18" s="274"/>
      <c r="AW18" s="274"/>
      <c r="AX18" s="274"/>
      <c r="AY18" s="274"/>
      <c r="AZ18" s="274"/>
      <c r="BA18" s="274"/>
      <c r="BB18" s="274"/>
      <c r="BC18" s="274"/>
      <c r="BD18" s="274"/>
      <c r="DB18" t="s">
        <v>239</v>
      </c>
    </row>
    <row r="19" ht="12.75" customHeight="1" spans="1:106" x14ac:dyDescent="0.25">
      <c r="A19" s="218"/>
      <c r="B19" s="257"/>
      <c r="C19" s="258"/>
      <c r="D19" s="266">
        <f>IF(J19="","",IF(D2&lt;J19,"PBSL","BSL"))</f>
      </c>
      <c r="E19" s="275"/>
      <c r="F19" s="267"/>
      <c r="G19" s="268">
        <f t="shared" si="1"/>
        <v>0</v>
      </c>
      <c r="H19" s="267"/>
      <c r="I19" s="267"/>
      <c r="J19" s="262"/>
      <c r="K19" s="269"/>
      <c r="L19" s="266">
        <f t="shared" si="2"/>
        <v>0</v>
      </c>
      <c r="M19" s="259" t="str">
        <f t="shared" si="3"/>
        <v>0</v>
      </c>
      <c r="N19" s="263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  <c r="AN19" s="274"/>
      <c r="AO19" s="274"/>
      <c r="AP19" s="274"/>
      <c r="AQ19" s="274"/>
      <c r="AR19" s="274"/>
      <c r="AS19" s="274"/>
      <c r="AT19" s="274"/>
      <c r="AU19" s="274"/>
      <c r="AV19" s="274"/>
      <c r="AW19" s="274"/>
      <c r="AX19" s="274"/>
      <c r="AY19" s="274"/>
      <c r="AZ19" s="274"/>
      <c r="BA19" s="274"/>
      <c r="BB19" s="274"/>
      <c r="BC19" s="274"/>
      <c r="BD19" s="274"/>
      <c r="DB19" t="s">
        <v>240</v>
      </c>
    </row>
    <row r="20" ht="12.75" customHeight="1" spans="1:106" x14ac:dyDescent="0.25">
      <c r="A20" s="218"/>
      <c r="B20" s="257"/>
      <c r="C20" s="258"/>
      <c r="D20" s="266">
        <f>IF(J20="","",IF(D2&lt;J20,"PBSL","BSL"))</f>
      </c>
      <c r="E20" s="275"/>
      <c r="F20" s="267"/>
      <c r="G20" s="268">
        <f t="shared" si="1"/>
        <v>0</v>
      </c>
      <c r="H20" s="267"/>
      <c r="I20" s="267"/>
      <c r="J20" s="262"/>
      <c r="K20" s="269"/>
      <c r="L20" s="266">
        <f t="shared" si="2"/>
        <v>0</v>
      </c>
      <c r="M20" s="259" t="str">
        <f t="shared" si="3"/>
        <v>0</v>
      </c>
      <c r="N20" s="263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7"/>
      <c r="AA20" s="277"/>
      <c r="AB20" s="277"/>
      <c r="AC20" s="277"/>
      <c r="AD20" s="277"/>
      <c r="AE20" s="277"/>
      <c r="AF20" s="277"/>
      <c r="AG20" s="277"/>
      <c r="AH20" s="277"/>
      <c r="AI20" s="277"/>
      <c r="AJ20" s="277"/>
      <c r="AK20" s="277"/>
      <c r="AL20" s="277"/>
      <c r="AM20" s="277"/>
      <c r="AN20" s="277"/>
      <c r="AO20" s="277"/>
      <c r="AP20" s="277"/>
      <c r="AQ20" s="277"/>
      <c r="AR20" s="277"/>
      <c r="AS20" s="277"/>
      <c r="AT20" s="277"/>
      <c r="AU20" s="277"/>
      <c r="AV20" s="277"/>
      <c r="AW20" s="277"/>
      <c r="AX20" s="277"/>
      <c r="AY20" s="277"/>
      <c r="AZ20" s="277"/>
      <c r="BA20" s="277"/>
      <c r="BB20" s="277"/>
      <c r="BC20" s="277"/>
      <c r="BD20" s="277"/>
      <c r="DB20" t="s">
        <v>241</v>
      </c>
    </row>
    <row r="21" ht="12.75" customHeight="1" spans="1:106" x14ac:dyDescent="0.25">
      <c r="A21" s="218"/>
      <c r="B21" s="257"/>
      <c r="C21" s="258"/>
      <c r="D21" s="266">
        <f>IF(J21="","",IF(D2&lt;J21,"PBSL","BSL"))</f>
      </c>
      <c r="E21" s="275"/>
      <c r="F21" s="267"/>
      <c r="G21" s="268">
        <f t="shared" si="1"/>
        <v>0</v>
      </c>
      <c r="H21" s="267"/>
      <c r="I21" s="267"/>
      <c r="J21" s="262"/>
      <c r="K21" s="269"/>
      <c r="L21" s="266">
        <f t="shared" si="2"/>
        <v>0</v>
      </c>
      <c r="M21" s="259" t="str">
        <f t="shared" si="3"/>
        <v>0</v>
      </c>
      <c r="N21" s="263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  <c r="DB21" t="s">
        <v>242</v>
      </c>
    </row>
    <row r="22" ht="12.75" customHeight="1" spans="1:106" x14ac:dyDescent="0.25">
      <c r="A22" s="218"/>
      <c r="B22" s="257"/>
      <c r="C22" s="258"/>
      <c r="D22" s="266">
        <f>IF(J22="","",IF(D2&lt;J22,"PBSL","BSL"))</f>
      </c>
      <c r="E22" s="275"/>
      <c r="F22" s="267"/>
      <c r="G22" s="268">
        <f t="shared" si="1"/>
        <v>0</v>
      </c>
      <c r="H22" s="267"/>
      <c r="I22" s="267"/>
      <c r="J22" s="262"/>
      <c r="K22" s="269"/>
      <c r="L22" s="266">
        <f t="shared" si="2"/>
        <v>0</v>
      </c>
      <c r="M22" s="259" t="str">
        <f t="shared" si="3"/>
        <v>0</v>
      </c>
      <c r="N22" s="263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DB22" t="s">
        <v>243</v>
      </c>
    </row>
    <row r="23" ht="12.75" customHeight="1" spans="1:106" x14ac:dyDescent="0.25">
      <c r="A23" s="218"/>
      <c r="B23" s="257"/>
      <c r="C23" s="258"/>
      <c r="D23" s="266">
        <f>IF(J23="","",IF(D2&lt;J23,"PBSL","BSL"))</f>
      </c>
      <c r="E23" s="275"/>
      <c r="F23" s="267"/>
      <c r="G23" s="268">
        <f t="shared" si="1"/>
        <v>0</v>
      </c>
      <c r="H23" s="267"/>
      <c r="I23" s="267"/>
      <c r="J23" s="262"/>
      <c r="K23" s="269"/>
      <c r="L23" s="266">
        <f t="shared" si="2"/>
        <v>0</v>
      </c>
      <c r="M23" s="259" t="str">
        <f t="shared" si="3"/>
        <v>0</v>
      </c>
      <c r="N23" s="26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279"/>
      <c r="AO23" s="279"/>
      <c r="AP23" s="279"/>
      <c r="AQ23" s="279"/>
      <c r="AR23" s="279"/>
      <c r="AS23" s="279"/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DB23" t="s">
        <v>244</v>
      </c>
    </row>
    <row r="24" ht="12.75" customHeight="1" spans="1:106" x14ac:dyDescent="0.25">
      <c r="A24" s="218"/>
      <c r="B24" s="257"/>
      <c r="C24" s="258"/>
      <c r="D24" s="266">
        <f>IF(J24="","",IF(D2&lt;J24,"PBSL","BSL"))</f>
      </c>
      <c r="E24" s="275"/>
      <c r="F24" s="267"/>
      <c r="G24" s="268">
        <f t="shared" si="1"/>
        <v>0</v>
      </c>
      <c r="H24" s="267"/>
      <c r="I24" s="267"/>
      <c r="J24" s="262"/>
      <c r="K24" s="269"/>
      <c r="L24" s="266">
        <f t="shared" si="2"/>
        <v>0</v>
      </c>
      <c r="M24" s="259" t="str">
        <f t="shared" si="3"/>
        <v>0</v>
      </c>
      <c r="N24" s="263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DB24" t="s">
        <v>245</v>
      </c>
    </row>
    <row r="25" ht="12.75" customHeight="1" spans="1:106" x14ac:dyDescent="0.25">
      <c r="A25" s="218"/>
      <c r="B25" s="257"/>
      <c r="C25" s="258"/>
      <c r="D25" s="259">
        <f>IF(J25="","",IF(D2&lt;J25,"PBSL","BSL"))</f>
      </c>
      <c r="E25" s="275"/>
      <c r="F25" s="267"/>
      <c r="G25" s="268">
        <f t="shared" si="1"/>
        <v>0</v>
      </c>
      <c r="H25" s="267"/>
      <c r="I25" s="267"/>
      <c r="J25" s="262"/>
      <c r="K25" s="269"/>
      <c r="L25" s="266">
        <f t="shared" si="2"/>
        <v>0</v>
      </c>
      <c r="M25" s="259" t="str">
        <f t="shared" si="3"/>
        <v>0</v>
      </c>
      <c r="N25" s="263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/>
      <c r="AO25" s="279"/>
      <c r="AP25" s="279"/>
      <c r="AQ25" s="279"/>
      <c r="AR25" s="279"/>
      <c r="AS25" s="279"/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79"/>
      <c r="DB25" t="s">
        <v>246</v>
      </c>
    </row>
    <row r="26" ht="12.75" customHeight="1" spans="1:106" x14ac:dyDescent="0.25">
      <c r="A26" s="218"/>
      <c r="B26" s="257"/>
      <c r="C26" s="258"/>
      <c r="D26" s="259">
        <f>IF(J26="","",IF(D2&lt;J26,"PBSL","BSL"))</f>
      </c>
      <c r="E26" s="275"/>
      <c r="F26" s="267"/>
      <c r="G26" s="268">
        <f t="shared" si="1"/>
        <v>0</v>
      </c>
      <c r="H26" s="267"/>
      <c r="I26" s="267"/>
      <c r="J26" s="262"/>
      <c r="K26" s="269"/>
      <c r="L26" s="266">
        <f t="shared" si="2"/>
        <v>0</v>
      </c>
      <c r="M26" s="259" t="str">
        <f t="shared" si="3"/>
        <v>0</v>
      </c>
      <c r="N26" s="263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DB26" t="s">
        <v>247</v>
      </c>
    </row>
    <row r="27" ht="12.75" customHeight="1" spans="1:106" x14ac:dyDescent="0.25">
      <c r="A27" s="218"/>
      <c r="B27" s="257"/>
      <c r="C27" s="258"/>
      <c r="D27" s="266">
        <f>IF(J27="","",IF(D2&lt;J27,"PBSL","BSL"))</f>
      </c>
      <c r="E27" s="275"/>
      <c r="F27" s="267"/>
      <c r="G27" s="268">
        <f t="shared" si="1"/>
        <v>0</v>
      </c>
      <c r="H27" s="267"/>
      <c r="I27" s="267"/>
      <c r="J27" s="262"/>
      <c r="K27" s="269"/>
      <c r="L27" s="266">
        <f t="shared" si="2"/>
        <v>0</v>
      </c>
      <c r="M27" s="259" t="str">
        <f t="shared" si="3"/>
        <v>0</v>
      </c>
      <c r="N27" s="263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DB27" t="s">
        <v>248</v>
      </c>
    </row>
    <row r="28" ht="12.75" customHeight="1" spans="1:106" x14ac:dyDescent="0.25">
      <c r="A28" s="218"/>
      <c r="B28" s="257"/>
      <c r="C28" s="258"/>
      <c r="D28" s="266">
        <f>IF(J28="","",IF(D2&lt;J28,"PBSL","BSL"))</f>
      </c>
      <c r="E28" s="275"/>
      <c r="F28" s="267"/>
      <c r="G28" s="268">
        <f t="shared" si="1"/>
        <v>0</v>
      </c>
      <c r="H28" s="267"/>
      <c r="I28" s="267"/>
      <c r="J28" s="262"/>
      <c r="K28" s="269"/>
      <c r="L28" s="266">
        <f t="shared" si="2"/>
        <v>0</v>
      </c>
      <c r="M28" s="259" t="str">
        <f t="shared" si="3"/>
        <v>0</v>
      </c>
      <c r="N28" s="263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79"/>
      <c r="AQ28" s="279"/>
      <c r="AR28" s="279"/>
      <c r="AS28" s="279"/>
      <c r="AT28" s="279"/>
      <c r="AU28" s="279"/>
      <c r="AV28" s="279"/>
      <c r="AW28" s="279"/>
      <c r="AX28" s="279"/>
      <c r="AY28" s="279"/>
      <c r="AZ28" s="279"/>
      <c r="BA28" s="279"/>
      <c r="BB28" s="279"/>
      <c r="BC28" s="279"/>
      <c r="BD28" s="279"/>
      <c r="DB28" t="s">
        <v>249</v>
      </c>
    </row>
    <row r="29" ht="12.75" customHeight="1" spans="1:106" x14ac:dyDescent="0.25">
      <c r="A29" s="218"/>
      <c r="B29" s="257"/>
      <c r="C29" s="258"/>
      <c r="D29" s="266">
        <f>IF(J29="","",IF(D2&lt;J29,"PBSL","BSL"))</f>
      </c>
      <c r="E29" s="275"/>
      <c r="F29" s="280"/>
      <c r="G29" s="281">
        <f t="shared" si="1"/>
        <v>0</v>
      </c>
      <c r="H29" s="280"/>
      <c r="I29" s="267"/>
      <c r="J29" s="262"/>
      <c r="K29" s="282"/>
      <c r="L29" s="283">
        <f t="shared" si="2"/>
        <v>0</v>
      </c>
      <c r="M29" s="284" t="str">
        <f t="shared" si="3"/>
        <v>0</v>
      </c>
      <c r="N29" s="263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79"/>
      <c r="AV29" s="279"/>
      <c r="AW29" s="279"/>
      <c r="AX29" s="279"/>
      <c r="AY29" s="279"/>
      <c r="AZ29" s="279"/>
      <c r="BA29" s="279"/>
      <c r="BB29" s="279"/>
      <c r="BC29" s="279"/>
      <c r="BD29" s="279"/>
      <c r="DB29" t="s">
        <v>250</v>
      </c>
    </row>
    <row r="30" ht="12.75" customHeight="1" spans="1:106" x14ac:dyDescent="0.25">
      <c r="A30" s="218"/>
      <c r="B30" s="218"/>
      <c r="C30" s="218"/>
      <c r="D30" s="218"/>
      <c r="E30" s="218"/>
      <c r="F30" s="285" t="s">
        <v>251</v>
      </c>
      <c r="G30" s="285"/>
      <c r="H30" s="286">
        <f>SUMIFS($H$9:$H$29,$E$9:$E$29,"Live",$L$9:$L$29,"&gt;0")/100000</f>
        <v>0.1</v>
      </c>
      <c r="I30" s="218"/>
      <c r="J30" s="218"/>
      <c r="K30" s="285" t="s">
        <v>200</v>
      </c>
      <c r="L30" s="285"/>
      <c r="M30" s="287">
        <f>SUM(M9:M29)/100000</f>
        <v>1.1</v>
      </c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  <c r="AX30" s="218"/>
      <c r="AY30" s="218"/>
      <c r="AZ30" s="218"/>
      <c r="BA30" s="218"/>
      <c r="BB30" s="218"/>
      <c r="BC30" s="218"/>
      <c r="BD30" s="218"/>
      <c r="DB30" t="s">
        <v>252</v>
      </c>
    </row>
    <row r="31" ht="12.75" customHeight="1" spans="1:106" x14ac:dyDescent="0.25">
      <c r="A31" s="218"/>
      <c r="B31" s="288" t="s">
        <v>253</v>
      </c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DB31" t="s">
        <v>254</v>
      </c>
    </row>
    <row r="32" ht="12.75" customHeight="1" spans="1:106" x14ac:dyDescent="0.25">
      <c r="A32" s="218"/>
      <c r="B32" s="288" t="s">
        <v>255</v>
      </c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  <c r="AX32" s="218"/>
      <c r="AY32" s="218"/>
      <c r="AZ32" s="218"/>
      <c r="BA32" s="218"/>
      <c r="BB32" s="218"/>
      <c r="BC32" s="218"/>
      <c r="BD32" s="218"/>
      <c r="DB32" t="s">
        <v>256</v>
      </c>
    </row>
    <row r="33" ht="12.75" customHeight="1" spans="1:106" x14ac:dyDescent="0.25">
      <c r="A33" s="218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DB33" t="s">
        <v>257</v>
      </c>
    </row>
    <row r="34" ht="12.75" customHeight="1" spans="1:106" x14ac:dyDescent="0.25">
      <c r="A34" s="218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DB34" t="s">
        <v>258</v>
      </c>
    </row>
    <row r="35" ht="12.75" customHeight="1" spans="1:106" x14ac:dyDescent="0.25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18"/>
      <c r="AX35" s="218"/>
      <c r="AY35" s="218"/>
      <c r="AZ35" s="218"/>
      <c r="BA35" s="218"/>
      <c r="BB35" s="218"/>
      <c r="BC35" s="218"/>
      <c r="BD35" s="218"/>
      <c r="DB35" t="s">
        <v>259</v>
      </c>
    </row>
    <row r="36" ht="12.75" customHeight="1" spans="1:106" x14ac:dyDescent="0.25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8"/>
      <c r="BD36" s="218"/>
      <c r="DB36" t="s">
        <v>260</v>
      </c>
    </row>
    <row r="37" ht="12.75" customHeight="1" spans="1:106" x14ac:dyDescent="0.25">
      <c r="A37" s="218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DB37" t="s">
        <v>261</v>
      </c>
    </row>
    <row r="38" ht="12.75" customHeight="1" spans="1:106" x14ac:dyDescent="0.25">
      <c r="A38" s="218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18"/>
      <c r="AX38" s="218"/>
      <c r="AY38" s="218"/>
      <c r="AZ38" s="218"/>
      <c r="BA38" s="218"/>
      <c r="BB38" s="218"/>
      <c r="BC38" s="218"/>
      <c r="BD38" s="218"/>
      <c r="DB38" t="s">
        <v>262</v>
      </c>
    </row>
    <row r="39" ht="12.75" customHeight="1" spans="1:106" x14ac:dyDescent="0.25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DB39" t="s">
        <v>263</v>
      </c>
    </row>
    <row r="40" ht="12.75" customHeight="1" spans="1:106" x14ac:dyDescent="0.25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18"/>
      <c r="AX40" s="218"/>
      <c r="AY40" s="218"/>
      <c r="AZ40" s="218"/>
      <c r="BA40" s="218"/>
      <c r="BB40" s="218"/>
      <c r="BC40" s="218"/>
      <c r="BD40" s="218"/>
      <c r="DB40" t="s">
        <v>264</v>
      </c>
    </row>
    <row r="41" ht="12.75" customHeight="1" spans="1:106" x14ac:dyDescent="0.25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DB41" t="s">
        <v>265</v>
      </c>
    </row>
    <row r="42" ht="12.75" customHeight="1" spans="1:106" x14ac:dyDescent="0.25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  <c r="AP42" s="218"/>
      <c r="AQ42" s="218"/>
      <c r="AR42" s="218"/>
      <c r="AS42" s="218"/>
      <c r="AT42" s="218"/>
      <c r="AU42" s="218"/>
      <c r="AV42" s="218"/>
      <c r="AW42" s="218"/>
      <c r="AX42" s="218"/>
      <c r="AY42" s="218"/>
      <c r="AZ42" s="218"/>
      <c r="BA42" s="218"/>
      <c r="BB42" s="218"/>
      <c r="BC42" s="218"/>
      <c r="BD42" s="218"/>
      <c r="DB42" t="s">
        <v>266</v>
      </c>
    </row>
    <row r="43" ht="12.75" customHeight="1" spans="1:106" x14ac:dyDescent="0.25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  <c r="AP43" s="218"/>
      <c r="AQ43" s="218"/>
      <c r="AR43" s="218"/>
      <c r="AS43" s="218"/>
      <c r="AT43" s="218"/>
      <c r="AU43" s="218"/>
      <c r="AV43" s="218"/>
      <c r="AW43" s="218"/>
      <c r="AX43" s="218"/>
      <c r="AY43" s="218"/>
      <c r="AZ43" s="218"/>
      <c r="BA43" s="218"/>
      <c r="BB43" s="218"/>
      <c r="BC43" s="218"/>
      <c r="BD43" s="218"/>
      <c r="DB43" t="s">
        <v>267</v>
      </c>
    </row>
    <row r="44" ht="12.75" customHeight="1" spans="1:106" x14ac:dyDescent="0.25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  <c r="AP44" s="218"/>
      <c r="AQ44" s="218"/>
      <c r="AR44" s="218"/>
      <c r="AS44" s="218"/>
      <c r="AT44" s="218"/>
      <c r="AU44" s="218"/>
      <c r="AV44" s="218"/>
      <c r="AW44" s="218"/>
      <c r="AX44" s="218"/>
      <c r="AY44" s="218"/>
      <c r="AZ44" s="218"/>
      <c r="BA44" s="218"/>
      <c r="BB44" s="218"/>
      <c r="BC44" s="218"/>
      <c r="BD44" s="218"/>
      <c r="DB44" t="s">
        <v>268</v>
      </c>
    </row>
    <row r="45" ht="12.75" customHeight="1" spans="1:106" x14ac:dyDescent="0.25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  <c r="BD45" s="218"/>
      <c r="DB45" t="s">
        <v>269</v>
      </c>
    </row>
    <row r="46" ht="12.75" customHeight="1" spans="1:106" x14ac:dyDescent="0.25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DB46" t="s">
        <v>270</v>
      </c>
    </row>
    <row r="47" ht="12.75" customHeight="1" spans="1:106" x14ac:dyDescent="0.25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DB47" t="s">
        <v>271</v>
      </c>
    </row>
    <row r="48" ht="12.75" customHeight="1" spans="1:106" x14ac:dyDescent="0.25">
      <c r="A48" s="218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DB48" t="s">
        <v>272</v>
      </c>
    </row>
    <row r="49" ht="12.75" customHeight="1" spans="1:106" x14ac:dyDescent="0.25">
      <c r="A49" s="218"/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DB49" t="s">
        <v>273</v>
      </c>
    </row>
    <row r="50" ht="12.75" customHeight="1" spans="1:106" x14ac:dyDescent="0.25">
      <c r="A50" s="218"/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DB50" t="s">
        <v>274</v>
      </c>
    </row>
    <row r="51" ht="12.75" customHeight="1" spans="1:106" x14ac:dyDescent="0.25">
      <c r="A51" s="218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DB51" t="s">
        <v>275</v>
      </c>
    </row>
    <row r="52" ht="12.75" customHeight="1" spans="1:106" x14ac:dyDescent="0.25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  <c r="BD52" s="218"/>
      <c r="DB52" t="s">
        <v>276</v>
      </c>
    </row>
    <row r="53" ht="12.75" customHeight="1" spans="1:106" x14ac:dyDescent="0.25">
      <c r="A53" s="218"/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DB53" t="s">
        <v>277</v>
      </c>
    </row>
    <row r="54" ht="12.75" customHeight="1" spans="1:106" x14ac:dyDescent="0.25">
      <c r="A54" s="218"/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  <c r="BD54" s="218"/>
      <c r="DB54" t="s">
        <v>278</v>
      </c>
    </row>
    <row r="55" ht="12.75" customHeight="1" spans="1:106" x14ac:dyDescent="0.25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  <c r="AF55" s="218"/>
      <c r="AG55" s="218"/>
      <c r="AH55" s="218"/>
      <c r="AI55" s="218"/>
      <c r="AJ55" s="218"/>
      <c r="AK55" s="218"/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8"/>
      <c r="AW55" s="218"/>
      <c r="AX55" s="218"/>
      <c r="AY55" s="218"/>
      <c r="AZ55" s="218"/>
      <c r="BA55" s="218"/>
      <c r="BB55" s="218"/>
      <c r="BC55" s="218"/>
      <c r="BD55" s="218"/>
      <c r="DB55" t="s">
        <v>279</v>
      </c>
    </row>
    <row r="56" ht="12.75" customHeight="1" spans="1:106" x14ac:dyDescent="0.25">
      <c r="A56" s="218"/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  <c r="AF56" s="218"/>
      <c r="AG56" s="218"/>
      <c r="AH56" s="218"/>
      <c r="AI56" s="218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  <c r="BD56" s="218"/>
      <c r="DB56" t="s">
        <v>280</v>
      </c>
    </row>
    <row r="57" ht="12.75" customHeight="1" spans="1:106" x14ac:dyDescent="0.25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  <c r="BD57" s="218"/>
      <c r="DB57" t="s">
        <v>281</v>
      </c>
    </row>
    <row r="58" ht="12.75" customHeight="1" spans="1:106" x14ac:dyDescent="0.25">
      <c r="A58" s="21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8"/>
      <c r="AW58" s="218"/>
      <c r="AX58" s="218"/>
      <c r="AY58" s="218"/>
      <c r="AZ58" s="218"/>
      <c r="BA58" s="218"/>
      <c r="BB58" s="218"/>
      <c r="BC58" s="218"/>
      <c r="BD58" s="218"/>
      <c r="DB58" t="s">
        <v>282</v>
      </c>
    </row>
    <row r="59" ht="12.75" customHeight="1" spans="1:106" x14ac:dyDescent="0.25">
      <c r="A59" s="218"/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8"/>
      <c r="AW59" s="218"/>
      <c r="AX59" s="218"/>
      <c r="AY59" s="218"/>
      <c r="AZ59" s="218"/>
      <c r="BA59" s="218"/>
      <c r="BB59" s="218"/>
      <c r="BC59" s="218"/>
      <c r="BD59" s="218"/>
      <c r="DB59" t="s">
        <v>283</v>
      </c>
    </row>
    <row r="60" ht="12.75" customHeight="1" spans="1:106" x14ac:dyDescent="0.25">
      <c r="A60" s="218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8"/>
      <c r="BB60" s="218"/>
      <c r="BC60" s="218"/>
      <c r="BD60" s="218"/>
      <c r="DB60" t="s">
        <v>284</v>
      </c>
    </row>
    <row r="61" ht="12.75" customHeight="1" spans="1:106" x14ac:dyDescent="0.25">
      <c r="A61" s="218"/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8"/>
      <c r="AX61" s="218"/>
      <c r="AY61" s="218"/>
      <c r="AZ61" s="218"/>
      <c r="BA61" s="218"/>
      <c r="BB61" s="218"/>
      <c r="BC61" s="218"/>
      <c r="BD61" s="218"/>
      <c r="DB61" t="s">
        <v>285</v>
      </c>
    </row>
    <row r="62" ht="12.75" customHeight="1" spans="1:106" x14ac:dyDescent="0.25">
      <c r="A62" s="218"/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8"/>
      <c r="BD62" s="218"/>
      <c r="DB62" t="s">
        <v>286</v>
      </c>
    </row>
    <row r="63" ht="12.75" customHeight="1" spans="1:106" x14ac:dyDescent="0.25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8"/>
      <c r="AY63" s="218"/>
      <c r="AZ63" s="218"/>
      <c r="BA63" s="218"/>
      <c r="BB63" s="218"/>
      <c r="BC63" s="218"/>
      <c r="BD63" s="218"/>
      <c r="DB63" t="s">
        <v>287</v>
      </c>
    </row>
    <row r="64" ht="12.75" customHeight="1" spans="1:106" x14ac:dyDescent="0.25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8"/>
      <c r="BB64" s="218"/>
      <c r="BC64" s="218"/>
      <c r="BD64" s="218"/>
      <c r="DB64" t="s">
        <v>288</v>
      </c>
    </row>
    <row r="65" ht="12.75" customHeight="1" spans="1:106" x14ac:dyDescent="0.25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8"/>
      <c r="AY65" s="218"/>
      <c r="AZ65" s="218"/>
      <c r="BA65" s="218"/>
      <c r="BB65" s="218"/>
      <c r="BC65" s="218"/>
      <c r="BD65" s="218"/>
      <c r="DB65" t="s">
        <v>289</v>
      </c>
    </row>
    <row r="66" ht="12.75" customHeight="1" spans="1:106" x14ac:dyDescent="0.25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8"/>
      <c r="AY66" s="218"/>
      <c r="AZ66" s="218"/>
      <c r="BA66" s="218"/>
      <c r="BB66" s="218"/>
      <c r="BC66" s="218"/>
      <c r="BD66" s="218"/>
      <c r="DB66" t="s">
        <v>290</v>
      </c>
    </row>
    <row r="67" ht="12.75" customHeight="1" spans="1:106" x14ac:dyDescent="0.25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8"/>
      <c r="AW67" s="218"/>
      <c r="AX67" s="218"/>
      <c r="AY67" s="218"/>
      <c r="AZ67" s="218"/>
      <c r="BA67" s="218"/>
      <c r="BB67" s="218"/>
      <c r="BC67" s="218"/>
      <c r="BD67" s="218"/>
      <c r="DB67" t="s">
        <v>291</v>
      </c>
    </row>
    <row r="68" ht="12.75" customHeight="1" spans="1:106" x14ac:dyDescent="0.25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  <c r="AF68" s="218"/>
      <c r="AG68" s="218"/>
      <c r="AH68" s="218"/>
      <c r="AI68" s="218"/>
      <c r="AJ68" s="218"/>
      <c r="AK68" s="218"/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8"/>
      <c r="AW68" s="218"/>
      <c r="AX68" s="218"/>
      <c r="AY68" s="218"/>
      <c r="AZ68" s="218"/>
      <c r="BA68" s="218"/>
      <c r="BB68" s="218"/>
      <c r="BC68" s="218"/>
      <c r="BD68" s="218"/>
      <c r="DB68" t="s">
        <v>292</v>
      </c>
    </row>
    <row r="69" ht="12.75" customHeight="1" spans="1:106" x14ac:dyDescent="0.25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  <c r="AF69" s="218"/>
      <c r="AG69" s="218"/>
      <c r="AH69" s="218"/>
      <c r="AI69" s="218"/>
      <c r="AJ69" s="218"/>
      <c r="AK69" s="218"/>
      <c r="AL69" s="218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218"/>
      <c r="AX69" s="218"/>
      <c r="AY69" s="218"/>
      <c r="AZ69" s="218"/>
      <c r="BA69" s="218"/>
      <c r="BB69" s="218"/>
      <c r="BC69" s="218"/>
      <c r="BD69" s="218"/>
      <c r="DB69" t="s">
        <v>293</v>
      </c>
    </row>
    <row r="70" ht="12.75" customHeight="1" spans="1:106" x14ac:dyDescent="0.25">
      <c r="A70" s="218"/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218"/>
      <c r="AG70" s="218"/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218"/>
      <c r="AS70" s="218"/>
      <c r="AT70" s="218"/>
      <c r="AU70" s="218"/>
      <c r="AV70" s="218"/>
      <c r="AW70" s="218"/>
      <c r="AX70" s="218"/>
      <c r="AY70" s="218"/>
      <c r="AZ70" s="218"/>
      <c r="BA70" s="218"/>
      <c r="BB70" s="218"/>
      <c r="BC70" s="218"/>
      <c r="BD70" s="218"/>
      <c r="DB70" t="s">
        <v>294</v>
      </c>
    </row>
    <row r="71" ht="12.75" customHeight="1" spans="1:106" x14ac:dyDescent="0.25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  <c r="AF71" s="218"/>
      <c r="AG71" s="218"/>
      <c r="AH71" s="218"/>
      <c r="AI71" s="218"/>
      <c r="AJ71" s="218"/>
      <c r="AK71" s="218"/>
      <c r="AL71" s="218"/>
      <c r="AM71" s="218"/>
      <c r="AN71" s="218"/>
      <c r="AO71" s="218"/>
      <c r="AP71" s="218"/>
      <c r="AQ71" s="218"/>
      <c r="AR71" s="218"/>
      <c r="AS71" s="218"/>
      <c r="AT71" s="218"/>
      <c r="AU71" s="218"/>
      <c r="AV71" s="218"/>
      <c r="AW71" s="218"/>
      <c r="AX71" s="218"/>
      <c r="AY71" s="218"/>
      <c r="AZ71" s="218"/>
      <c r="BA71" s="218"/>
      <c r="BB71" s="218"/>
      <c r="BC71" s="218"/>
      <c r="BD71" s="218"/>
      <c r="DB71" t="s">
        <v>295</v>
      </c>
    </row>
    <row r="72" ht="12.75" customHeight="1" spans="1:106" x14ac:dyDescent="0.25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  <c r="AF72" s="218"/>
      <c r="AG72" s="218"/>
      <c r="AH72" s="218"/>
      <c r="AI72" s="218"/>
      <c r="AJ72" s="218"/>
      <c r="AK72" s="218"/>
      <c r="AL72" s="218"/>
      <c r="AM72" s="218"/>
      <c r="AN72" s="218"/>
      <c r="AO72" s="218"/>
      <c r="AP72" s="218"/>
      <c r="AQ72" s="218"/>
      <c r="AR72" s="218"/>
      <c r="AS72" s="218"/>
      <c r="AT72" s="218"/>
      <c r="AU72" s="218"/>
      <c r="AV72" s="218"/>
      <c r="AW72" s="218"/>
      <c r="AX72" s="218"/>
      <c r="AY72" s="218"/>
      <c r="AZ72" s="218"/>
      <c r="BA72" s="218"/>
      <c r="BB72" s="218"/>
      <c r="BC72" s="218"/>
      <c r="BD72" s="218"/>
      <c r="DB72" t="s">
        <v>296</v>
      </c>
    </row>
    <row r="73" ht="12.75" customHeight="1" spans="1:106" x14ac:dyDescent="0.25">
      <c r="A73" s="218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8"/>
      <c r="AR73" s="218"/>
      <c r="AS73" s="218"/>
      <c r="AT73" s="218"/>
      <c r="AU73" s="218"/>
      <c r="AV73" s="218"/>
      <c r="AW73" s="218"/>
      <c r="AX73" s="218"/>
      <c r="AY73" s="218"/>
      <c r="AZ73" s="218"/>
      <c r="BA73" s="218"/>
      <c r="BB73" s="218"/>
      <c r="BC73" s="218"/>
      <c r="BD73" s="218"/>
      <c r="DB73" t="s">
        <v>297</v>
      </c>
    </row>
    <row r="74" ht="12.75" customHeight="1" spans="1:106" x14ac:dyDescent="0.25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8"/>
      <c r="AR74" s="218"/>
      <c r="AS74" s="218"/>
      <c r="AT74" s="218"/>
      <c r="AU74" s="218"/>
      <c r="AV74" s="218"/>
      <c r="AW74" s="218"/>
      <c r="AX74" s="218"/>
      <c r="AY74" s="218"/>
      <c r="AZ74" s="218"/>
      <c r="BA74" s="218"/>
      <c r="BB74" s="218"/>
      <c r="BC74" s="218"/>
      <c r="BD74" s="218"/>
      <c r="DB74" t="s">
        <v>298</v>
      </c>
    </row>
    <row r="75" ht="12.75" customHeight="1" spans="1:106" x14ac:dyDescent="0.25">
      <c r="A75" s="218"/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  <c r="BD75" s="218"/>
      <c r="DB75" t="s">
        <v>299</v>
      </c>
    </row>
    <row r="76" ht="12.75" customHeight="1" spans="1:106" x14ac:dyDescent="0.25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  <c r="AF76" s="218"/>
      <c r="AG76" s="218"/>
      <c r="AH76" s="218"/>
      <c r="AI76" s="218"/>
      <c r="AJ76" s="218"/>
      <c r="AK76" s="218"/>
      <c r="AL76" s="218"/>
      <c r="AM76" s="218"/>
      <c r="AN76" s="218"/>
      <c r="AO76" s="218"/>
      <c r="AP76" s="218"/>
      <c r="AQ76" s="218"/>
      <c r="AR76" s="218"/>
      <c r="AS76" s="218"/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  <c r="BD76" s="218"/>
      <c r="DB76" t="s">
        <v>300</v>
      </c>
    </row>
    <row r="77" ht="12.75" customHeight="1" spans="1:106" x14ac:dyDescent="0.25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  <c r="AF77" s="218"/>
      <c r="AG77" s="218"/>
      <c r="AH77" s="218"/>
      <c r="AI77" s="218"/>
      <c r="AJ77" s="218"/>
      <c r="AK77" s="218"/>
      <c r="AL77" s="218"/>
      <c r="AM77" s="218"/>
      <c r="AN77" s="218"/>
      <c r="AO77" s="218"/>
      <c r="AP77" s="218"/>
      <c r="AQ77" s="218"/>
      <c r="AR77" s="218"/>
      <c r="AS77" s="218"/>
      <c r="AT77" s="218"/>
      <c r="AU77" s="218"/>
      <c r="AV77" s="218"/>
      <c r="AW77" s="218"/>
      <c r="AX77" s="218"/>
      <c r="AY77" s="218"/>
      <c r="AZ77" s="218"/>
      <c r="BA77" s="218"/>
      <c r="BB77" s="218"/>
      <c r="BC77" s="218"/>
      <c r="BD77" s="218"/>
      <c r="DB77" t="s">
        <v>301</v>
      </c>
    </row>
    <row r="78" ht="12.75" customHeight="1" spans="1:106" x14ac:dyDescent="0.25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  <c r="AF78" s="218"/>
      <c r="AG78" s="218"/>
      <c r="AH78" s="218"/>
      <c r="AI78" s="218"/>
      <c r="AJ78" s="218"/>
      <c r="AK78" s="218"/>
      <c r="AL78" s="218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218"/>
      <c r="AX78" s="218"/>
      <c r="AY78" s="218"/>
      <c r="AZ78" s="218"/>
      <c r="BA78" s="218"/>
      <c r="BB78" s="218"/>
      <c r="BC78" s="218"/>
      <c r="BD78" s="218"/>
      <c r="DB78" t="s">
        <v>302</v>
      </c>
    </row>
    <row r="79" ht="12.75" customHeight="1" spans="1:106" x14ac:dyDescent="0.25">
      <c r="A79" s="21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  <c r="AF79" s="218"/>
      <c r="AG79" s="218"/>
      <c r="AH79" s="218"/>
      <c r="AI79" s="218"/>
      <c r="AJ79" s="218"/>
      <c r="AK79" s="218"/>
      <c r="AL79" s="218"/>
      <c r="AM79" s="218"/>
      <c r="AN79" s="218"/>
      <c r="AO79" s="218"/>
      <c r="AP79" s="218"/>
      <c r="AQ79" s="218"/>
      <c r="AR79" s="218"/>
      <c r="AS79" s="218"/>
      <c r="AT79" s="218"/>
      <c r="AU79" s="218"/>
      <c r="AV79" s="218"/>
      <c r="AW79" s="218"/>
      <c r="AX79" s="218"/>
      <c r="AY79" s="218"/>
      <c r="AZ79" s="218"/>
      <c r="BA79" s="218"/>
      <c r="BB79" s="218"/>
      <c r="BC79" s="218"/>
      <c r="BD79" s="218"/>
      <c r="DB79" t="s">
        <v>303</v>
      </c>
    </row>
    <row r="80" ht="12.75" customHeight="1" spans="1:106" x14ac:dyDescent="0.25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18"/>
      <c r="AX80" s="218"/>
      <c r="AY80" s="218"/>
      <c r="AZ80" s="218"/>
      <c r="BA80" s="218"/>
      <c r="BB80" s="218"/>
      <c r="BC80" s="218"/>
      <c r="BD80" s="218"/>
      <c r="DB80" t="s">
        <v>304</v>
      </c>
    </row>
    <row r="81" ht="12.75" customHeight="1" spans="1:106" x14ac:dyDescent="0.25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218"/>
      <c r="AX81" s="218"/>
      <c r="AY81" s="218"/>
      <c r="AZ81" s="218"/>
      <c r="BA81" s="218"/>
      <c r="BB81" s="218"/>
      <c r="BC81" s="218"/>
      <c r="BD81" s="218"/>
      <c r="DB81" t="s">
        <v>305</v>
      </c>
    </row>
    <row r="82" ht="12.75" customHeight="1" spans="1:106" x14ac:dyDescent="0.25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8"/>
      <c r="AW82" s="218"/>
      <c r="AX82" s="218"/>
      <c r="AY82" s="218"/>
      <c r="AZ82" s="218"/>
      <c r="BA82" s="218"/>
      <c r="BB82" s="218"/>
      <c r="BC82" s="218"/>
      <c r="BD82" s="218"/>
      <c r="DB82" t="s">
        <v>306</v>
      </c>
    </row>
    <row r="83" ht="12.75" customHeight="1" spans="1:106" x14ac:dyDescent="0.25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8"/>
      <c r="AW83" s="218"/>
      <c r="AX83" s="218"/>
      <c r="AY83" s="218"/>
      <c r="AZ83" s="218"/>
      <c r="BA83" s="218"/>
      <c r="BB83" s="218"/>
      <c r="BC83" s="218"/>
      <c r="BD83" s="218"/>
      <c r="DB83" t="s">
        <v>307</v>
      </c>
    </row>
    <row r="84" ht="12.75" customHeight="1" spans="1:106" x14ac:dyDescent="0.25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  <c r="AF84" s="218"/>
      <c r="AG84" s="218"/>
      <c r="AH84" s="218"/>
      <c r="AI84" s="218"/>
      <c r="AJ84" s="218"/>
      <c r="AK84" s="218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218"/>
      <c r="AX84" s="218"/>
      <c r="AY84" s="218"/>
      <c r="AZ84" s="218"/>
      <c r="BA84" s="218"/>
      <c r="BB84" s="218"/>
      <c r="BC84" s="218"/>
      <c r="BD84" s="218"/>
      <c r="DB84" t="s">
        <v>308</v>
      </c>
    </row>
    <row r="85" ht="12.75" customHeight="1" spans="1:106" x14ac:dyDescent="0.25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  <c r="AF85" s="218"/>
      <c r="AG85" s="218"/>
      <c r="AH85" s="218"/>
      <c r="AI85" s="218"/>
      <c r="AJ85" s="218"/>
      <c r="AK85" s="218"/>
      <c r="AL85" s="218"/>
      <c r="AM85" s="218"/>
      <c r="AN85" s="218"/>
      <c r="AO85" s="218"/>
      <c r="AP85" s="218"/>
      <c r="AQ85" s="218"/>
      <c r="AR85" s="218"/>
      <c r="AS85" s="218"/>
      <c r="AT85" s="218"/>
      <c r="AU85" s="218"/>
      <c r="AV85" s="218"/>
      <c r="AW85" s="218"/>
      <c r="AX85" s="218"/>
      <c r="AY85" s="218"/>
      <c r="AZ85" s="218"/>
      <c r="BA85" s="218"/>
      <c r="BB85" s="218"/>
      <c r="BC85" s="218"/>
      <c r="BD85" s="218"/>
      <c r="DB85" t="s">
        <v>309</v>
      </c>
    </row>
    <row r="86" ht="12.75" customHeight="1" spans="1:106" x14ac:dyDescent="0.25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  <c r="AF86" s="218"/>
      <c r="AG86" s="218"/>
      <c r="AH86" s="218"/>
      <c r="AI86" s="218"/>
      <c r="AJ86" s="218"/>
      <c r="AK86" s="218"/>
      <c r="AL86" s="218"/>
      <c r="AM86" s="218"/>
      <c r="AN86" s="218"/>
      <c r="AO86" s="218"/>
      <c r="AP86" s="218"/>
      <c r="AQ86" s="218"/>
      <c r="AR86" s="218"/>
      <c r="AS86" s="218"/>
      <c r="AT86" s="218"/>
      <c r="AU86" s="218"/>
      <c r="AV86" s="218"/>
      <c r="AW86" s="218"/>
      <c r="AX86" s="218"/>
      <c r="AY86" s="218"/>
      <c r="AZ86" s="218"/>
      <c r="BA86" s="218"/>
      <c r="BB86" s="218"/>
      <c r="BC86" s="218"/>
      <c r="BD86" s="218"/>
      <c r="DB86" t="s">
        <v>310</v>
      </c>
    </row>
    <row r="87" ht="12.75" customHeight="1" spans="1:106" x14ac:dyDescent="0.25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  <c r="AF87" s="218"/>
      <c r="AG87" s="218"/>
      <c r="AH87" s="218"/>
      <c r="AI87" s="218"/>
      <c r="AJ87" s="218"/>
      <c r="AK87" s="218"/>
      <c r="AL87" s="218"/>
      <c r="AM87" s="218"/>
      <c r="AN87" s="218"/>
      <c r="AO87" s="218"/>
      <c r="AP87" s="218"/>
      <c r="AQ87" s="218"/>
      <c r="AR87" s="218"/>
      <c r="AS87" s="218"/>
      <c r="AT87" s="218"/>
      <c r="AU87" s="218"/>
      <c r="AV87" s="218"/>
      <c r="AW87" s="218"/>
      <c r="AX87" s="218"/>
      <c r="AY87" s="218"/>
      <c r="AZ87" s="218"/>
      <c r="BA87" s="218"/>
      <c r="BB87" s="218"/>
      <c r="BC87" s="218"/>
      <c r="BD87" s="218"/>
      <c r="DB87" t="s">
        <v>311</v>
      </c>
    </row>
    <row r="88" ht="12.75" customHeight="1" spans="1:106" x14ac:dyDescent="0.25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  <c r="AR88" s="218"/>
      <c r="AS88" s="218"/>
      <c r="AT88" s="218"/>
      <c r="AU88" s="218"/>
      <c r="AV88" s="218"/>
      <c r="AW88" s="218"/>
      <c r="AX88" s="218"/>
      <c r="AY88" s="218"/>
      <c r="AZ88" s="218"/>
      <c r="BA88" s="218"/>
      <c r="BB88" s="218"/>
      <c r="BC88" s="218"/>
      <c r="BD88" s="218"/>
      <c r="DB88" t="s">
        <v>312</v>
      </c>
    </row>
    <row r="89" ht="12.75" customHeight="1" spans="1:106" x14ac:dyDescent="0.25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  <c r="AF89" s="218"/>
      <c r="AG89" s="218"/>
      <c r="AH89" s="218"/>
      <c r="AI89" s="218"/>
      <c r="AJ89" s="218"/>
      <c r="AK89" s="218"/>
      <c r="AL89" s="218"/>
      <c r="AM89" s="218"/>
      <c r="AN89" s="218"/>
      <c r="AO89" s="218"/>
      <c r="AP89" s="218"/>
      <c r="AQ89" s="218"/>
      <c r="AR89" s="218"/>
      <c r="AS89" s="218"/>
      <c r="AT89" s="218"/>
      <c r="AU89" s="218"/>
      <c r="AV89" s="218"/>
      <c r="AW89" s="218"/>
      <c r="AX89" s="218"/>
      <c r="AY89" s="218"/>
      <c r="AZ89" s="218"/>
      <c r="BA89" s="218"/>
      <c r="BB89" s="218"/>
      <c r="BC89" s="218"/>
      <c r="BD89" s="218"/>
      <c r="DB89" t="s">
        <v>313</v>
      </c>
    </row>
    <row r="90" ht="12.75" customHeight="1" spans="1:106" x14ac:dyDescent="0.25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  <c r="AF90" s="218"/>
      <c r="AG90" s="218"/>
      <c r="AH90" s="218"/>
      <c r="AI90" s="218"/>
      <c r="AJ90" s="218"/>
      <c r="AK90" s="218"/>
      <c r="AL90" s="218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18"/>
      <c r="AX90" s="218"/>
      <c r="AY90" s="218"/>
      <c r="AZ90" s="218"/>
      <c r="BA90" s="218"/>
      <c r="BB90" s="218"/>
      <c r="BC90" s="218"/>
      <c r="BD90" s="218"/>
      <c r="DB90" t="s">
        <v>314</v>
      </c>
    </row>
    <row r="91" ht="12.75" customHeight="1" spans="1:106" x14ac:dyDescent="0.25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  <c r="AW91" s="218"/>
      <c r="AX91" s="218"/>
      <c r="AY91" s="218"/>
      <c r="AZ91" s="218"/>
      <c r="BA91" s="218"/>
      <c r="BB91" s="218"/>
      <c r="BC91" s="218"/>
      <c r="BD91" s="218"/>
      <c r="DB91" t="s">
        <v>315</v>
      </c>
    </row>
    <row r="92" ht="12.75" customHeight="1" spans="1:106" x14ac:dyDescent="0.25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18"/>
      <c r="AW92" s="218"/>
      <c r="AX92" s="218"/>
      <c r="AY92" s="218"/>
      <c r="AZ92" s="218"/>
      <c r="BA92" s="218"/>
      <c r="BB92" s="218"/>
      <c r="BC92" s="218"/>
      <c r="BD92" s="218"/>
      <c r="DB92" t="s">
        <v>316</v>
      </c>
    </row>
    <row r="93" ht="12.75" customHeight="1" spans="1:106" x14ac:dyDescent="0.25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DB93" t="s">
        <v>317</v>
      </c>
    </row>
    <row r="94" ht="12.75" customHeight="1" spans="1:106" x14ac:dyDescent="0.25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  <c r="AF94" s="218"/>
      <c r="AG94" s="218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  <c r="AV94" s="218"/>
      <c r="AW94" s="218"/>
      <c r="AX94" s="218"/>
      <c r="AY94" s="218"/>
      <c r="AZ94" s="218"/>
      <c r="BA94" s="218"/>
      <c r="BB94" s="218"/>
      <c r="BC94" s="218"/>
      <c r="BD94" s="218"/>
      <c r="DB94" t="s">
        <v>318</v>
      </c>
    </row>
    <row r="95" ht="12.75" customHeight="1" spans="1:106" x14ac:dyDescent="0.25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8"/>
      <c r="AH95" s="218"/>
      <c r="AI95" s="218"/>
      <c r="AJ95" s="218"/>
      <c r="AK95" s="218"/>
      <c r="AL95" s="218"/>
      <c r="AM95" s="218"/>
      <c r="AN95" s="218"/>
      <c r="AO95" s="218"/>
      <c r="AP95" s="218"/>
      <c r="AQ95" s="218"/>
      <c r="AR95" s="218"/>
      <c r="AS95" s="218"/>
      <c r="AT95" s="218"/>
      <c r="AU95" s="218"/>
      <c r="AV95" s="218"/>
      <c r="AW95" s="218"/>
      <c r="AX95" s="218"/>
      <c r="AY95" s="218"/>
      <c r="AZ95" s="218"/>
      <c r="BA95" s="218"/>
      <c r="BB95" s="218"/>
      <c r="BC95" s="218"/>
      <c r="BD95" s="218"/>
      <c r="DB95" t="s">
        <v>319</v>
      </c>
    </row>
    <row r="96" ht="12.75" customHeight="1" spans="1:106" x14ac:dyDescent="0.25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  <c r="AF96" s="218"/>
      <c r="AG96" s="218"/>
      <c r="AH96" s="218"/>
      <c r="AI96" s="218"/>
      <c r="AJ96" s="218"/>
      <c r="AK96" s="218"/>
      <c r="AL96" s="218"/>
      <c r="AM96" s="218"/>
      <c r="AN96" s="218"/>
      <c r="AO96" s="218"/>
      <c r="AP96" s="218"/>
      <c r="AQ96" s="218"/>
      <c r="AR96" s="218"/>
      <c r="AS96" s="218"/>
      <c r="AT96" s="218"/>
      <c r="AU96" s="218"/>
      <c r="AV96" s="218"/>
      <c r="AW96" s="218"/>
      <c r="AX96" s="218"/>
      <c r="AY96" s="218"/>
      <c r="AZ96" s="218"/>
      <c r="BA96" s="218"/>
      <c r="BB96" s="218"/>
      <c r="BC96" s="218"/>
      <c r="BD96" s="218"/>
      <c r="DB96" t="s">
        <v>320</v>
      </c>
    </row>
    <row r="97" ht="12.75" customHeight="1" spans="1:106" x14ac:dyDescent="0.25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8"/>
      <c r="AH97" s="218"/>
      <c r="AI97" s="218"/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DB97" t="s">
        <v>321</v>
      </c>
    </row>
    <row r="98" ht="12.75" customHeight="1" spans="1:106" x14ac:dyDescent="0.25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  <c r="BD98" s="218"/>
      <c r="DB98" t="s">
        <v>322</v>
      </c>
    </row>
    <row r="99" ht="12.75" customHeight="1" spans="1:106" x14ac:dyDescent="0.25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DB99" t="s">
        <v>323</v>
      </c>
    </row>
    <row r="100" ht="12.75" customHeight="1" spans="1:106" x14ac:dyDescent="0.25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DB100" t="s">
        <v>324</v>
      </c>
    </row>
    <row r="101" ht="12.75" customHeight="1" spans="1:106" x14ac:dyDescent="0.25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  <c r="AR101" s="218"/>
      <c r="AS101" s="218"/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  <c r="BD101" s="218"/>
      <c r="DB101" t="s">
        <v>325</v>
      </c>
    </row>
    <row r="102" ht="12.75" customHeight="1" spans="1:106" x14ac:dyDescent="0.25">
      <c r="A102" s="21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  <c r="AM102" s="218"/>
      <c r="AN102" s="218"/>
      <c r="AO102" s="218"/>
      <c r="AP102" s="218"/>
      <c r="AQ102" s="218"/>
      <c r="AR102" s="218"/>
      <c r="AS102" s="218"/>
      <c r="AT102" s="218"/>
      <c r="AU102" s="218"/>
      <c r="AV102" s="218"/>
      <c r="AW102" s="218"/>
      <c r="AX102" s="218"/>
      <c r="AY102" s="218"/>
      <c r="AZ102" s="218"/>
      <c r="BA102" s="218"/>
      <c r="BB102" s="218"/>
      <c r="BC102" s="218"/>
      <c r="BD102" s="218"/>
      <c r="DB102" t="s">
        <v>326</v>
      </c>
    </row>
    <row r="103" ht="12.75" customHeight="1" spans="1:106" x14ac:dyDescent="0.25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  <c r="AM103" s="218"/>
      <c r="AN103" s="218"/>
      <c r="AO103" s="218"/>
      <c r="AP103" s="218"/>
      <c r="AQ103" s="218"/>
      <c r="AR103" s="218"/>
      <c r="AS103" s="218"/>
      <c r="AT103" s="218"/>
      <c r="AU103" s="218"/>
      <c r="AV103" s="218"/>
      <c r="AW103" s="218"/>
      <c r="AX103" s="218"/>
      <c r="AY103" s="218"/>
      <c r="AZ103" s="218"/>
      <c r="BA103" s="218"/>
      <c r="BB103" s="218"/>
      <c r="BC103" s="218"/>
      <c r="BD103" s="218"/>
      <c r="DB103" t="s">
        <v>327</v>
      </c>
    </row>
    <row r="104" ht="12.75" customHeight="1" spans="1:106" x14ac:dyDescent="0.25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  <c r="AM104" s="218"/>
      <c r="AN104" s="218"/>
      <c r="AO104" s="218"/>
      <c r="AP104" s="218"/>
      <c r="AQ104" s="218"/>
      <c r="AR104" s="218"/>
      <c r="AS104" s="218"/>
      <c r="AT104" s="218"/>
      <c r="AU104" s="218"/>
      <c r="AV104" s="218"/>
      <c r="AW104" s="218"/>
      <c r="AX104" s="218"/>
      <c r="AY104" s="218"/>
      <c r="AZ104" s="218"/>
      <c r="BA104" s="218"/>
      <c r="BB104" s="218"/>
      <c r="BC104" s="218"/>
      <c r="BD104" s="218"/>
      <c r="DB104" t="s">
        <v>328</v>
      </c>
    </row>
    <row r="105" ht="12.75" customHeight="1" spans="1:106" x14ac:dyDescent="0.25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  <c r="AM105" s="218"/>
      <c r="AN105" s="218"/>
      <c r="AO105" s="218"/>
      <c r="AP105" s="218"/>
      <c r="AQ105" s="218"/>
      <c r="AR105" s="218"/>
      <c r="AS105" s="218"/>
      <c r="AT105" s="218"/>
      <c r="AU105" s="218"/>
      <c r="AV105" s="218"/>
      <c r="AW105" s="218"/>
      <c r="AX105" s="218"/>
      <c r="AY105" s="218"/>
      <c r="AZ105" s="218"/>
      <c r="BA105" s="218"/>
      <c r="BB105" s="218"/>
      <c r="BC105" s="218"/>
      <c r="BD105" s="218"/>
      <c r="DB105" t="s">
        <v>329</v>
      </c>
    </row>
    <row r="106" ht="12.75" customHeight="1" spans="1:106" x14ac:dyDescent="0.25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  <c r="AR106" s="218"/>
      <c r="AS106" s="218"/>
      <c r="AT106" s="218"/>
      <c r="AU106" s="218"/>
      <c r="AV106" s="218"/>
      <c r="AW106" s="218"/>
      <c r="AX106" s="218"/>
      <c r="AY106" s="218"/>
      <c r="AZ106" s="218"/>
      <c r="BA106" s="218"/>
      <c r="BB106" s="218"/>
      <c r="BC106" s="218"/>
      <c r="BD106" s="218"/>
      <c r="DB106" t="s">
        <v>330</v>
      </c>
    </row>
    <row r="107" ht="12.75" customHeight="1" spans="1:106" x14ac:dyDescent="0.25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8"/>
      <c r="AW107" s="218"/>
      <c r="AX107" s="218"/>
      <c r="AY107" s="218"/>
      <c r="AZ107" s="218"/>
      <c r="BA107" s="218"/>
      <c r="BB107" s="218"/>
      <c r="BC107" s="218"/>
      <c r="BD107" s="218"/>
      <c r="DB107" t="s">
        <v>331</v>
      </c>
    </row>
    <row r="108" ht="12.75" customHeight="1" spans="1:106" x14ac:dyDescent="0.25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8"/>
      <c r="AW108" s="218"/>
      <c r="AX108" s="218"/>
      <c r="AY108" s="218"/>
      <c r="AZ108" s="218"/>
      <c r="BA108" s="218"/>
      <c r="BB108" s="218"/>
      <c r="BC108" s="218"/>
      <c r="BD108" s="218"/>
      <c r="DB108" t="s">
        <v>332</v>
      </c>
    </row>
    <row r="109" ht="12.75" customHeight="1" spans="1:106" x14ac:dyDescent="0.25">
      <c r="A109" s="218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8"/>
      <c r="AW109" s="218"/>
      <c r="AX109" s="218"/>
      <c r="AY109" s="218"/>
      <c r="AZ109" s="218"/>
      <c r="BA109" s="218"/>
      <c r="BB109" s="218"/>
      <c r="BC109" s="218"/>
      <c r="BD109" s="218"/>
      <c r="DB109" t="s">
        <v>333</v>
      </c>
    </row>
    <row r="110" ht="12.75" customHeight="1" spans="1:106" x14ac:dyDescent="0.25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  <c r="AM110" s="218"/>
      <c r="AN110" s="218"/>
      <c r="AO110" s="218"/>
      <c r="AP110" s="218"/>
      <c r="AQ110" s="218"/>
      <c r="AR110" s="218"/>
      <c r="AS110" s="218"/>
      <c r="AT110" s="218"/>
      <c r="AU110" s="218"/>
      <c r="AV110" s="218"/>
      <c r="AW110" s="218"/>
      <c r="AX110" s="218"/>
      <c r="AY110" s="218"/>
      <c r="AZ110" s="218"/>
      <c r="BA110" s="218"/>
      <c r="BB110" s="218"/>
      <c r="BC110" s="218"/>
      <c r="BD110" s="218"/>
      <c r="DB110" t="s">
        <v>334</v>
      </c>
    </row>
    <row r="111" ht="12.75" customHeight="1" spans="1:106" x14ac:dyDescent="0.25">
      <c r="A111" s="218"/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  <c r="AM111" s="218"/>
      <c r="AN111" s="218"/>
      <c r="AO111" s="218"/>
      <c r="AP111" s="218"/>
      <c r="AQ111" s="218"/>
      <c r="AR111" s="218"/>
      <c r="AS111" s="218"/>
      <c r="AT111" s="218"/>
      <c r="AU111" s="218"/>
      <c r="AV111" s="218"/>
      <c r="AW111" s="218"/>
      <c r="AX111" s="218"/>
      <c r="AY111" s="218"/>
      <c r="AZ111" s="218"/>
      <c r="BA111" s="218"/>
      <c r="BB111" s="218"/>
      <c r="BC111" s="218"/>
      <c r="BD111" s="218"/>
      <c r="DB111" t="s">
        <v>335</v>
      </c>
    </row>
    <row r="112" ht="12.75" customHeight="1" spans="1:106" x14ac:dyDescent="0.25">
      <c r="A112" s="218"/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  <c r="AM112" s="218"/>
      <c r="AN112" s="218"/>
      <c r="AO112" s="218"/>
      <c r="AP112" s="218"/>
      <c r="AQ112" s="218"/>
      <c r="AR112" s="218"/>
      <c r="AS112" s="218"/>
      <c r="AT112" s="218"/>
      <c r="AU112" s="218"/>
      <c r="AV112" s="218"/>
      <c r="AW112" s="218"/>
      <c r="AX112" s="218"/>
      <c r="AY112" s="218"/>
      <c r="AZ112" s="218"/>
      <c r="BA112" s="218"/>
      <c r="BB112" s="218"/>
      <c r="BC112" s="218"/>
      <c r="BD112" s="218"/>
      <c r="DB112" t="s">
        <v>336</v>
      </c>
    </row>
    <row r="113" ht="12.75" customHeight="1" spans="1:106" x14ac:dyDescent="0.25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  <c r="BD113" s="218"/>
      <c r="DB113" t="s">
        <v>337</v>
      </c>
    </row>
    <row r="114" ht="12.75" customHeight="1" spans="1:106" x14ac:dyDescent="0.25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  <c r="AM114" s="218"/>
      <c r="AN114" s="218"/>
      <c r="AO114" s="218"/>
      <c r="AP114" s="218"/>
      <c r="AQ114" s="218"/>
      <c r="AR114" s="218"/>
      <c r="AS114" s="218"/>
      <c r="AT114" s="218"/>
      <c r="AU114" s="218"/>
      <c r="AV114" s="218"/>
      <c r="AW114" s="218"/>
      <c r="AX114" s="218"/>
      <c r="AY114" s="218"/>
      <c r="AZ114" s="218"/>
      <c r="BA114" s="218"/>
      <c r="BB114" s="218"/>
      <c r="BC114" s="218"/>
      <c r="BD114" s="218"/>
      <c r="DB114" t="s">
        <v>338</v>
      </c>
    </row>
    <row r="115" ht="12.75" customHeight="1" spans="1:106" x14ac:dyDescent="0.25">
      <c r="A115" s="218"/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  <c r="AM115" s="218"/>
      <c r="AN115" s="218"/>
      <c r="AO115" s="218"/>
      <c r="AP115" s="218"/>
      <c r="AQ115" s="218"/>
      <c r="AR115" s="218"/>
      <c r="AS115" s="218"/>
      <c r="AT115" s="218"/>
      <c r="AU115" s="218"/>
      <c r="AV115" s="218"/>
      <c r="AW115" s="218"/>
      <c r="AX115" s="218"/>
      <c r="AY115" s="218"/>
      <c r="AZ115" s="218"/>
      <c r="BA115" s="218"/>
      <c r="BB115" s="218"/>
      <c r="BC115" s="218"/>
      <c r="BD115" s="218"/>
      <c r="DB115" t="s">
        <v>339</v>
      </c>
    </row>
    <row r="116" ht="12.75" customHeight="1" spans="1:106" x14ac:dyDescent="0.25">
      <c r="A116" s="218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  <c r="AM116" s="218"/>
      <c r="AN116" s="218"/>
      <c r="AO116" s="218"/>
      <c r="AP116" s="218"/>
      <c r="AQ116" s="218"/>
      <c r="AR116" s="218"/>
      <c r="AS116" s="218"/>
      <c r="AT116" s="218"/>
      <c r="AU116" s="218"/>
      <c r="AV116" s="218"/>
      <c r="AW116" s="218"/>
      <c r="AX116" s="218"/>
      <c r="AY116" s="218"/>
      <c r="AZ116" s="218"/>
      <c r="BA116" s="218"/>
      <c r="BB116" s="218"/>
      <c r="BC116" s="218"/>
      <c r="BD116" s="218"/>
      <c r="DB116" t="s">
        <v>340</v>
      </c>
    </row>
    <row r="117" ht="12.75" customHeight="1" spans="1:106" x14ac:dyDescent="0.25">
      <c r="A117" s="218"/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  <c r="AM117" s="218"/>
      <c r="AN117" s="218"/>
      <c r="AO117" s="218"/>
      <c r="AP117" s="218"/>
      <c r="AQ117" s="218"/>
      <c r="AR117" s="218"/>
      <c r="AS117" s="218"/>
      <c r="AT117" s="218"/>
      <c r="AU117" s="218"/>
      <c r="AV117" s="218"/>
      <c r="AW117" s="218"/>
      <c r="AX117" s="218"/>
      <c r="AY117" s="218"/>
      <c r="AZ117" s="218"/>
      <c r="BA117" s="218"/>
      <c r="BB117" s="218"/>
      <c r="BC117" s="218"/>
      <c r="BD117" s="218"/>
      <c r="DB117" t="s">
        <v>341</v>
      </c>
    </row>
    <row r="118" ht="12.75" customHeight="1" spans="1:106" x14ac:dyDescent="0.25">
      <c r="A118" s="218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  <c r="AM118" s="218"/>
      <c r="AN118" s="218"/>
      <c r="AO118" s="218"/>
      <c r="AP118" s="218"/>
      <c r="AQ118" s="218"/>
      <c r="AR118" s="218"/>
      <c r="AS118" s="218"/>
      <c r="AT118" s="218"/>
      <c r="AU118" s="218"/>
      <c r="AV118" s="218"/>
      <c r="AW118" s="218"/>
      <c r="AX118" s="218"/>
      <c r="AY118" s="218"/>
      <c r="AZ118" s="218"/>
      <c r="BA118" s="218"/>
      <c r="BB118" s="218"/>
      <c r="BC118" s="218"/>
      <c r="BD118" s="218"/>
      <c r="DB118" t="s">
        <v>342</v>
      </c>
    </row>
    <row r="119" ht="12.75" customHeight="1" spans="1:106" x14ac:dyDescent="0.25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  <c r="AM119" s="218"/>
      <c r="AN119" s="218"/>
      <c r="AO119" s="218"/>
      <c r="AP119" s="218"/>
      <c r="AQ119" s="218"/>
      <c r="AR119" s="218"/>
      <c r="AS119" s="218"/>
      <c r="AT119" s="218"/>
      <c r="AU119" s="218"/>
      <c r="AV119" s="218"/>
      <c r="AW119" s="218"/>
      <c r="AX119" s="218"/>
      <c r="AY119" s="218"/>
      <c r="AZ119" s="218"/>
      <c r="BA119" s="218"/>
      <c r="BB119" s="218"/>
      <c r="BC119" s="218"/>
      <c r="BD119" s="218"/>
      <c r="DB119" t="s">
        <v>343</v>
      </c>
    </row>
    <row r="120" ht="12.75" customHeight="1" spans="1:106" x14ac:dyDescent="0.25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18"/>
      <c r="AX120" s="218"/>
      <c r="AY120" s="218"/>
      <c r="AZ120" s="218"/>
      <c r="BA120" s="218"/>
      <c r="BB120" s="218"/>
      <c r="BC120" s="218"/>
      <c r="BD120" s="218"/>
      <c r="DB120" t="s">
        <v>344</v>
      </c>
    </row>
    <row r="121" ht="12.75" customHeight="1" spans="1:106" x14ac:dyDescent="0.25">
      <c r="A121" s="218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  <c r="AM121" s="218"/>
      <c r="AN121" s="218"/>
      <c r="AO121" s="218"/>
      <c r="AP121" s="218"/>
      <c r="AQ121" s="218"/>
      <c r="AR121" s="218"/>
      <c r="AS121" s="218"/>
      <c r="AT121" s="218"/>
      <c r="AU121" s="218"/>
      <c r="AV121" s="218"/>
      <c r="AW121" s="218"/>
      <c r="AX121" s="218"/>
      <c r="AY121" s="218"/>
      <c r="AZ121" s="218"/>
      <c r="BA121" s="218"/>
      <c r="BB121" s="218"/>
      <c r="BC121" s="218"/>
      <c r="BD121" s="218"/>
      <c r="DB121" t="s">
        <v>345</v>
      </c>
    </row>
    <row r="122" ht="12.75" customHeight="1" spans="1:106" x14ac:dyDescent="0.25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  <c r="AM122" s="218"/>
      <c r="AN122" s="218"/>
      <c r="AO122" s="218"/>
      <c r="AP122" s="218"/>
      <c r="AQ122" s="218"/>
      <c r="AR122" s="218"/>
      <c r="AS122" s="218"/>
      <c r="AT122" s="218"/>
      <c r="AU122" s="218"/>
      <c r="AV122" s="218"/>
      <c r="AW122" s="218"/>
      <c r="AX122" s="218"/>
      <c r="AY122" s="218"/>
      <c r="AZ122" s="218"/>
      <c r="BA122" s="218"/>
      <c r="BB122" s="218"/>
      <c r="BC122" s="218"/>
      <c r="BD122" s="218"/>
      <c r="DB122" t="s">
        <v>346</v>
      </c>
    </row>
    <row r="123" ht="12.75" customHeight="1" spans="1:106" x14ac:dyDescent="0.25">
      <c r="A123" s="218"/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  <c r="AM123" s="218"/>
      <c r="AN123" s="218"/>
      <c r="AO123" s="218"/>
      <c r="AP123" s="218"/>
      <c r="AQ123" s="218"/>
      <c r="AR123" s="218"/>
      <c r="AS123" s="218"/>
      <c r="AT123" s="218"/>
      <c r="AU123" s="218"/>
      <c r="AV123" s="218"/>
      <c r="AW123" s="218"/>
      <c r="AX123" s="218"/>
      <c r="AY123" s="218"/>
      <c r="AZ123" s="218"/>
      <c r="BA123" s="218"/>
      <c r="BB123" s="218"/>
      <c r="BC123" s="218"/>
      <c r="BD123" s="218"/>
      <c r="DB123" t="s">
        <v>347</v>
      </c>
    </row>
    <row r="124" ht="12.75" customHeight="1" spans="1:106" x14ac:dyDescent="0.25">
      <c r="A124" s="218"/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  <c r="AM124" s="218"/>
      <c r="AN124" s="218"/>
      <c r="AO124" s="218"/>
      <c r="AP124" s="218"/>
      <c r="AQ124" s="218"/>
      <c r="AR124" s="218"/>
      <c r="AS124" s="218"/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  <c r="BD124" s="218"/>
      <c r="DB124" t="s">
        <v>348</v>
      </c>
    </row>
    <row r="125" ht="12.75" customHeight="1" spans="1:106" x14ac:dyDescent="0.25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  <c r="BD125" s="218"/>
      <c r="DB125" t="s">
        <v>349</v>
      </c>
    </row>
    <row r="126" ht="12.75" customHeight="1" spans="1:106" x14ac:dyDescent="0.25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218"/>
      <c r="AR126" s="218"/>
      <c r="AS126" s="218"/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  <c r="BD126" s="218"/>
      <c r="DB126" t="s">
        <v>350</v>
      </c>
    </row>
    <row r="127" ht="12.75" customHeight="1" spans="1:106" x14ac:dyDescent="0.25">
      <c r="A127" s="218"/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  <c r="AM127" s="218"/>
      <c r="AN127" s="218"/>
      <c r="AO127" s="218"/>
      <c r="AP127" s="218"/>
      <c r="AQ127" s="218"/>
      <c r="AR127" s="218"/>
      <c r="AS127" s="218"/>
      <c r="AT127" s="218"/>
      <c r="AU127" s="218"/>
      <c r="AV127" s="218"/>
      <c r="AW127" s="218"/>
      <c r="AX127" s="218"/>
      <c r="AY127" s="218"/>
      <c r="AZ127" s="218"/>
      <c r="BA127" s="218"/>
      <c r="BB127" s="218"/>
      <c r="BC127" s="218"/>
      <c r="BD127" s="218"/>
      <c r="DB127" t="s">
        <v>351</v>
      </c>
    </row>
    <row r="128" ht="12.75" customHeight="1" spans="1:106" x14ac:dyDescent="0.25">
      <c r="A128" s="218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  <c r="AM128" s="218"/>
      <c r="AN128" s="218"/>
      <c r="AO128" s="218"/>
      <c r="AP128" s="218"/>
      <c r="AQ128" s="218"/>
      <c r="AR128" s="218"/>
      <c r="AS128" s="218"/>
      <c r="AT128" s="218"/>
      <c r="AU128" s="218"/>
      <c r="AV128" s="218"/>
      <c r="AW128" s="218"/>
      <c r="AX128" s="218"/>
      <c r="AY128" s="218"/>
      <c r="AZ128" s="218"/>
      <c r="BA128" s="218"/>
      <c r="BB128" s="218"/>
      <c r="BC128" s="218"/>
      <c r="BD128" s="218"/>
      <c r="DB128" t="s">
        <v>352</v>
      </c>
    </row>
    <row r="129" ht="12.75" customHeight="1" spans="1:106" x14ac:dyDescent="0.25">
      <c r="A129" s="218"/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  <c r="AM129" s="218"/>
      <c r="AN129" s="218"/>
      <c r="AO129" s="218"/>
      <c r="AP129" s="218"/>
      <c r="AQ129" s="218"/>
      <c r="AR129" s="218"/>
      <c r="AS129" s="218"/>
      <c r="AT129" s="218"/>
      <c r="AU129" s="218"/>
      <c r="AV129" s="218"/>
      <c r="AW129" s="218"/>
      <c r="AX129" s="218"/>
      <c r="AY129" s="218"/>
      <c r="AZ129" s="218"/>
      <c r="BA129" s="218"/>
      <c r="BB129" s="218"/>
      <c r="BC129" s="218"/>
      <c r="BD129" s="218"/>
      <c r="DB129" t="s">
        <v>353</v>
      </c>
    </row>
    <row r="130" ht="12.75" customHeight="1" spans="1:106" x14ac:dyDescent="0.25">
      <c r="A130" s="218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  <c r="AM130" s="218"/>
      <c r="AN130" s="218"/>
      <c r="AO130" s="218"/>
      <c r="AP130" s="218"/>
      <c r="AQ130" s="218"/>
      <c r="AR130" s="218"/>
      <c r="AS130" s="218"/>
      <c r="AT130" s="218"/>
      <c r="AU130" s="218"/>
      <c r="AV130" s="218"/>
      <c r="AW130" s="218"/>
      <c r="AX130" s="218"/>
      <c r="AY130" s="218"/>
      <c r="AZ130" s="218"/>
      <c r="BA130" s="218"/>
      <c r="BB130" s="218"/>
      <c r="BC130" s="218"/>
      <c r="BD130" s="218"/>
      <c r="DB130" t="s">
        <v>354</v>
      </c>
    </row>
    <row r="131" ht="12.75" customHeight="1" spans="1:106" x14ac:dyDescent="0.25">
      <c r="A131" s="21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  <c r="AM131" s="218"/>
      <c r="AN131" s="218"/>
      <c r="AO131" s="218"/>
      <c r="AP131" s="218"/>
      <c r="AQ131" s="218"/>
      <c r="AR131" s="218"/>
      <c r="AS131" s="218"/>
      <c r="AT131" s="218"/>
      <c r="AU131" s="218"/>
      <c r="AV131" s="218"/>
      <c r="AW131" s="218"/>
      <c r="AX131" s="218"/>
      <c r="AY131" s="218"/>
      <c r="AZ131" s="218"/>
      <c r="BA131" s="218"/>
      <c r="BB131" s="218"/>
      <c r="BC131" s="218"/>
      <c r="BD131" s="218"/>
      <c r="DB131" t="s">
        <v>355</v>
      </c>
    </row>
    <row r="132" ht="12.75" customHeight="1" spans="1:106" x14ac:dyDescent="0.25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  <c r="AM132" s="218"/>
      <c r="AN132" s="218"/>
      <c r="AO132" s="218"/>
      <c r="AP132" s="218"/>
      <c r="AQ132" s="218"/>
      <c r="AR132" s="218"/>
      <c r="AS132" s="218"/>
      <c r="AT132" s="218"/>
      <c r="AU132" s="218"/>
      <c r="AV132" s="218"/>
      <c r="AW132" s="218"/>
      <c r="AX132" s="218"/>
      <c r="AY132" s="218"/>
      <c r="AZ132" s="218"/>
      <c r="BA132" s="218"/>
      <c r="BB132" s="218"/>
      <c r="BC132" s="218"/>
      <c r="BD132" s="218"/>
      <c r="DB132" t="s">
        <v>356</v>
      </c>
    </row>
    <row r="133" ht="12.75" customHeight="1" spans="1:106" x14ac:dyDescent="0.25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  <c r="AM133" s="218"/>
      <c r="AN133" s="218"/>
      <c r="AO133" s="218"/>
      <c r="AP133" s="218"/>
      <c r="AQ133" s="218"/>
      <c r="AR133" s="218"/>
      <c r="AS133" s="218"/>
      <c r="AT133" s="218"/>
      <c r="AU133" s="218"/>
      <c r="AV133" s="218"/>
      <c r="AW133" s="218"/>
      <c r="AX133" s="218"/>
      <c r="AY133" s="218"/>
      <c r="AZ133" s="218"/>
      <c r="BA133" s="218"/>
      <c r="BB133" s="218"/>
      <c r="BC133" s="218"/>
      <c r="BD133" s="218"/>
      <c r="DB133" t="s">
        <v>357</v>
      </c>
    </row>
    <row r="134" ht="12.75" customHeight="1" spans="1:106" x14ac:dyDescent="0.25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  <c r="AM134" s="218"/>
      <c r="AN134" s="218"/>
      <c r="AO134" s="218"/>
      <c r="AP134" s="218"/>
      <c r="AQ134" s="218"/>
      <c r="AR134" s="218"/>
      <c r="AS134" s="218"/>
      <c r="AT134" s="218"/>
      <c r="AU134" s="218"/>
      <c r="AV134" s="218"/>
      <c r="AW134" s="218"/>
      <c r="AX134" s="218"/>
      <c r="AY134" s="218"/>
      <c r="AZ134" s="218"/>
      <c r="BA134" s="218"/>
      <c r="BB134" s="218"/>
      <c r="BC134" s="218"/>
      <c r="BD134" s="218"/>
      <c r="DB134" t="s">
        <v>358</v>
      </c>
    </row>
    <row r="135" ht="12.75" customHeight="1" spans="1:106" x14ac:dyDescent="0.25">
      <c r="A135" s="218"/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  <c r="AM135" s="218"/>
      <c r="AN135" s="218"/>
      <c r="AO135" s="218"/>
      <c r="AP135" s="218"/>
      <c r="AQ135" s="218"/>
      <c r="AR135" s="218"/>
      <c r="AS135" s="218"/>
      <c r="AT135" s="218"/>
      <c r="AU135" s="218"/>
      <c r="AV135" s="218"/>
      <c r="AW135" s="218"/>
      <c r="AX135" s="218"/>
      <c r="AY135" s="218"/>
      <c r="AZ135" s="218"/>
      <c r="BA135" s="218"/>
      <c r="BB135" s="218"/>
      <c r="BC135" s="218"/>
      <c r="BD135" s="218"/>
      <c r="DB135" t="s">
        <v>359</v>
      </c>
    </row>
    <row r="136" ht="12.75" customHeight="1" spans="1:106" x14ac:dyDescent="0.25">
      <c r="A136" s="218"/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  <c r="AM136" s="218"/>
      <c r="AN136" s="218"/>
      <c r="AO136" s="218"/>
      <c r="AP136" s="218"/>
      <c r="AQ136" s="218"/>
      <c r="AR136" s="218"/>
      <c r="AS136" s="218"/>
      <c r="AT136" s="218"/>
      <c r="AU136" s="218"/>
      <c r="AV136" s="218"/>
      <c r="AW136" s="218"/>
      <c r="AX136" s="218"/>
      <c r="AY136" s="218"/>
      <c r="AZ136" s="218"/>
      <c r="BA136" s="218"/>
      <c r="BB136" s="218"/>
      <c r="BC136" s="218"/>
      <c r="BD136" s="218"/>
      <c r="DB136" t="s">
        <v>360</v>
      </c>
    </row>
    <row r="137" ht="12.75" customHeight="1" spans="1:106" x14ac:dyDescent="0.25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  <c r="AM137" s="218"/>
      <c r="AN137" s="218"/>
      <c r="AO137" s="218"/>
      <c r="AP137" s="218"/>
      <c r="AQ137" s="218"/>
      <c r="AR137" s="218"/>
      <c r="AS137" s="218"/>
      <c r="AT137" s="218"/>
      <c r="AU137" s="218"/>
      <c r="AV137" s="218"/>
      <c r="AW137" s="218"/>
      <c r="AX137" s="218"/>
      <c r="AY137" s="218"/>
      <c r="AZ137" s="218"/>
      <c r="BA137" s="218"/>
      <c r="BB137" s="218"/>
      <c r="BC137" s="218"/>
      <c r="BD137" s="218"/>
      <c r="DB137" t="s">
        <v>361</v>
      </c>
    </row>
    <row r="138" ht="12.75" customHeight="1" spans="1:106" x14ac:dyDescent="0.25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  <c r="AM138" s="218"/>
      <c r="AN138" s="218"/>
      <c r="AO138" s="218"/>
      <c r="AP138" s="218"/>
      <c r="AQ138" s="218"/>
      <c r="AR138" s="218"/>
      <c r="AS138" s="218"/>
      <c r="AT138" s="218"/>
      <c r="AU138" s="218"/>
      <c r="AV138" s="218"/>
      <c r="AW138" s="218"/>
      <c r="AX138" s="218"/>
      <c r="AY138" s="218"/>
      <c r="AZ138" s="218"/>
      <c r="BA138" s="218"/>
      <c r="BB138" s="218"/>
      <c r="BC138" s="218"/>
      <c r="BD138" s="218"/>
      <c r="DB138" t="s">
        <v>362</v>
      </c>
    </row>
    <row r="139" ht="12.75" customHeight="1" spans="1:106" x14ac:dyDescent="0.25">
      <c r="A139" s="218"/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  <c r="AM139" s="218"/>
      <c r="AN139" s="218"/>
      <c r="AO139" s="218"/>
      <c r="AP139" s="218"/>
      <c r="AQ139" s="218"/>
      <c r="AR139" s="218"/>
      <c r="AS139" s="218"/>
      <c r="AT139" s="218"/>
      <c r="AU139" s="218"/>
      <c r="AV139" s="218"/>
      <c r="AW139" s="218"/>
      <c r="AX139" s="218"/>
      <c r="AY139" s="218"/>
      <c r="AZ139" s="218"/>
      <c r="BA139" s="218"/>
      <c r="BB139" s="218"/>
      <c r="BC139" s="218"/>
      <c r="BD139" s="218"/>
      <c r="DB139" t="s">
        <v>363</v>
      </c>
    </row>
    <row r="140" ht="12.75" customHeight="1" spans="1:106" x14ac:dyDescent="0.25">
      <c r="A140" s="218"/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  <c r="AM140" s="218"/>
      <c r="AN140" s="218"/>
      <c r="AO140" s="218"/>
      <c r="AP140" s="218"/>
      <c r="AQ140" s="218"/>
      <c r="AR140" s="218"/>
      <c r="AS140" s="218"/>
      <c r="AT140" s="218"/>
      <c r="AU140" s="218"/>
      <c r="AV140" s="218"/>
      <c r="AW140" s="218"/>
      <c r="AX140" s="218"/>
      <c r="AY140" s="218"/>
      <c r="AZ140" s="218"/>
      <c r="BA140" s="218"/>
      <c r="BB140" s="218"/>
      <c r="BC140" s="218"/>
      <c r="BD140" s="218"/>
      <c r="DB140" t="s">
        <v>364</v>
      </c>
    </row>
    <row r="141" ht="12.75" customHeight="1" spans="1:106" x14ac:dyDescent="0.25">
      <c r="A141" s="218"/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  <c r="AM141" s="218"/>
      <c r="AN141" s="218"/>
      <c r="AO141" s="218"/>
      <c r="AP141" s="218"/>
      <c r="AQ141" s="218"/>
      <c r="AR141" s="218"/>
      <c r="AS141" s="218"/>
      <c r="AT141" s="218"/>
      <c r="AU141" s="218"/>
      <c r="AV141" s="218"/>
      <c r="AW141" s="218"/>
      <c r="AX141" s="218"/>
      <c r="AY141" s="218"/>
      <c r="AZ141" s="218"/>
      <c r="BA141" s="218"/>
      <c r="BB141" s="218"/>
      <c r="BC141" s="218"/>
      <c r="BD141" s="218"/>
      <c r="DB141" t="s">
        <v>365</v>
      </c>
    </row>
    <row r="142" ht="12.75" customHeight="1" spans="1:106" x14ac:dyDescent="0.25">
      <c r="A142" s="218"/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  <c r="AM142" s="218"/>
      <c r="AN142" s="218"/>
      <c r="AO142" s="218"/>
      <c r="AP142" s="218"/>
      <c r="AQ142" s="218"/>
      <c r="AR142" s="218"/>
      <c r="AS142" s="218"/>
      <c r="AT142" s="218"/>
      <c r="AU142" s="218"/>
      <c r="AV142" s="218"/>
      <c r="AW142" s="218"/>
      <c r="AX142" s="218"/>
      <c r="AY142" s="218"/>
      <c r="AZ142" s="218"/>
      <c r="BA142" s="218"/>
      <c r="BB142" s="218"/>
      <c r="BC142" s="218"/>
      <c r="BD142" s="218"/>
      <c r="DB142" t="s">
        <v>366</v>
      </c>
    </row>
    <row r="143" ht="12.75" customHeight="1" spans="1:106" x14ac:dyDescent="0.25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  <c r="AM143" s="218"/>
      <c r="AN143" s="218"/>
      <c r="AO143" s="218"/>
      <c r="AP143" s="218"/>
      <c r="AQ143" s="218"/>
      <c r="AR143" s="218"/>
      <c r="AS143" s="218"/>
      <c r="AT143" s="218"/>
      <c r="AU143" s="218"/>
      <c r="AV143" s="218"/>
      <c r="AW143" s="218"/>
      <c r="AX143" s="218"/>
      <c r="AY143" s="218"/>
      <c r="AZ143" s="218"/>
      <c r="BA143" s="218"/>
      <c r="BB143" s="218"/>
      <c r="BC143" s="218"/>
      <c r="BD143" s="218"/>
      <c r="DB143" t="s">
        <v>367</v>
      </c>
    </row>
    <row r="144" ht="12.75" customHeight="1" spans="1:106" x14ac:dyDescent="0.25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  <c r="AM144" s="218"/>
      <c r="AN144" s="218"/>
      <c r="AO144" s="218"/>
      <c r="AP144" s="218"/>
      <c r="AQ144" s="218"/>
      <c r="AR144" s="218"/>
      <c r="AS144" s="218"/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8"/>
      <c r="BD144" s="218"/>
      <c r="DB144" t="s">
        <v>368</v>
      </c>
    </row>
    <row r="145" ht="12.75" customHeight="1" spans="1:106" x14ac:dyDescent="0.25">
      <c r="A145" s="218"/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  <c r="AM145" s="218"/>
      <c r="AN145" s="218"/>
      <c r="AO145" s="218"/>
      <c r="AP145" s="218"/>
      <c r="AQ145" s="218"/>
      <c r="AR145" s="218"/>
      <c r="AS145" s="218"/>
      <c r="AT145" s="218"/>
      <c r="AU145" s="218"/>
      <c r="AV145" s="218"/>
      <c r="AW145" s="218"/>
      <c r="AX145" s="218"/>
      <c r="AY145" s="218"/>
      <c r="AZ145" s="218"/>
      <c r="BA145" s="218"/>
      <c r="BB145" s="218"/>
      <c r="BC145" s="218"/>
      <c r="BD145" s="218"/>
      <c r="DB145" t="s">
        <v>369</v>
      </c>
    </row>
    <row r="146" ht="12.75" customHeight="1" spans="1:106" x14ac:dyDescent="0.25">
      <c r="A146" s="218"/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  <c r="AM146" s="218"/>
      <c r="AN146" s="218"/>
      <c r="AO146" s="218"/>
      <c r="AP146" s="218"/>
      <c r="AQ146" s="218"/>
      <c r="AR146" s="218"/>
      <c r="AS146" s="218"/>
      <c r="AT146" s="218"/>
      <c r="AU146" s="218"/>
      <c r="AV146" s="218"/>
      <c r="AW146" s="218"/>
      <c r="AX146" s="218"/>
      <c r="AY146" s="218"/>
      <c r="AZ146" s="218"/>
      <c r="BA146" s="218"/>
      <c r="BB146" s="218"/>
      <c r="BC146" s="218"/>
      <c r="BD146" s="218"/>
      <c r="DB146" t="s">
        <v>370</v>
      </c>
    </row>
    <row r="147" ht="12.75" customHeight="1" spans="1:106" x14ac:dyDescent="0.25">
      <c r="A147" s="218"/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  <c r="AM147" s="218"/>
      <c r="AN147" s="218"/>
      <c r="AO147" s="218"/>
      <c r="AP147" s="218"/>
      <c r="AQ147" s="218"/>
      <c r="AR147" s="218"/>
      <c r="AS147" s="218"/>
      <c r="AT147" s="218"/>
      <c r="AU147" s="218"/>
      <c r="AV147" s="218"/>
      <c r="AW147" s="218"/>
      <c r="AX147" s="218"/>
      <c r="AY147" s="218"/>
      <c r="AZ147" s="218"/>
      <c r="BA147" s="218"/>
      <c r="BB147" s="218"/>
      <c r="BC147" s="218"/>
      <c r="BD147" s="218"/>
      <c r="DB147" t="s">
        <v>371</v>
      </c>
    </row>
    <row r="148" ht="12.75" customHeight="1" spans="1:106" x14ac:dyDescent="0.25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218"/>
      <c r="AW148" s="218"/>
      <c r="AX148" s="218"/>
      <c r="AY148" s="218"/>
      <c r="AZ148" s="218"/>
      <c r="BA148" s="218"/>
      <c r="BB148" s="218"/>
      <c r="BC148" s="218"/>
      <c r="BD148" s="218"/>
      <c r="DB148" t="s">
        <v>372</v>
      </c>
    </row>
    <row r="149" ht="12.75" customHeight="1" spans="1:106" x14ac:dyDescent="0.25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  <c r="AM149" s="218"/>
      <c r="AN149" s="218"/>
      <c r="AO149" s="218"/>
      <c r="AP149" s="218"/>
      <c r="AQ149" s="218"/>
      <c r="AR149" s="218"/>
      <c r="AS149" s="218"/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  <c r="BD149" s="218"/>
      <c r="DB149" t="s">
        <v>373</v>
      </c>
    </row>
    <row r="150" ht="12.75" customHeight="1" spans="1:106" x14ac:dyDescent="0.25">
      <c r="A150" s="218"/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  <c r="AM150" s="218"/>
      <c r="AN150" s="218"/>
      <c r="AO150" s="218"/>
      <c r="AP150" s="218"/>
      <c r="AQ150" s="218"/>
      <c r="AR150" s="218"/>
      <c r="AS150" s="218"/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  <c r="BD150" s="218"/>
      <c r="DB150" t="s">
        <v>374</v>
      </c>
    </row>
    <row r="151" ht="12.75" customHeight="1" spans="1:106" x14ac:dyDescent="0.25">
      <c r="A151" s="218"/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  <c r="BD151" s="218"/>
      <c r="DB151" t="s">
        <v>375</v>
      </c>
    </row>
    <row r="152" ht="12.75" customHeight="1" spans="1:106" x14ac:dyDescent="0.25">
      <c r="A152" s="218"/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  <c r="BD152" s="218"/>
      <c r="DB152" t="s">
        <v>376</v>
      </c>
    </row>
    <row r="153" ht="12.75" customHeight="1" spans="1:106" x14ac:dyDescent="0.25">
      <c r="A153" s="218"/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  <c r="BD153" s="218"/>
      <c r="DB153" t="s">
        <v>377</v>
      </c>
    </row>
    <row r="154" ht="12.75" customHeight="1" spans="1:106" x14ac:dyDescent="0.25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  <c r="BD154" s="218"/>
      <c r="DB154" t="s">
        <v>378</v>
      </c>
    </row>
    <row r="155" ht="12.75" customHeight="1" spans="1:106" x14ac:dyDescent="0.25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  <c r="BD155" s="218"/>
      <c r="DB155" t="s">
        <v>379</v>
      </c>
    </row>
    <row r="156" ht="12.75" customHeight="1" spans="1:106" x14ac:dyDescent="0.25">
      <c r="A156" s="218"/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218"/>
      <c r="AR156" s="218"/>
      <c r="AS156" s="218"/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  <c r="BD156" s="218"/>
      <c r="DB156" t="s">
        <v>380</v>
      </c>
    </row>
    <row r="157" ht="12.75" customHeight="1" spans="1:106" x14ac:dyDescent="0.25">
      <c r="A157" s="218"/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  <c r="BD157" s="218"/>
      <c r="DB157" t="s">
        <v>381</v>
      </c>
    </row>
    <row r="158" ht="12.75" customHeight="1" spans="1:106" x14ac:dyDescent="0.25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218"/>
      <c r="AR158" s="218"/>
      <c r="AS158" s="218"/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  <c r="BD158" s="218"/>
      <c r="DB158" t="s">
        <v>382</v>
      </c>
    </row>
    <row r="159" ht="12.75" customHeight="1" spans="1:106" x14ac:dyDescent="0.25">
      <c r="A159" s="218"/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218"/>
      <c r="AR159" s="218"/>
      <c r="AS159" s="218"/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  <c r="BD159" s="218"/>
      <c r="DB159" t="s">
        <v>383</v>
      </c>
    </row>
    <row r="160" ht="12.75" customHeight="1" spans="1:106" x14ac:dyDescent="0.25">
      <c r="A160" s="218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  <c r="BD160" s="218"/>
      <c r="DB160" t="s">
        <v>384</v>
      </c>
    </row>
    <row r="161" ht="12.75" customHeight="1" spans="1:106" x14ac:dyDescent="0.25">
      <c r="A161" s="218"/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218"/>
      <c r="AR161" s="218"/>
      <c r="AS161" s="218"/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  <c r="BD161" s="218"/>
      <c r="DB161" t="s">
        <v>385</v>
      </c>
    </row>
    <row r="162" ht="12.75" customHeight="1" spans="1:106" x14ac:dyDescent="0.25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218"/>
      <c r="AR162" s="218"/>
      <c r="AS162" s="218"/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  <c r="BD162" s="218"/>
      <c r="DB162" t="s">
        <v>386</v>
      </c>
    </row>
    <row r="163" ht="12.75" customHeight="1" spans="1:106" x14ac:dyDescent="0.25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218"/>
      <c r="AR163" s="218"/>
      <c r="AS163" s="218"/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  <c r="BD163" s="218"/>
      <c r="DB163" t="s">
        <v>387</v>
      </c>
    </row>
    <row r="164" ht="12.75" customHeight="1" spans="1:106" x14ac:dyDescent="0.25">
      <c r="A164" s="218"/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218"/>
      <c r="AR164" s="218"/>
      <c r="AS164" s="218"/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  <c r="BD164" s="218"/>
      <c r="DB164" t="s">
        <v>388</v>
      </c>
    </row>
    <row r="165" ht="12.75" customHeight="1" spans="1:106" x14ac:dyDescent="0.25">
      <c r="A165" s="218"/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218"/>
      <c r="AR165" s="218"/>
      <c r="AS165" s="218"/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  <c r="BD165" s="218"/>
      <c r="DB165" t="s">
        <v>389</v>
      </c>
    </row>
    <row r="166" ht="12.75" customHeight="1" spans="1:106" x14ac:dyDescent="0.25">
      <c r="A166" s="218"/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218"/>
      <c r="AR166" s="218"/>
      <c r="AS166" s="218"/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  <c r="BD166" s="218"/>
      <c r="DB166" t="s">
        <v>390</v>
      </c>
    </row>
    <row r="167" ht="12.75" customHeight="1" spans="1:106" x14ac:dyDescent="0.25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218"/>
      <c r="AR167" s="218"/>
      <c r="AS167" s="218"/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  <c r="BD167" s="218"/>
      <c r="DB167" t="s">
        <v>391</v>
      </c>
    </row>
    <row r="168" ht="12.75" customHeight="1" spans="1:106" x14ac:dyDescent="0.25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18"/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  <c r="BD168" s="218"/>
      <c r="DB168" t="s">
        <v>392</v>
      </c>
    </row>
    <row r="169" ht="12.75" customHeight="1" spans="1:106" x14ac:dyDescent="0.25">
      <c r="A169" s="218"/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8"/>
      <c r="AH169" s="218"/>
      <c r="AI169" s="218"/>
      <c r="AJ169" s="218"/>
      <c r="AK169" s="218"/>
      <c r="AL169" s="218"/>
      <c r="AM169" s="218"/>
      <c r="AN169" s="218"/>
      <c r="AO169" s="218"/>
      <c r="AP169" s="218"/>
      <c r="AQ169" s="218"/>
      <c r="AR169" s="218"/>
      <c r="AS169" s="218"/>
      <c r="AT169" s="218"/>
      <c r="AU169" s="218"/>
      <c r="AV169" s="218"/>
      <c r="AW169" s="218"/>
      <c r="AX169" s="218"/>
      <c r="AY169" s="218"/>
      <c r="AZ169" s="218"/>
      <c r="BA169" s="218"/>
      <c r="BB169" s="218"/>
      <c r="BC169" s="218"/>
      <c r="BD169" s="218"/>
      <c r="DB169" t="s">
        <v>393</v>
      </c>
    </row>
    <row r="170" ht="12.75" customHeight="1" spans="1:106" x14ac:dyDescent="0.25">
      <c r="A170" s="218"/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218"/>
      <c r="AR170" s="218"/>
      <c r="AS170" s="218"/>
      <c r="AT170" s="218"/>
      <c r="AU170" s="218"/>
      <c r="AV170" s="218"/>
      <c r="AW170" s="218"/>
      <c r="AX170" s="218"/>
      <c r="AY170" s="218"/>
      <c r="AZ170" s="218"/>
      <c r="BA170" s="218"/>
      <c r="BB170" s="218"/>
      <c r="BC170" s="218"/>
      <c r="BD170" s="218"/>
      <c r="DB170" t="s">
        <v>394</v>
      </c>
    </row>
    <row r="171" ht="12.75" customHeight="1" spans="1:106" x14ac:dyDescent="0.25">
      <c r="A171" s="218"/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218"/>
      <c r="AR171" s="218"/>
      <c r="AS171" s="218"/>
      <c r="AT171" s="218"/>
      <c r="AU171" s="218"/>
      <c r="AV171" s="218"/>
      <c r="AW171" s="218"/>
      <c r="AX171" s="218"/>
      <c r="AY171" s="218"/>
      <c r="AZ171" s="218"/>
      <c r="BA171" s="218"/>
      <c r="BB171" s="218"/>
      <c r="BC171" s="218"/>
      <c r="BD171" s="218"/>
      <c r="DB171" t="s">
        <v>395</v>
      </c>
    </row>
    <row r="172" ht="12.75" customHeight="1" spans="1:106" x14ac:dyDescent="0.25">
      <c r="A172" s="218"/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18"/>
      <c r="AU172" s="218"/>
      <c r="AV172" s="218"/>
      <c r="AW172" s="218"/>
      <c r="AX172" s="218"/>
      <c r="AY172" s="218"/>
      <c r="AZ172" s="218"/>
      <c r="BA172" s="218"/>
      <c r="BB172" s="218"/>
      <c r="BC172" s="218"/>
      <c r="BD172" s="218"/>
      <c r="DB172" t="s">
        <v>396</v>
      </c>
    </row>
    <row r="173" ht="12.75" customHeight="1" spans="1:106" x14ac:dyDescent="0.25">
      <c r="A173" s="218"/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218"/>
      <c r="AR173" s="218"/>
      <c r="AS173" s="218"/>
      <c r="AT173" s="218"/>
      <c r="AU173" s="218"/>
      <c r="AV173" s="218"/>
      <c r="AW173" s="218"/>
      <c r="AX173" s="218"/>
      <c r="AY173" s="218"/>
      <c r="AZ173" s="218"/>
      <c r="BA173" s="218"/>
      <c r="BB173" s="218"/>
      <c r="BC173" s="218"/>
      <c r="BD173" s="218"/>
      <c r="DB173" t="s">
        <v>397</v>
      </c>
    </row>
    <row r="174" ht="12.75" customHeight="1" spans="1:106" x14ac:dyDescent="0.25">
      <c r="A174" s="218"/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  <c r="AF174" s="218"/>
      <c r="AG174" s="218"/>
      <c r="AH174" s="218"/>
      <c r="AI174" s="218"/>
      <c r="AJ174" s="218"/>
      <c r="AK174" s="218"/>
      <c r="AL174" s="218"/>
      <c r="AM174" s="218"/>
      <c r="AN174" s="218"/>
      <c r="AO174" s="218"/>
      <c r="AP174" s="218"/>
      <c r="AQ174" s="218"/>
      <c r="AR174" s="218"/>
      <c r="AS174" s="218"/>
      <c r="AT174" s="218"/>
      <c r="AU174" s="218"/>
      <c r="AV174" s="218"/>
      <c r="AW174" s="218"/>
      <c r="AX174" s="218"/>
      <c r="AY174" s="218"/>
      <c r="AZ174" s="218"/>
      <c r="BA174" s="218"/>
      <c r="BB174" s="218"/>
      <c r="BC174" s="218"/>
      <c r="BD174" s="218"/>
      <c r="DB174" t="s">
        <v>398</v>
      </c>
    </row>
    <row r="175" ht="12.75" customHeight="1" spans="1:106" x14ac:dyDescent="0.25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  <c r="AF175" s="218"/>
      <c r="AG175" s="218"/>
      <c r="AH175" s="218"/>
      <c r="AI175" s="218"/>
      <c r="AJ175" s="218"/>
      <c r="AK175" s="218"/>
      <c r="AL175" s="218"/>
      <c r="AM175" s="218"/>
      <c r="AN175" s="218"/>
      <c r="AO175" s="218"/>
      <c r="AP175" s="218"/>
      <c r="AQ175" s="218"/>
      <c r="AR175" s="218"/>
      <c r="AS175" s="218"/>
      <c r="AT175" s="218"/>
      <c r="AU175" s="218"/>
      <c r="AV175" s="218"/>
      <c r="AW175" s="218"/>
      <c r="AX175" s="218"/>
      <c r="AY175" s="218"/>
      <c r="AZ175" s="218"/>
      <c r="BA175" s="218"/>
      <c r="BB175" s="218"/>
      <c r="BC175" s="218"/>
      <c r="BD175" s="218"/>
      <c r="DB175" t="s">
        <v>399</v>
      </c>
    </row>
    <row r="176" ht="12.75" customHeight="1" spans="1:106" x14ac:dyDescent="0.25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8"/>
      <c r="AQ176" s="218"/>
      <c r="AR176" s="218"/>
      <c r="AS176" s="218"/>
      <c r="AT176" s="218"/>
      <c r="AU176" s="218"/>
      <c r="AV176" s="218"/>
      <c r="AW176" s="218"/>
      <c r="AX176" s="218"/>
      <c r="AY176" s="218"/>
      <c r="AZ176" s="218"/>
      <c r="BA176" s="218"/>
      <c r="BB176" s="218"/>
      <c r="BC176" s="218"/>
      <c r="BD176" s="218"/>
      <c r="DB176" t="s">
        <v>400</v>
      </c>
    </row>
    <row r="177" ht="12.75" customHeight="1" spans="1:106" x14ac:dyDescent="0.25">
      <c r="A177" s="218"/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  <c r="AF177" s="218"/>
      <c r="AG177" s="218"/>
      <c r="AH177" s="218"/>
      <c r="AI177" s="218"/>
      <c r="AJ177" s="218"/>
      <c r="AK177" s="218"/>
      <c r="AL177" s="218"/>
      <c r="AM177" s="218"/>
      <c r="AN177" s="218"/>
      <c r="AO177" s="218"/>
      <c r="AP177" s="218"/>
      <c r="AQ177" s="218"/>
      <c r="AR177" s="218"/>
      <c r="AS177" s="218"/>
      <c r="AT177" s="218"/>
      <c r="AU177" s="218"/>
      <c r="AV177" s="218"/>
      <c r="AW177" s="218"/>
      <c r="AX177" s="218"/>
      <c r="AY177" s="218"/>
      <c r="AZ177" s="218"/>
      <c r="BA177" s="218"/>
      <c r="BB177" s="218"/>
      <c r="BC177" s="218"/>
      <c r="BD177" s="218"/>
      <c r="DB177" t="s">
        <v>401</v>
      </c>
    </row>
    <row r="178" ht="12.75" customHeight="1" spans="1:106" x14ac:dyDescent="0.25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  <c r="AF178" s="218"/>
      <c r="AG178" s="218"/>
      <c r="AH178" s="218"/>
      <c r="AI178" s="218"/>
      <c r="AJ178" s="218"/>
      <c r="AK178" s="218"/>
      <c r="AL178" s="218"/>
      <c r="AM178" s="218"/>
      <c r="AN178" s="218"/>
      <c r="AO178" s="218"/>
      <c r="AP178" s="218"/>
      <c r="AQ178" s="218"/>
      <c r="AR178" s="218"/>
      <c r="AS178" s="218"/>
      <c r="AT178" s="218"/>
      <c r="AU178" s="218"/>
      <c r="AV178" s="218"/>
      <c r="AW178" s="218"/>
      <c r="AX178" s="218"/>
      <c r="AY178" s="218"/>
      <c r="AZ178" s="218"/>
      <c r="BA178" s="218"/>
      <c r="BB178" s="218"/>
      <c r="BC178" s="218"/>
      <c r="BD178" s="218"/>
      <c r="DB178" t="s">
        <v>402</v>
      </c>
    </row>
    <row r="179" ht="12.75" customHeight="1" spans="1:106" x14ac:dyDescent="0.25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  <c r="AF179" s="218"/>
      <c r="AG179" s="218"/>
      <c r="AH179" s="218"/>
      <c r="AI179" s="218"/>
      <c r="AJ179" s="218"/>
      <c r="AK179" s="218"/>
      <c r="AL179" s="218"/>
      <c r="AM179" s="218"/>
      <c r="AN179" s="218"/>
      <c r="AO179" s="218"/>
      <c r="AP179" s="218"/>
      <c r="AQ179" s="218"/>
      <c r="AR179" s="218"/>
      <c r="AS179" s="218"/>
      <c r="AT179" s="218"/>
      <c r="AU179" s="218"/>
      <c r="AV179" s="218"/>
      <c r="AW179" s="218"/>
      <c r="AX179" s="218"/>
      <c r="AY179" s="218"/>
      <c r="AZ179" s="218"/>
      <c r="BA179" s="218"/>
      <c r="BB179" s="218"/>
      <c r="BC179" s="218"/>
      <c r="BD179" s="218"/>
      <c r="DB179" t="s">
        <v>403</v>
      </c>
    </row>
    <row r="180" ht="12.75" customHeight="1" spans="1:106" x14ac:dyDescent="0.25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  <c r="AF180" s="218"/>
      <c r="AG180" s="218"/>
      <c r="AH180" s="218"/>
      <c r="AI180" s="218"/>
      <c r="AJ180" s="218"/>
      <c r="AK180" s="218"/>
      <c r="AL180" s="218"/>
      <c r="AM180" s="218"/>
      <c r="AN180" s="218"/>
      <c r="AO180" s="218"/>
      <c r="AP180" s="218"/>
      <c r="AQ180" s="218"/>
      <c r="AR180" s="218"/>
      <c r="AS180" s="218"/>
      <c r="AT180" s="218"/>
      <c r="AU180" s="218"/>
      <c r="AV180" s="218"/>
      <c r="AW180" s="218"/>
      <c r="AX180" s="218"/>
      <c r="AY180" s="218"/>
      <c r="AZ180" s="218"/>
      <c r="BA180" s="218"/>
      <c r="BB180" s="218"/>
      <c r="BC180" s="218"/>
      <c r="BD180" s="218"/>
      <c r="DB180" t="s">
        <v>404</v>
      </c>
    </row>
    <row r="181" ht="12.75" customHeight="1" spans="1:106" x14ac:dyDescent="0.25">
      <c r="A181" s="218"/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  <c r="AF181" s="218"/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8"/>
      <c r="AY181" s="218"/>
      <c r="AZ181" s="218"/>
      <c r="BA181" s="218"/>
      <c r="BB181" s="218"/>
      <c r="BC181" s="218"/>
      <c r="BD181" s="218"/>
      <c r="DB181" t="s">
        <v>405</v>
      </c>
    </row>
    <row r="182" ht="12.75" customHeight="1" spans="1:106" x14ac:dyDescent="0.25">
      <c r="A182" s="218"/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  <c r="AF182" s="218"/>
      <c r="AG182" s="218"/>
      <c r="AH182" s="218"/>
      <c r="AI182" s="218"/>
      <c r="AJ182" s="218"/>
      <c r="AK182" s="218"/>
      <c r="AL182" s="218"/>
      <c r="AM182" s="218"/>
      <c r="AN182" s="218"/>
      <c r="AO182" s="218"/>
      <c r="AP182" s="218"/>
      <c r="AQ182" s="218"/>
      <c r="AR182" s="218"/>
      <c r="AS182" s="218"/>
      <c r="AT182" s="218"/>
      <c r="AU182" s="218"/>
      <c r="AV182" s="218"/>
      <c r="AW182" s="218"/>
      <c r="AX182" s="218"/>
      <c r="AY182" s="218"/>
      <c r="AZ182" s="218"/>
      <c r="BA182" s="218"/>
      <c r="BB182" s="218"/>
      <c r="BC182" s="218"/>
      <c r="BD182" s="218"/>
      <c r="DB182" t="s">
        <v>406</v>
      </c>
    </row>
    <row r="183" ht="12.75" customHeight="1" spans="1:106" x14ac:dyDescent="0.25">
      <c r="A183" s="218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  <c r="AF183" s="218"/>
      <c r="AG183" s="218"/>
      <c r="AH183" s="218"/>
      <c r="AI183" s="218"/>
      <c r="AJ183" s="218"/>
      <c r="AK183" s="218"/>
      <c r="AL183" s="218"/>
      <c r="AM183" s="218"/>
      <c r="AN183" s="218"/>
      <c r="AO183" s="218"/>
      <c r="AP183" s="218"/>
      <c r="AQ183" s="218"/>
      <c r="AR183" s="218"/>
      <c r="AS183" s="218"/>
      <c r="AT183" s="218"/>
      <c r="AU183" s="218"/>
      <c r="AV183" s="218"/>
      <c r="AW183" s="218"/>
      <c r="AX183" s="218"/>
      <c r="AY183" s="218"/>
      <c r="AZ183" s="218"/>
      <c r="BA183" s="218"/>
      <c r="BB183" s="218"/>
      <c r="BC183" s="218"/>
      <c r="BD183" s="218"/>
      <c r="DB183" t="s">
        <v>407</v>
      </c>
    </row>
    <row r="184" ht="12.75" customHeight="1" spans="1:106" x14ac:dyDescent="0.25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  <c r="AF184" s="218"/>
      <c r="AG184" s="218"/>
      <c r="AH184" s="218"/>
      <c r="AI184" s="218"/>
      <c r="AJ184" s="218"/>
      <c r="AK184" s="218"/>
      <c r="AL184" s="218"/>
      <c r="AM184" s="218"/>
      <c r="AN184" s="218"/>
      <c r="AO184" s="218"/>
      <c r="AP184" s="218"/>
      <c r="AQ184" s="218"/>
      <c r="AR184" s="218"/>
      <c r="AS184" s="218"/>
      <c r="AT184" s="218"/>
      <c r="AU184" s="218"/>
      <c r="AV184" s="218"/>
      <c r="AW184" s="218"/>
      <c r="AX184" s="218"/>
      <c r="AY184" s="218"/>
      <c r="AZ184" s="218"/>
      <c r="BA184" s="218"/>
      <c r="BB184" s="218"/>
      <c r="BC184" s="218"/>
      <c r="BD184" s="218"/>
      <c r="DB184" t="s">
        <v>408</v>
      </c>
    </row>
    <row r="185" ht="12.75" customHeight="1" spans="1:106" x14ac:dyDescent="0.25">
      <c r="A185" s="218"/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  <c r="AF185" s="218"/>
      <c r="AG185" s="218"/>
      <c r="AH185" s="218"/>
      <c r="AI185" s="218"/>
      <c r="AJ185" s="218"/>
      <c r="AK185" s="218"/>
      <c r="AL185" s="218"/>
      <c r="AM185" s="218"/>
      <c r="AN185" s="218"/>
      <c r="AO185" s="218"/>
      <c r="AP185" s="218"/>
      <c r="AQ185" s="218"/>
      <c r="AR185" s="218"/>
      <c r="AS185" s="218"/>
      <c r="AT185" s="218"/>
      <c r="AU185" s="218"/>
      <c r="AV185" s="218"/>
      <c r="AW185" s="218"/>
      <c r="AX185" s="218"/>
      <c r="AY185" s="218"/>
      <c r="AZ185" s="218"/>
      <c r="BA185" s="218"/>
      <c r="BB185" s="218"/>
      <c r="BC185" s="218"/>
      <c r="BD185" s="218"/>
      <c r="DB185" t="s">
        <v>409</v>
      </c>
    </row>
    <row r="186" ht="12.75" customHeight="1" spans="1:106" x14ac:dyDescent="0.25">
      <c r="A186" s="218"/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  <c r="AF186" s="218"/>
      <c r="AG186" s="218"/>
      <c r="AH186" s="218"/>
      <c r="AI186" s="218"/>
      <c r="AJ186" s="218"/>
      <c r="AK186" s="218"/>
      <c r="AL186" s="218"/>
      <c r="AM186" s="218"/>
      <c r="AN186" s="218"/>
      <c r="AO186" s="218"/>
      <c r="AP186" s="218"/>
      <c r="AQ186" s="218"/>
      <c r="AR186" s="218"/>
      <c r="AS186" s="218"/>
      <c r="AT186" s="218"/>
      <c r="AU186" s="218"/>
      <c r="AV186" s="218"/>
      <c r="AW186" s="218"/>
      <c r="AX186" s="218"/>
      <c r="AY186" s="218"/>
      <c r="AZ186" s="218"/>
      <c r="BA186" s="218"/>
      <c r="BB186" s="218"/>
      <c r="BC186" s="218"/>
      <c r="BD186" s="218"/>
      <c r="DB186" t="s">
        <v>410</v>
      </c>
    </row>
    <row r="187" ht="12.75" customHeight="1" spans="1:106" x14ac:dyDescent="0.25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  <c r="AF187" s="218"/>
      <c r="AG187" s="218"/>
      <c r="AH187" s="218"/>
      <c r="AI187" s="218"/>
      <c r="AJ187" s="218"/>
      <c r="AK187" s="218"/>
      <c r="AL187" s="218"/>
      <c r="AM187" s="218"/>
      <c r="AN187" s="218"/>
      <c r="AO187" s="218"/>
      <c r="AP187" s="218"/>
      <c r="AQ187" s="218"/>
      <c r="AR187" s="218"/>
      <c r="AS187" s="218"/>
      <c r="AT187" s="218"/>
      <c r="AU187" s="218"/>
      <c r="AV187" s="218"/>
      <c r="AW187" s="218"/>
      <c r="AX187" s="218"/>
      <c r="AY187" s="218"/>
      <c r="AZ187" s="218"/>
      <c r="BA187" s="218"/>
      <c r="BB187" s="218"/>
      <c r="BC187" s="218"/>
      <c r="BD187" s="218"/>
      <c r="DB187" t="s">
        <v>411</v>
      </c>
    </row>
    <row r="188" ht="12.75" customHeight="1" spans="1:106" x14ac:dyDescent="0.25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  <c r="AF188" s="218"/>
      <c r="AG188" s="218"/>
      <c r="AH188" s="218"/>
      <c r="AI188" s="218"/>
      <c r="AJ188" s="218"/>
      <c r="AK188" s="218"/>
      <c r="AL188" s="218"/>
      <c r="AM188" s="218"/>
      <c r="AN188" s="218"/>
      <c r="AO188" s="218"/>
      <c r="AP188" s="218"/>
      <c r="AQ188" s="218"/>
      <c r="AR188" s="218"/>
      <c r="AS188" s="218"/>
      <c r="AT188" s="218"/>
      <c r="AU188" s="218"/>
      <c r="AV188" s="218"/>
      <c r="AW188" s="218"/>
      <c r="AX188" s="218"/>
      <c r="AY188" s="218"/>
      <c r="AZ188" s="218"/>
      <c r="BA188" s="218"/>
      <c r="BB188" s="218"/>
      <c r="BC188" s="218"/>
      <c r="BD188" s="218"/>
      <c r="DB188" t="s">
        <v>412</v>
      </c>
    </row>
    <row r="189" ht="12.75" customHeight="1" spans="1:106" x14ac:dyDescent="0.25">
      <c r="A189" s="218"/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  <c r="AF189" s="218"/>
      <c r="AG189" s="218"/>
      <c r="AH189" s="218"/>
      <c r="AI189" s="218"/>
      <c r="AJ189" s="218"/>
      <c r="AK189" s="218"/>
      <c r="AL189" s="218"/>
      <c r="AM189" s="218"/>
      <c r="AN189" s="218"/>
      <c r="AO189" s="218"/>
      <c r="AP189" s="218"/>
      <c r="AQ189" s="218"/>
      <c r="AR189" s="218"/>
      <c r="AS189" s="218"/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  <c r="BD189" s="218"/>
      <c r="DB189" t="s">
        <v>413</v>
      </c>
    </row>
    <row r="190" ht="12.75" customHeight="1" spans="1:106" x14ac:dyDescent="0.25">
      <c r="A190" s="218"/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  <c r="AF190" s="218"/>
      <c r="AG190" s="218"/>
      <c r="AH190" s="218"/>
      <c r="AI190" s="218"/>
      <c r="AJ190" s="218"/>
      <c r="AK190" s="218"/>
      <c r="AL190" s="218"/>
      <c r="AM190" s="218"/>
      <c r="AN190" s="218"/>
      <c r="AO190" s="218"/>
      <c r="AP190" s="218"/>
      <c r="AQ190" s="218"/>
      <c r="AR190" s="218"/>
      <c r="AS190" s="218"/>
      <c r="AT190" s="218"/>
      <c r="AU190" s="218"/>
      <c r="AV190" s="218"/>
      <c r="AW190" s="218"/>
      <c r="AX190" s="218"/>
      <c r="AY190" s="218"/>
      <c r="AZ190" s="218"/>
      <c r="BA190" s="218"/>
      <c r="BB190" s="218"/>
      <c r="BC190" s="218"/>
      <c r="BD190" s="218"/>
      <c r="DB190" t="s">
        <v>414</v>
      </c>
    </row>
    <row r="191" ht="12.75" customHeight="1" spans="1:106" x14ac:dyDescent="0.25">
      <c r="A191" s="218"/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  <c r="AF191" s="218"/>
      <c r="AG191" s="218"/>
      <c r="AH191" s="218"/>
      <c r="AI191" s="218"/>
      <c r="AJ191" s="218"/>
      <c r="AK191" s="218"/>
      <c r="AL191" s="218"/>
      <c r="AM191" s="218"/>
      <c r="AN191" s="218"/>
      <c r="AO191" s="218"/>
      <c r="AP191" s="218"/>
      <c r="AQ191" s="218"/>
      <c r="AR191" s="218"/>
      <c r="AS191" s="218"/>
      <c r="AT191" s="218"/>
      <c r="AU191" s="218"/>
      <c r="AV191" s="218"/>
      <c r="AW191" s="218"/>
      <c r="AX191" s="218"/>
      <c r="AY191" s="218"/>
      <c r="AZ191" s="218"/>
      <c r="BA191" s="218"/>
      <c r="BB191" s="218"/>
      <c r="BC191" s="218"/>
      <c r="BD191" s="218"/>
      <c r="DB191" t="s">
        <v>415</v>
      </c>
    </row>
    <row r="192" ht="12.75" customHeight="1" spans="1:106" x14ac:dyDescent="0.25">
      <c r="A192" s="218"/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  <c r="AF192" s="218"/>
      <c r="AG192" s="218"/>
      <c r="AH192" s="218"/>
      <c r="AI192" s="218"/>
      <c r="AJ192" s="218"/>
      <c r="AK192" s="218"/>
      <c r="AL192" s="218"/>
      <c r="AM192" s="218"/>
      <c r="AN192" s="218"/>
      <c r="AO192" s="218"/>
      <c r="AP192" s="218"/>
      <c r="AQ192" s="218"/>
      <c r="AR192" s="218"/>
      <c r="AS192" s="218"/>
      <c r="AT192" s="218"/>
      <c r="AU192" s="218"/>
      <c r="AV192" s="218"/>
      <c r="AW192" s="218"/>
      <c r="AX192" s="218"/>
      <c r="AY192" s="218"/>
      <c r="AZ192" s="218"/>
      <c r="BA192" s="218"/>
      <c r="BB192" s="218"/>
      <c r="BC192" s="218"/>
      <c r="BD192" s="218"/>
      <c r="DB192" t="s">
        <v>416</v>
      </c>
    </row>
    <row r="193" ht="12.75" customHeight="1" spans="1:106" x14ac:dyDescent="0.25">
      <c r="A193" s="218"/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  <c r="AF193" s="218"/>
      <c r="AG193" s="218"/>
      <c r="AH193" s="218"/>
      <c r="AI193" s="218"/>
      <c r="AJ193" s="218"/>
      <c r="AK193" s="218"/>
      <c r="AL193" s="218"/>
      <c r="AM193" s="218"/>
      <c r="AN193" s="218"/>
      <c r="AO193" s="218"/>
      <c r="AP193" s="218"/>
      <c r="AQ193" s="218"/>
      <c r="AR193" s="218"/>
      <c r="AS193" s="218"/>
      <c r="AT193" s="218"/>
      <c r="AU193" s="218"/>
      <c r="AV193" s="218"/>
      <c r="AW193" s="218"/>
      <c r="AX193" s="218"/>
      <c r="AY193" s="218"/>
      <c r="AZ193" s="218"/>
      <c r="BA193" s="218"/>
      <c r="BB193" s="218"/>
      <c r="BC193" s="218"/>
      <c r="BD193" s="218"/>
      <c r="DB193" t="s">
        <v>417</v>
      </c>
    </row>
    <row r="194" ht="12.75" customHeight="1" spans="1:106" x14ac:dyDescent="0.25">
      <c r="A194" s="218"/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  <c r="AF194" s="218"/>
      <c r="AG194" s="218"/>
      <c r="AH194" s="218"/>
      <c r="AI194" s="218"/>
      <c r="AJ194" s="218"/>
      <c r="AK194" s="218"/>
      <c r="AL194" s="218"/>
      <c r="AM194" s="218"/>
      <c r="AN194" s="218"/>
      <c r="AO194" s="218"/>
      <c r="AP194" s="218"/>
      <c r="AQ194" s="218"/>
      <c r="AR194" s="218"/>
      <c r="AS194" s="218"/>
      <c r="AT194" s="218"/>
      <c r="AU194" s="218"/>
      <c r="AV194" s="218"/>
      <c r="AW194" s="218"/>
      <c r="AX194" s="218"/>
      <c r="AY194" s="218"/>
      <c r="AZ194" s="218"/>
      <c r="BA194" s="218"/>
      <c r="BB194" s="218"/>
      <c r="BC194" s="218"/>
      <c r="BD194" s="218"/>
      <c r="DB194" t="s">
        <v>418</v>
      </c>
    </row>
    <row r="195" ht="12.75" customHeight="1" spans="1:106" x14ac:dyDescent="0.25">
      <c r="A195" s="218"/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  <c r="AF195" s="218"/>
      <c r="AG195" s="218"/>
      <c r="AH195" s="218"/>
      <c r="AI195" s="218"/>
      <c r="AJ195" s="218"/>
      <c r="AK195" s="218"/>
      <c r="AL195" s="218"/>
      <c r="AM195" s="218"/>
      <c r="AN195" s="218"/>
      <c r="AO195" s="218"/>
      <c r="AP195" s="218"/>
      <c r="AQ195" s="218"/>
      <c r="AR195" s="218"/>
      <c r="AS195" s="218"/>
      <c r="AT195" s="218"/>
      <c r="AU195" s="218"/>
      <c r="AV195" s="218"/>
      <c r="AW195" s="218"/>
      <c r="AX195" s="218"/>
      <c r="AY195" s="218"/>
      <c r="AZ195" s="218"/>
      <c r="BA195" s="218"/>
      <c r="BB195" s="218"/>
      <c r="BC195" s="218"/>
      <c r="BD195" s="218"/>
      <c r="DB195" t="s">
        <v>419</v>
      </c>
    </row>
    <row r="196" ht="12.75" customHeight="1" spans="1:106" x14ac:dyDescent="0.25">
      <c r="A196" s="218"/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  <c r="AF196" s="218"/>
      <c r="AG196" s="218"/>
      <c r="AH196" s="218"/>
      <c r="AI196" s="218"/>
      <c r="AJ196" s="218"/>
      <c r="AK196" s="218"/>
      <c r="AL196" s="218"/>
      <c r="AM196" s="218"/>
      <c r="AN196" s="218"/>
      <c r="AO196" s="218"/>
      <c r="AP196" s="218"/>
      <c r="AQ196" s="218"/>
      <c r="AR196" s="218"/>
      <c r="AS196" s="218"/>
      <c r="AT196" s="218"/>
      <c r="AU196" s="218"/>
      <c r="AV196" s="218"/>
      <c r="AW196" s="218"/>
      <c r="AX196" s="218"/>
      <c r="AY196" s="218"/>
      <c r="AZ196" s="218"/>
      <c r="BA196" s="218"/>
      <c r="BB196" s="218"/>
      <c r="BC196" s="218"/>
      <c r="BD196" s="218"/>
      <c r="DB196" t="s">
        <v>420</v>
      </c>
    </row>
    <row r="197" ht="12.75" customHeight="1" spans="1:106" x14ac:dyDescent="0.25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  <c r="AF197" s="218"/>
      <c r="AG197" s="218"/>
      <c r="AH197" s="218"/>
      <c r="AI197" s="218"/>
      <c r="AJ197" s="218"/>
      <c r="AK197" s="218"/>
      <c r="AL197" s="218"/>
      <c r="AM197" s="218"/>
      <c r="AN197" s="218"/>
      <c r="AO197" s="218"/>
      <c r="AP197" s="218"/>
      <c r="AQ197" s="218"/>
      <c r="AR197" s="218"/>
      <c r="AS197" s="218"/>
      <c r="AT197" s="218"/>
      <c r="AU197" s="218"/>
      <c r="AV197" s="218"/>
      <c r="AW197" s="218"/>
      <c r="AX197" s="218"/>
      <c r="AY197" s="218"/>
      <c r="AZ197" s="218"/>
      <c r="BA197" s="218"/>
      <c r="BB197" s="218"/>
      <c r="BC197" s="218"/>
      <c r="BD197" s="218"/>
      <c r="DB197" t="s">
        <v>421</v>
      </c>
    </row>
    <row r="198" ht="12.75" customHeight="1" spans="1:106" x14ac:dyDescent="0.25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  <c r="AF198" s="218"/>
      <c r="AG198" s="218"/>
      <c r="AH198" s="218"/>
      <c r="AI198" s="218"/>
      <c r="AJ198" s="218"/>
      <c r="AK198" s="218"/>
      <c r="AL198" s="218"/>
      <c r="AM198" s="218"/>
      <c r="AN198" s="218"/>
      <c r="AO198" s="218"/>
      <c r="AP198" s="218"/>
      <c r="AQ198" s="218"/>
      <c r="AR198" s="218"/>
      <c r="AS198" s="218"/>
      <c r="AT198" s="218"/>
      <c r="AU198" s="218"/>
      <c r="AV198" s="218"/>
      <c r="AW198" s="218"/>
      <c r="AX198" s="218"/>
      <c r="AY198" s="218"/>
      <c r="AZ198" s="218"/>
      <c r="BA198" s="218"/>
      <c r="BB198" s="218"/>
      <c r="BC198" s="218"/>
      <c r="BD198" s="218"/>
      <c r="DB198" t="s">
        <v>422</v>
      </c>
    </row>
    <row r="199" ht="12.75" customHeight="1" spans="1:106" x14ac:dyDescent="0.25">
      <c r="A199" s="218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  <c r="AF199" s="218"/>
      <c r="AG199" s="218"/>
      <c r="AH199" s="218"/>
      <c r="AI199" s="218"/>
      <c r="AJ199" s="218"/>
      <c r="AK199" s="218"/>
      <c r="AL199" s="218"/>
      <c r="AM199" s="218"/>
      <c r="AN199" s="218"/>
      <c r="AO199" s="218"/>
      <c r="AP199" s="218"/>
      <c r="AQ199" s="218"/>
      <c r="AR199" s="218"/>
      <c r="AS199" s="218"/>
      <c r="AT199" s="218"/>
      <c r="AU199" s="218"/>
      <c r="AV199" s="218"/>
      <c r="AW199" s="218"/>
      <c r="AX199" s="218"/>
      <c r="AY199" s="218"/>
      <c r="AZ199" s="218"/>
      <c r="BA199" s="218"/>
      <c r="BB199" s="218"/>
      <c r="BC199" s="218"/>
      <c r="BD199" s="218"/>
      <c r="DB199" t="s">
        <v>423</v>
      </c>
    </row>
    <row r="200" ht="12.75" customHeight="1" spans="1:106" x14ac:dyDescent="0.25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  <c r="AF200" s="218"/>
      <c r="AG200" s="218"/>
      <c r="AH200" s="218"/>
      <c r="AI200" s="218"/>
      <c r="AJ200" s="218"/>
      <c r="AK200" s="218"/>
      <c r="AL200" s="218"/>
      <c r="AM200" s="218"/>
      <c r="AN200" s="218"/>
      <c r="AO200" s="218"/>
      <c r="AP200" s="218"/>
      <c r="AQ200" s="218"/>
      <c r="AR200" s="218"/>
      <c r="AS200" s="218"/>
      <c r="AT200" s="218"/>
      <c r="AU200" s="218"/>
      <c r="AV200" s="218"/>
      <c r="AW200" s="218"/>
      <c r="AX200" s="218"/>
      <c r="AY200" s="218"/>
      <c r="AZ200" s="218"/>
      <c r="BA200" s="218"/>
      <c r="BB200" s="218"/>
      <c r="BC200" s="218"/>
      <c r="BD200" s="218"/>
      <c r="DB200" t="s">
        <v>424</v>
      </c>
    </row>
    <row r="201" ht="12.75" customHeight="1" spans="1:106" x14ac:dyDescent="0.25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  <c r="AF201" s="218"/>
      <c r="AG201" s="218"/>
      <c r="AH201" s="218"/>
      <c r="AI201" s="218"/>
      <c r="AJ201" s="218"/>
      <c r="AK201" s="218"/>
      <c r="AL201" s="218"/>
      <c r="AM201" s="218"/>
      <c r="AN201" s="218"/>
      <c r="AO201" s="218"/>
      <c r="AP201" s="218"/>
      <c r="AQ201" s="218"/>
      <c r="AR201" s="218"/>
      <c r="AS201" s="218"/>
      <c r="AT201" s="218"/>
      <c r="AU201" s="218"/>
      <c r="AV201" s="218"/>
      <c r="AW201" s="218"/>
      <c r="AX201" s="218"/>
      <c r="AY201" s="218"/>
      <c r="AZ201" s="218"/>
      <c r="BA201" s="218"/>
      <c r="BB201" s="218"/>
      <c r="BC201" s="218"/>
      <c r="BD201" s="218"/>
      <c r="DB201" t="s">
        <v>425</v>
      </c>
    </row>
    <row r="202" ht="12.75" customHeight="1" spans="1:106" x14ac:dyDescent="0.25">
      <c r="A202" s="218"/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  <c r="AF202" s="218"/>
      <c r="AG202" s="218"/>
      <c r="AH202" s="218"/>
      <c r="AI202" s="218"/>
      <c r="AJ202" s="218"/>
      <c r="AK202" s="218"/>
      <c r="AL202" s="218"/>
      <c r="AM202" s="218"/>
      <c r="AN202" s="218"/>
      <c r="AO202" s="218"/>
      <c r="AP202" s="218"/>
      <c r="AQ202" s="218"/>
      <c r="AR202" s="218"/>
      <c r="AS202" s="218"/>
      <c r="AT202" s="218"/>
      <c r="AU202" s="218"/>
      <c r="AV202" s="218"/>
      <c r="AW202" s="218"/>
      <c r="AX202" s="218"/>
      <c r="AY202" s="218"/>
      <c r="AZ202" s="218"/>
      <c r="BA202" s="218"/>
      <c r="BB202" s="218"/>
      <c r="BC202" s="218"/>
      <c r="BD202" s="218"/>
      <c r="DB202" t="s">
        <v>426</v>
      </c>
    </row>
    <row r="203" ht="12.75" customHeight="1" spans="1:106" x14ac:dyDescent="0.25">
      <c r="A203" s="218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  <c r="AF203" s="218"/>
      <c r="AG203" s="218"/>
      <c r="AH203" s="218"/>
      <c r="AI203" s="218"/>
      <c r="AJ203" s="218"/>
      <c r="AK203" s="218"/>
      <c r="AL203" s="218"/>
      <c r="AM203" s="218"/>
      <c r="AN203" s="218"/>
      <c r="AO203" s="218"/>
      <c r="AP203" s="218"/>
      <c r="AQ203" s="218"/>
      <c r="AR203" s="218"/>
      <c r="AS203" s="218"/>
      <c r="AT203" s="218"/>
      <c r="AU203" s="218"/>
      <c r="AV203" s="218"/>
      <c r="AW203" s="218"/>
      <c r="AX203" s="218"/>
      <c r="AY203" s="218"/>
      <c r="AZ203" s="218"/>
      <c r="BA203" s="218"/>
      <c r="BB203" s="218"/>
      <c r="BC203" s="218"/>
      <c r="BD203" s="218"/>
      <c r="DB203" t="s">
        <v>427</v>
      </c>
    </row>
    <row r="204" ht="12.75" customHeight="1" spans="1:106" x14ac:dyDescent="0.25">
      <c r="A204" s="218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  <c r="AF204" s="218"/>
      <c r="AG204" s="218"/>
      <c r="AH204" s="218"/>
      <c r="AI204" s="218"/>
      <c r="AJ204" s="218"/>
      <c r="AK204" s="218"/>
      <c r="AL204" s="218"/>
      <c r="AM204" s="218"/>
      <c r="AN204" s="218"/>
      <c r="AO204" s="218"/>
      <c r="AP204" s="218"/>
      <c r="AQ204" s="218"/>
      <c r="AR204" s="218"/>
      <c r="AS204" s="218"/>
      <c r="AT204" s="218"/>
      <c r="AU204" s="218"/>
      <c r="AV204" s="218"/>
      <c r="AW204" s="218"/>
      <c r="AX204" s="218"/>
      <c r="AY204" s="218"/>
      <c r="AZ204" s="218"/>
      <c r="BA204" s="218"/>
      <c r="BB204" s="218"/>
      <c r="BC204" s="218"/>
      <c r="BD204" s="218"/>
      <c r="DB204" t="s">
        <v>428</v>
      </c>
    </row>
    <row r="205" ht="12.75" customHeight="1" spans="1:106" x14ac:dyDescent="0.25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  <c r="AF205" s="218"/>
      <c r="AG205" s="218"/>
      <c r="AH205" s="218"/>
      <c r="AI205" s="218"/>
      <c r="AJ205" s="218"/>
      <c r="AK205" s="218"/>
      <c r="AL205" s="218"/>
      <c r="AM205" s="218"/>
      <c r="AN205" s="218"/>
      <c r="AO205" s="218"/>
      <c r="AP205" s="218"/>
      <c r="AQ205" s="218"/>
      <c r="AR205" s="218"/>
      <c r="AS205" s="218"/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  <c r="BD205" s="218"/>
      <c r="DB205" t="s">
        <v>429</v>
      </c>
    </row>
    <row r="206" ht="12.75" customHeight="1" spans="1:106" x14ac:dyDescent="0.25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  <c r="AF206" s="218"/>
      <c r="AG206" s="218"/>
      <c r="AH206" s="218"/>
      <c r="AI206" s="218"/>
      <c r="AJ206" s="218"/>
      <c r="AK206" s="218"/>
      <c r="AL206" s="218"/>
      <c r="AM206" s="218"/>
      <c r="AN206" s="218"/>
      <c r="AO206" s="218"/>
      <c r="AP206" s="218"/>
      <c r="AQ206" s="218"/>
      <c r="AR206" s="218"/>
      <c r="AS206" s="218"/>
      <c r="AT206" s="218"/>
      <c r="AU206" s="218"/>
      <c r="AV206" s="218"/>
      <c r="AW206" s="218"/>
      <c r="AX206" s="218"/>
      <c r="AY206" s="218"/>
      <c r="AZ206" s="218"/>
      <c r="BA206" s="218"/>
      <c r="BB206" s="218"/>
      <c r="BC206" s="218"/>
      <c r="BD206" s="218"/>
      <c r="DB206" t="s">
        <v>430</v>
      </c>
    </row>
    <row r="207" ht="12.75" customHeight="1" spans="1:106" x14ac:dyDescent="0.25">
      <c r="A207" s="218"/>
      <c r="B207" s="218"/>
      <c r="C207" s="218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  <c r="AF207" s="218"/>
      <c r="AG207" s="218"/>
      <c r="AH207" s="218"/>
      <c r="AI207" s="218"/>
      <c r="AJ207" s="218"/>
      <c r="AK207" s="218"/>
      <c r="AL207" s="218"/>
      <c r="AM207" s="218"/>
      <c r="AN207" s="218"/>
      <c r="AO207" s="218"/>
      <c r="AP207" s="218"/>
      <c r="AQ207" s="218"/>
      <c r="AR207" s="218"/>
      <c r="AS207" s="218"/>
      <c r="AT207" s="218"/>
      <c r="AU207" s="218"/>
      <c r="AV207" s="218"/>
      <c r="AW207" s="218"/>
      <c r="AX207" s="218"/>
      <c r="AY207" s="218"/>
      <c r="AZ207" s="218"/>
      <c r="BA207" s="218"/>
      <c r="BB207" s="218"/>
      <c r="BC207" s="218"/>
      <c r="BD207" s="218"/>
      <c r="DB207" t="s">
        <v>431</v>
      </c>
    </row>
    <row r="208" ht="12.75" customHeight="1" spans="1:106" x14ac:dyDescent="0.25">
      <c r="A208" s="218"/>
      <c r="B208" s="218"/>
      <c r="C208" s="218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  <c r="AF208" s="218"/>
      <c r="AG208" s="218"/>
      <c r="AH208" s="218"/>
      <c r="AI208" s="218"/>
      <c r="AJ208" s="218"/>
      <c r="AK208" s="218"/>
      <c r="AL208" s="218"/>
      <c r="AM208" s="218"/>
      <c r="AN208" s="218"/>
      <c r="AO208" s="218"/>
      <c r="AP208" s="218"/>
      <c r="AQ208" s="218"/>
      <c r="AR208" s="218"/>
      <c r="AS208" s="218"/>
      <c r="AT208" s="218"/>
      <c r="AU208" s="218"/>
      <c r="AV208" s="218"/>
      <c r="AW208" s="218"/>
      <c r="AX208" s="218"/>
      <c r="AY208" s="218"/>
      <c r="AZ208" s="218"/>
      <c r="BA208" s="218"/>
      <c r="BB208" s="218"/>
      <c r="BC208" s="218"/>
      <c r="BD208" s="218"/>
      <c r="DB208" t="s">
        <v>432</v>
      </c>
    </row>
    <row r="209" ht="12.75" customHeight="1" spans="1:106" x14ac:dyDescent="0.25">
      <c r="A209" s="218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  <c r="AF209" s="218"/>
      <c r="AG209" s="218"/>
      <c r="AH209" s="218"/>
      <c r="AI209" s="218"/>
      <c r="AJ209" s="218"/>
      <c r="AK209" s="218"/>
      <c r="AL209" s="218"/>
      <c r="AM209" s="218"/>
      <c r="AN209" s="218"/>
      <c r="AO209" s="218"/>
      <c r="AP209" s="218"/>
      <c r="AQ209" s="218"/>
      <c r="AR209" s="218"/>
      <c r="AS209" s="218"/>
      <c r="AT209" s="218"/>
      <c r="AU209" s="218"/>
      <c r="AV209" s="218"/>
      <c r="AW209" s="218"/>
      <c r="AX209" s="218"/>
      <c r="AY209" s="218"/>
      <c r="AZ209" s="218"/>
      <c r="BA209" s="218"/>
      <c r="BB209" s="218"/>
      <c r="BC209" s="218"/>
      <c r="BD209" s="218"/>
      <c r="DB209" t="s">
        <v>433</v>
      </c>
    </row>
    <row r="210" ht="12.75" customHeight="1" spans="1:106" x14ac:dyDescent="0.25">
      <c r="A210" s="218"/>
      <c r="B210" s="218"/>
      <c r="C210" s="218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  <c r="AF210" s="218"/>
      <c r="AG210" s="218"/>
      <c r="AH210" s="218"/>
      <c r="AI210" s="218"/>
      <c r="AJ210" s="218"/>
      <c r="AK210" s="218"/>
      <c r="AL210" s="218"/>
      <c r="AM210" s="218"/>
      <c r="AN210" s="218"/>
      <c r="AO210" s="218"/>
      <c r="AP210" s="218"/>
      <c r="AQ210" s="218"/>
      <c r="AR210" s="218"/>
      <c r="AS210" s="218"/>
      <c r="AT210" s="218"/>
      <c r="AU210" s="218"/>
      <c r="AV210" s="218"/>
      <c r="AW210" s="218"/>
      <c r="AX210" s="218"/>
      <c r="AY210" s="218"/>
      <c r="AZ210" s="218"/>
      <c r="BA210" s="218"/>
      <c r="BB210" s="218"/>
      <c r="BC210" s="218"/>
      <c r="BD210" s="218"/>
      <c r="DB210" t="s">
        <v>434</v>
      </c>
    </row>
    <row r="211" ht="12.75" customHeight="1" spans="1:106" x14ac:dyDescent="0.25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8"/>
      <c r="AH211" s="218"/>
      <c r="AI211" s="218"/>
      <c r="AJ211" s="218"/>
      <c r="AK211" s="218"/>
      <c r="AL211" s="218"/>
      <c r="AM211" s="218"/>
      <c r="AN211" s="218"/>
      <c r="AO211" s="218"/>
      <c r="AP211" s="218"/>
      <c r="AQ211" s="218"/>
      <c r="AR211" s="218"/>
      <c r="AS211" s="218"/>
      <c r="AT211" s="218"/>
      <c r="AU211" s="218"/>
      <c r="AV211" s="218"/>
      <c r="AW211" s="218"/>
      <c r="AX211" s="218"/>
      <c r="AY211" s="218"/>
      <c r="AZ211" s="218"/>
      <c r="BA211" s="218"/>
      <c r="BB211" s="218"/>
      <c r="BC211" s="218"/>
      <c r="BD211" s="218"/>
      <c r="DB211" t="s">
        <v>435</v>
      </c>
    </row>
    <row r="212" ht="12.75" customHeight="1" spans="1:106" x14ac:dyDescent="0.25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  <c r="AF212" s="218"/>
      <c r="AG212" s="218"/>
      <c r="AH212" s="218"/>
      <c r="AI212" s="218"/>
      <c r="AJ212" s="218"/>
      <c r="AK212" s="218"/>
      <c r="AL212" s="218"/>
      <c r="AM212" s="218"/>
      <c r="AN212" s="218"/>
      <c r="AO212" s="218"/>
      <c r="AP212" s="218"/>
      <c r="AQ212" s="218"/>
      <c r="AR212" s="218"/>
      <c r="AS212" s="218"/>
      <c r="AT212" s="218"/>
      <c r="AU212" s="218"/>
      <c r="AV212" s="218"/>
      <c r="AW212" s="218"/>
      <c r="AX212" s="218"/>
      <c r="AY212" s="218"/>
      <c r="AZ212" s="218"/>
      <c r="BA212" s="218"/>
      <c r="BB212" s="218"/>
      <c r="BC212" s="218"/>
      <c r="BD212" s="218"/>
      <c r="DB212" t="s">
        <v>436</v>
      </c>
    </row>
    <row r="213" ht="12.75" customHeight="1" spans="1:106" x14ac:dyDescent="0.25">
      <c r="A213" s="218"/>
      <c r="B213" s="218"/>
      <c r="C213" s="218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8"/>
      <c r="AH213" s="218"/>
      <c r="AI213" s="218"/>
      <c r="AJ213" s="218"/>
      <c r="AK213" s="218"/>
      <c r="AL213" s="218"/>
      <c r="AM213" s="218"/>
      <c r="AN213" s="218"/>
      <c r="AO213" s="218"/>
      <c r="AP213" s="218"/>
      <c r="AQ213" s="218"/>
      <c r="AR213" s="218"/>
      <c r="AS213" s="218"/>
      <c r="AT213" s="218"/>
      <c r="AU213" s="218"/>
      <c r="AV213" s="218"/>
      <c r="AW213" s="218"/>
      <c r="AX213" s="218"/>
      <c r="AY213" s="218"/>
      <c r="AZ213" s="218"/>
      <c r="BA213" s="218"/>
      <c r="BB213" s="218"/>
      <c r="BC213" s="218"/>
      <c r="BD213" s="218"/>
      <c r="DB213" t="s">
        <v>437</v>
      </c>
    </row>
    <row r="214" ht="12.75" customHeight="1" spans="1:106" x14ac:dyDescent="0.25">
      <c r="A214" s="218"/>
      <c r="B214" s="218"/>
      <c r="C214" s="218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  <c r="AF214" s="218"/>
      <c r="AG214" s="218"/>
      <c r="AH214" s="218"/>
      <c r="AI214" s="218"/>
      <c r="AJ214" s="218"/>
      <c r="AK214" s="218"/>
      <c r="AL214" s="218"/>
      <c r="AM214" s="218"/>
      <c r="AN214" s="218"/>
      <c r="AO214" s="218"/>
      <c r="AP214" s="218"/>
      <c r="AQ214" s="218"/>
      <c r="AR214" s="218"/>
      <c r="AS214" s="218"/>
      <c r="AT214" s="218"/>
      <c r="AU214" s="218"/>
      <c r="AV214" s="218"/>
      <c r="AW214" s="218"/>
      <c r="AX214" s="218"/>
      <c r="AY214" s="218"/>
      <c r="AZ214" s="218"/>
      <c r="BA214" s="218"/>
      <c r="BB214" s="218"/>
      <c r="BC214" s="218"/>
      <c r="BD214" s="218"/>
      <c r="DB214" t="s">
        <v>438</v>
      </c>
    </row>
    <row r="215" ht="12.75" customHeight="1" spans="1:106" x14ac:dyDescent="0.25">
      <c r="A215" s="218"/>
      <c r="B215" s="218"/>
      <c r="C215" s="218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  <c r="AF215" s="218"/>
      <c r="AG215" s="218"/>
      <c r="AH215" s="218"/>
      <c r="AI215" s="218"/>
      <c r="AJ215" s="218"/>
      <c r="AK215" s="218"/>
      <c r="AL215" s="218"/>
      <c r="AM215" s="218"/>
      <c r="AN215" s="218"/>
      <c r="AO215" s="218"/>
      <c r="AP215" s="218"/>
      <c r="AQ215" s="218"/>
      <c r="AR215" s="218"/>
      <c r="AS215" s="218"/>
      <c r="AT215" s="218"/>
      <c r="AU215" s="218"/>
      <c r="AV215" s="218"/>
      <c r="AW215" s="218"/>
      <c r="AX215" s="218"/>
      <c r="AY215" s="218"/>
      <c r="AZ215" s="218"/>
      <c r="BA215" s="218"/>
      <c r="BB215" s="218"/>
      <c r="BC215" s="218"/>
      <c r="BD215" s="218"/>
      <c r="DB215" t="s">
        <v>439</v>
      </c>
    </row>
    <row r="216" ht="12.75" customHeight="1" spans="1:106" x14ac:dyDescent="0.25">
      <c r="A216" s="218"/>
      <c r="B216" s="218"/>
      <c r="C216" s="218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  <c r="AF216" s="218"/>
      <c r="AG216" s="218"/>
      <c r="AH216" s="218"/>
      <c r="AI216" s="218"/>
      <c r="AJ216" s="218"/>
      <c r="AK216" s="218"/>
      <c r="AL216" s="218"/>
      <c r="AM216" s="218"/>
      <c r="AN216" s="218"/>
      <c r="AO216" s="218"/>
      <c r="AP216" s="218"/>
      <c r="AQ216" s="218"/>
      <c r="AR216" s="218"/>
      <c r="AS216" s="218"/>
      <c r="AT216" s="218"/>
      <c r="AU216" s="218"/>
      <c r="AV216" s="218"/>
      <c r="AW216" s="218"/>
      <c r="AX216" s="218"/>
      <c r="AY216" s="218"/>
      <c r="AZ216" s="218"/>
      <c r="BA216" s="218"/>
      <c r="BB216" s="218"/>
      <c r="BC216" s="218"/>
      <c r="BD216" s="218"/>
      <c r="DB216" t="s">
        <v>440</v>
      </c>
    </row>
    <row r="217" ht="12.75" customHeight="1" spans="1:106" x14ac:dyDescent="0.25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  <c r="AF217" s="218"/>
      <c r="AG217" s="218"/>
      <c r="AH217" s="218"/>
      <c r="AI217" s="218"/>
      <c r="AJ217" s="218"/>
      <c r="AK217" s="218"/>
      <c r="AL217" s="218"/>
      <c r="AM217" s="218"/>
      <c r="AN217" s="218"/>
      <c r="AO217" s="218"/>
      <c r="AP217" s="218"/>
      <c r="AQ217" s="218"/>
      <c r="AR217" s="218"/>
      <c r="AS217" s="218"/>
      <c r="AT217" s="218"/>
      <c r="AU217" s="218"/>
      <c r="AV217" s="218"/>
      <c r="AW217" s="218"/>
      <c r="AX217" s="218"/>
      <c r="AY217" s="218"/>
      <c r="AZ217" s="218"/>
      <c r="BA217" s="218"/>
      <c r="BB217" s="218"/>
      <c r="BC217" s="218"/>
      <c r="BD217" s="218"/>
      <c r="DB217" t="s">
        <v>441</v>
      </c>
    </row>
    <row r="218" ht="12.75" customHeight="1" spans="1:106" x14ac:dyDescent="0.25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8"/>
      <c r="AH218" s="218"/>
      <c r="AI218" s="218"/>
      <c r="AJ218" s="218"/>
      <c r="AK218" s="218"/>
      <c r="AL218" s="218"/>
      <c r="AM218" s="218"/>
      <c r="AN218" s="218"/>
      <c r="AO218" s="218"/>
      <c r="AP218" s="218"/>
      <c r="AQ218" s="218"/>
      <c r="AR218" s="218"/>
      <c r="AS218" s="218"/>
      <c r="AT218" s="218"/>
      <c r="AU218" s="218"/>
      <c r="AV218" s="218"/>
      <c r="AW218" s="218"/>
      <c r="AX218" s="218"/>
      <c r="AY218" s="218"/>
      <c r="AZ218" s="218"/>
      <c r="BA218" s="218"/>
      <c r="BB218" s="218"/>
      <c r="BC218" s="218"/>
      <c r="BD218" s="218"/>
      <c r="DB218" t="s">
        <v>442</v>
      </c>
    </row>
    <row r="219" ht="12.75" customHeight="1" spans="1:106" x14ac:dyDescent="0.25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  <c r="AF219" s="218"/>
      <c r="AG219" s="218"/>
      <c r="AH219" s="218"/>
      <c r="AI219" s="218"/>
      <c r="AJ219" s="218"/>
      <c r="AK219" s="218"/>
      <c r="AL219" s="218"/>
      <c r="AM219" s="218"/>
      <c r="AN219" s="218"/>
      <c r="AO219" s="218"/>
      <c r="AP219" s="218"/>
      <c r="AQ219" s="218"/>
      <c r="AR219" s="218"/>
      <c r="AS219" s="218"/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  <c r="BD219" s="218"/>
      <c r="DB219" t="s">
        <v>443</v>
      </c>
    </row>
    <row r="220" ht="12.75" customHeight="1" spans="1:106" x14ac:dyDescent="0.25">
      <c r="A220" s="218"/>
      <c r="B220" s="218"/>
      <c r="C220" s="218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  <c r="AF220" s="218"/>
      <c r="AG220" s="218"/>
      <c r="AH220" s="218"/>
      <c r="AI220" s="218"/>
      <c r="AJ220" s="218"/>
      <c r="AK220" s="218"/>
      <c r="AL220" s="218"/>
      <c r="AM220" s="218"/>
      <c r="AN220" s="218"/>
      <c r="AO220" s="218"/>
      <c r="AP220" s="218"/>
      <c r="AQ220" s="218"/>
      <c r="AR220" s="218"/>
      <c r="AS220" s="218"/>
      <c r="AT220" s="218"/>
      <c r="AU220" s="218"/>
      <c r="AV220" s="218"/>
      <c r="AW220" s="218"/>
      <c r="AX220" s="218"/>
      <c r="AY220" s="218"/>
      <c r="AZ220" s="218"/>
      <c r="BA220" s="218"/>
      <c r="BB220" s="218"/>
      <c r="BC220" s="218"/>
      <c r="BD220" s="218"/>
      <c r="DB220" t="s">
        <v>444</v>
      </c>
    </row>
    <row r="221" ht="12.75" customHeight="1" spans="1:106" x14ac:dyDescent="0.25">
      <c r="A221" s="218"/>
      <c r="B221" s="218"/>
      <c r="C221" s="218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  <c r="AF221" s="218"/>
      <c r="AG221" s="218"/>
      <c r="AH221" s="218"/>
      <c r="AI221" s="218"/>
      <c r="AJ221" s="218"/>
      <c r="AK221" s="218"/>
      <c r="AL221" s="218"/>
      <c r="AM221" s="218"/>
      <c r="AN221" s="218"/>
      <c r="AO221" s="218"/>
      <c r="AP221" s="218"/>
      <c r="AQ221" s="218"/>
      <c r="AR221" s="218"/>
      <c r="AS221" s="218"/>
      <c r="AT221" s="218"/>
      <c r="AU221" s="218"/>
      <c r="AV221" s="218"/>
      <c r="AW221" s="218"/>
      <c r="AX221" s="218"/>
      <c r="AY221" s="218"/>
      <c r="AZ221" s="218"/>
      <c r="BA221" s="218"/>
      <c r="BB221" s="218"/>
      <c r="BC221" s="218"/>
      <c r="BD221" s="218"/>
      <c r="DB221" t="s">
        <v>445</v>
      </c>
    </row>
    <row r="222" ht="12.75" customHeight="1" spans="1:106" x14ac:dyDescent="0.25">
      <c r="A222" s="218"/>
      <c r="B222" s="218"/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/>
      <c r="AQ222" s="218"/>
      <c r="AR222" s="218"/>
      <c r="AS222" s="218"/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  <c r="BD222" s="218"/>
      <c r="DB222" t="s">
        <v>446</v>
      </c>
    </row>
    <row r="223" ht="12.75" customHeight="1" spans="1:106" x14ac:dyDescent="0.25">
      <c r="A223" s="218"/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  <c r="AF223" s="218"/>
      <c r="AG223" s="218"/>
      <c r="AH223" s="218"/>
      <c r="AI223" s="218"/>
      <c r="AJ223" s="218"/>
      <c r="AK223" s="218"/>
      <c r="AL223" s="218"/>
      <c r="AM223" s="218"/>
      <c r="AN223" s="218"/>
      <c r="AO223" s="218"/>
      <c r="AP223" s="218"/>
      <c r="AQ223" s="218"/>
      <c r="AR223" s="218"/>
      <c r="AS223" s="218"/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  <c r="BD223" s="218"/>
      <c r="DB223" t="s">
        <v>447</v>
      </c>
    </row>
    <row r="224" ht="12.75" customHeight="1" spans="1:106" x14ac:dyDescent="0.25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  <c r="AF224" s="218"/>
      <c r="AG224" s="218"/>
      <c r="AH224" s="218"/>
      <c r="AI224" s="218"/>
      <c r="AJ224" s="218"/>
      <c r="AK224" s="218"/>
      <c r="AL224" s="218"/>
      <c r="AM224" s="218"/>
      <c r="AN224" s="218"/>
      <c r="AO224" s="218"/>
      <c r="AP224" s="218"/>
      <c r="AQ224" s="218"/>
      <c r="AR224" s="218"/>
      <c r="AS224" s="218"/>
      <c r="AT224" s="218"/>
      <c r="AU224" s="218"/>
      <c r="AV224" s="218"/>
      <c r="AW224" s="218"/>
      <c r="AX224" s="218"/>
      <c r="AY224" s="218"/>
      <c r="AZ224" s="218"/>
      <c r="BA224" s="218"/>
      <c r="BB224" s="218"/>
      <c r="BC224" s="218"/>
      <c r="BD224" s="218"/>
      <c r="DB224" t="s">
        <v>448</v>
      </c>
    </row>
    <row r="225" ht="12.75" customHeight="1" spans="1:106" x14ac:dyDescent="0.25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  <c r="AF225" s="218"/>
      <c r="AG225" s="218"/>
      <c r="AH225" s="218"/>
      <c r="AI225" s="218"/>
      <c r="AJ225" s="218"/>
      <c r="AK225" s="218"/>
      <c r="AL225" s="218"/>
      <c r="AM225" s="218"/>
      <c r="AN225" s="218"/>
      <c r="AO225" s="218"/>
      <c r="AP225" s="218"/>
      <c r="AQ225" s="218"/>
      <c r="AR225" s="218"/>
      <c r="AS225" s="218"/>
      <c r="AT225" s="218"/>
      <c r="AU225" s="218"/>
      <c r="AV225" s="218"/>
      <c r="AW225" s="218"/>
      <c r="AX225" s="218"/>
      <c r="AY225" s="218"/>
      <c r="AZ225" s="218"/>
      <c r="BA225" s="218"/>
      <c r="BB225" s="218"/>
      <c r="BC225" s="218"/>
      <c r="BD225" s="218"/>
      <c r="DB225" t="s">
        <v>449</v>
      </c>
    </row>
    <row r="226" ht="12.75" customHeight="1" spans="1:106" x14ac:dyDescent="0.25">
      <c r="A226" s="218"/>
      <c r="B226" s="218"/>
      <c r="C226" s="218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  <c r="AF226" s="218"/>
      <c r="AG226" s="218"/>
      <c r="AH226" s="218"/>
      <c r="AI226" s="218"/>
      <c r="AJ226" s="218"/>
      <c r="AK226" s="218"/>
      <c r="AL226" s="218"/>
      <c r="AM226" s="218"/>
      <c r="AN226" s="218"/>
      <c r="AO226" s="218"/>
      <c r="AP226" s="218"/>
      <c r="AQ226" s="218"/>
      <c r="AR226" s="218"/>
      <c r="AS226" s="218"/>
      <c r="AT226" s="218"/>
      <c r="AU226" s="218"/>
      <c r="AV226" s="218"/>
      <c r="AW226" s="218"/>
      <c r="AX226" s="218"/>
      <c r="AY226" s="218"/>
      <c r="AZ226" s="218"/>
      <c r="BA226" s="218"/>
      <c r="BB226" s="218"/>
      <c r="BC226" s="218"/>
      <c r="BD226" s="218"/>
      <c r="DB226" t="s">
        <v>450</v>
      </c>
    </row>
    <row r="227" ht="12.75" customHeight="1" spans="1:106" x14ac:dyDescent="0.25">
      <c r="A227" s="218"/>
      <c r="B227" s="218"/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  <c r="AF227" s="218"/>
      <c r="AG227" s="218"/>
      <c r="AH227" s="218"/>
      <c r="AI227" s="218"/>
      <c r="AJ227" s="218"/>
      <c r="AK227" s="218"/>
      <c r="AL227" s="218"/>
      <c r="AM227" s="218"/>
      <c r="AN227" s="218"/>
      <c r="AO227" s="218"/>
      <c r="AP227" s="218"/>
      <c r="AQ227" s="218"/>
      <c r="AR227" s="218"/>
      <c r="AS227" s="218"/>
      <c r="AT227" s="218"/>
      <c r="AU227" s="218"/>
      <c r="AV227" s="218"/>
      <c r="AW227" s="218"/>
      <c r="AX227" s="218"/>
      <c r="AY227" s="218"/>
      <c r="AZ227" s="218"/>
      <c r="BA227" s="218"/>
      <c r="BB227" s="218"/>
      <c r="BC227" s="218"/>
      <c r="BD227" s="218"/>
      <c r="DB227" t="s">
        <v>451</v>
      </c>
    </row>
    <row r="228" ht="12.75" customHeight="1" spans="1:106" x14ac:dyDescent="0.25">
      <c r="A228" s="218"/>
      <c r="B228" s="218"/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  <c r="AF228" s="218"/>
      <c r="AG228" s="218"/>
      <c r="AH228" s="218"/>
      <c r="AI228" s="218"/>
      <c r="AJ228" s="218"/>
      <c r="AK228" s="218"/>
      <c r="AL228" s="218"/>
      <c r="AM228" s="218"/>
      <c r="AN228" s="218"/>
      <c r="AO228" s="218"/>
      <c r="AP228" s="218"/>
      <c r="AQ228" s="218"/>
      <c r="AR228" s="218"/>
      <c r="AS228" s="218"/>
      <c r="AT228" s="218"/>
      <c r="AU228" s="218"/>
      <c r="AV228" s="218"/>
      <c r="AW228" s="218"/>
      <c r="AX228" s="218"/>
      <c r="AY228" s="218"/>
      <c r="AZ228" s="218"/>
      <c r="BA228" s="218"/>
      <c r="BB228" s="218"/>
      <c r="BC228" s="218"/>
      <c r="BD228" s="218"/>
      <c r="DB228" t="s">
        <v>452</v>
      </c>
    </row>
    <row r="229" ht="12.75" customHeight="1" spans="1:106" x14ac:dyDescent="0.25">
      <c r="A229" s="218"/>
      <c r="B229" s="218"/>
      <c r="C229" s="218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/>
      <c r="AU229" s="218"/>
      <c r="AV229" s="218"/>
      <c r="AW229" s="218"/>
      <c r="AX229" s="218"/>
      <c r="AY229" s="218"/>
      <c r="AZ229" s="218"/>
      <c r="BA229" s="218"/>
      <c r="BB229" s="218"/>
      <c r="BC229" s="218"/>
      <c r="BD229" s="218"/>
      <c r="DB229" t="s">
        <v>453</v>
      </c>
    </row>
    <row r="230" ht="12.75" customHeight="1" spans="1:106" x14ac:dyDescent="0.25">
      <c r="A230" s="218"/>
      <c r="B230" s="218"/>
      <c r="C230" s="218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  <c r="AF230" s="218"/>
      <c r="AG230" s="218"/>
      <c r="AH230" s="218"/>
      <c r="AI230" s="218"/>
      <c r="AJ230" s="218"/>
      <c r="AK230" s="218"/>
      <c r="AL230" s="218"/>
      <c r="AM230" s="218"/>
      <c r="AN230" s="218"/>
      <c r="AO230" s="218"/>
      <c r="AP230" s="218"/>
      <c r="AQ230" s="218"/>
      <c r="AR230" s="218"/>
      <c r="AS230" s="218"/>
      <c r="AT230" s="218"/>
      <c r="AU230" s="218"/>
      <c r="AV230" s="218"/>
      <c r="AW230" s="218"/>
      <c r="AX230" s="218"/>
      <c r="AY230" s="218"/>
      <c r="AZ230" s="218"/>
      <c r="BA230" s="218"/>
      <c r="BB230" s="218"/>
      <c r="BC230" s="218"/>
      <c r="BD230" s="218"/>
      <c r="DB230" t="s">
        <v>454</v>
      </c>
    </row>
    <row r="231" ht="12.75" customHeight="1" spans="1:106" x14ac:dyDescent="0.25">
      <c r="A231" s="218"/>
      <c r="B231" s="218"/>
      <c r="C231" s="218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  <c r="AF231" s="218"/>
      <c r="AG231" s="218"/>
      <c r="AH231" s="218"/>
      <c r="AI231" s="218"/>
      <c r="AJ231" s="218"/>
      <c r="AK231" s="218"/>
      <c r="AL231" s="218"/>
      <c r="AM231" s="218"/>
      <c r="AN231" s="218"/>
      <c r="AO231" s="218"/>
      <c r="AP231" s="218"/>
      <c r="AQ231" s="218"/>
      <c r="AR231" s="218"/>
      <c r="AS231" s="218"/>
      <c r="AT231" s="218"/>
      <c r="AU231" s="218"/>
      <c r="AV231" s="218"/>
      <c r="AW231" s="218"/>
      <c r="AX231" s="218"/>
      <c r="AY231" s="218"/>
      <c r="AZ231" s="218"/>
      <c r="BA231" s="218"/>
      <c r="BB231" s="218"/>
      <c r="BC231" s="218"/>
      <c r="BD231" s="218"/>
      <c r="DB231" t="s">
        <v>455</v>
      </c>
    </row>
    <row r="232" ht="12.75" customHeight="1" spans="1:106" x14ac:dyDescent="0.25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8"/>
      <c r="AH232" s="218"/>
      <c r="AI232" s="218"/>
      <c r="AJ232" s="218"/>
      <c r="AK232" s="218"/>
      <c r="AL232" s="218"/>
      <c r="AM232" s="218"/>
      <c r="AN232" s="218"/>
      <c r="AO232" s="218"/>
      <c r="AP232" s="218"/>
      <c r="AQ232" s="218"/>
      <c r="AR232" s="218"/>
      <c r="AS232" s="218"/>
      <c r="AT232" s="218"/>
      <c r="AU232" s="218"/>
      <c r="AV232" s="218"/>
      <c r="AW232" s="218"/>
      <c r="AX232" s="218"/>
      <c r="AY232" s="218"/>
      <c r="AZ232" s="218"/>
      <c r="BA232" s="218"/>
      <c r="BB232" s="218"/>
      <c r="BC232" s="218"/>
      <c r="BD232" s="218"/>
      <c r="DB232" t="s">
        <v>456</v>
      </c>
    </row>
    <row r="233" ht="12.75" customHeight="1" spans="27:106" x14ac:dyDescent="0.25">
      <c r="AA233" s="218"/>
      <c r="AB233" s="218"/>
      <c r="AC233" s="218"/>
      <c r="AD233" s="218"/>
      <c r="AE233" s="218"/>
      <c r="AF233" s="218"/>
      <c r="AG233" s="218"/>
      <c r="AH233" s="218"/>
      <c r="AI233" s="218"/>
      <c r="AJ233" s="218"/>
      <c r="AK233" s="218"/>
      <c r="AL233" s="218"/>
      <c r="AM233" s="218"/>
      <c r="AN233" s="218"/>
      <c r="AO233" s="218"/>
      <c r="AP233" s="218"/>
      <c r="AQ233" s="218"/>
      <c r="AR233" s="218"/>
      <c r="AS233" s="218"/>
      <c r="AT233" s="218"/>
      <c r="AU233" s="218"/>
      <c r="AV233" s="218"/>
      <c r="AW233" s="218"/>
      <c r="AX233" s="218"/>
      <c r="AY233" s="218"/>
      <c r="AZ233" s="218"/>
      <c r="BA233" s="218"/>
      <c r="BB233" s="218"/>
      <c r="BC233" s="218"/>
      <c r="BD233" s="218"/>
      <c r="DB233" t="s">
        <v>457</v>
      </c>
    </row>
    <row r="234" ht="12.75" customHeight="1" spans="27:106" x14ac:dyDescent="0.25">
      <c r="AA234" s="218"/>
      <c r="AB234" s="218"/>
      <c r="AC234" s="218"/>
      <c r="AD234" s="218"/>
      <c r="AE234" s="218"/>
      <c r="AF234" s="218"/>
      <c r="AG234" s="218"/>
      <c r="AH234" s="218"/>
      <c r="AI234" s="218"/>
      <c r="AJ234" s="218"/>
      <c r="AK234" s="218"/>
      <c r="AL234" s="218"/>
      <c r="AM234" s="218"/>
      <c r="AN234" s="218"/>
      <c r="AO234" s="218"/>
      <c r="AP234" s="218"/>
      <c r="AQ234" s="218"/>
      <c r="AR234" s="218"/>
      <c r="AS234" s="218"/>
      <c r="AT234" s="218"/>
      <c r="AU234" s="218"/>
      <c r="AV234" s="218"/>
      <c r="AW234" s="218"/>
      <c r="AX234" s="218"/>
      <c r="AY234" s="218"/>
      <c r="AZ234" s="218"/>
      <c r="BA234" s="218"/>
      <c r="BB234" s="218"/>
      <c r="BC234" s="218"/>
      <c r="BD234" s="218"/>
      <c r="DB234" t="s">
        <v>458</v>
      </c>
    </row>
    <row r="235" ht="12.75" customHeight="1" spans="27:106" x14ac:dyDescent="0.25">
      <c r="AA235" s="218"/>
      <c r="AB235" s="218"/>
      <c r="AC235" s="218"/>
      <c r="AD235" s="218"/>
      <c r="AE235" s="218"/>
      <c r="AF235" s="218"/>
      <c r="AG235" s="218"/>
      <c r="AH235" s="218"/>
      <c r="AI235" s="218"/>
      <c r="AJ235" s="218"/>
      <c r="AK235" s="218"/>
      <c r="AL235" s="218"/>
      <c r="AM235" s="218"/>
      <c r="AN235" s="218"/>
      <c r="AO235" s="218"/>
      <c r="AP235" s="218"/>
      <c r="AQ235" s="218"/>
      <c r="AR235" s="218"/>
      <c r="AS235" s="218"/>
      <c r="AT235" s="218"/>
      <c r="AU235" s="218"/>
      <c r="AV235" s="218"/>
      <c r="AW235" s="218"/>
      <c r="AX235" s="218"/>
      <c r="AY235" s="218"/>
      <c r="AZ235" s="218"/>
      <c r="BA235" s="218"/>
      <c r="BB235" s="218"/>
      <c r="BC235" s="218"/>
      <c r="BD235" s="218"/>
      <c r="DB235" t="s">
        <v>459</v>
      </c>
    </row>
    <row r="236" ht="12.75" customHeight="1" spans="27:106" x14ac:dyDescent="0.25">
      <c r="AA236" s="218"/>
      <c r="AB236" s="218"/>
      <c r="AC236" s="218"/>
      <c r="AD236" s="218"/>
      <c r="AE236" s="218"/>
      <c r="AF236" s="218"/>
      <c r="AG236" s="218"/>
      <c r="AH236" s="218"/>
      <c r="AI236" s="218"/>
      <c r="AJ236" s="218"/>
      <c r="AK236" s="218"/>
      <c r="AL236" s="218"/>
      <c r="AM236" s="218"/>
      <c r="AN236" s="218"/>
      <c r="AO236" s="218"/>
      <c r="AP236" s="218"/>
      <c r="AQ236" s="218"/>
      <c r="AR236" s="218"/>
      <c r="AS236" s="218"/>
      <c r="AT236" s="218"/>
      <c r="AU236" s="218"/>
      <c r="AV236" s="218"/>
      <c r="AW236" s="218"/>
      <c r="AX236" s="218"/>
      <c r="AY236" s="218"/>
      <c r="AZ236" s="218"/>
      <c r="BA236" s="218"/>
      <c r="BB236" s="218"/>
      <c r="BC236" s="218"/>
      <c r="BD236" s="218"/>
      <c r="DB236" t="s">
        <v>460</v>
      </c>
    </row>
    <row r="237" ht="12.75" customHeight="1" spans="27:106" x14ac:dyDescent="0.25">
      <c r="AA237" s="218"/>
      <c r="AB237" s="218"/>
      <c r="AC237" s="218"/>
      <c r="AD237" s="218"/>
      <c r="AE237" s="218"/>
      <c r="AF237" s="218"/>
      <c r="AG237" s="218"/>
      <c r="AH237" s="218"/>
      <c r="AI237" s="218"/>
      <c r="AJ237" s="218"/>
      <c r="AK237" s="218"/>
      <c r="AL237" s="218"/>
      <c r="AM237" s="218"/>
      <c r="AN237" s="218"/>
      <c r="AO237" s="218"/>
      <c r="AP237" s="218"/>
      <c r="AQ237" s="218"/>
      <c r="AR237" s="218"/>
      <c r="AS237" s="218"/>
      <c r="AT237" s="218"/>
      <c r="AU237" s="218"/>
      <c r="AV237" s="218"/>
      <c r="AW237" s="218"/>
      <c r="AX237" s="218"/>
      <c r="AY237" s="218"/>
      <c r="AZ237" s="218"/>
      <c r="BA237" s="218"/>
      <c r="BB237" s="218"/>
      <c r="BC237" s="218"/>
      <c r="BD237" s="218"/>
      <c r="DB237" t="s">
        <v>461</v>
      </c>
    </row>
    <row r="238" ht="12.75" customHeight="1" spans="27:106" x14ac:dyDescent="0.25">
      <c r="AA238" s="218"/>
      <c r="AB238" s="218"/>
      <c r="AC238" s="218"/>
      <c r="AD238" s="218"/>
      <c r="AE238" s="218"/>
      <c r="AF238" s="218"/>
      <c r="AG238" s="218"/>
      <c r="AH238" s="218"/>
      <c r="AI238" s="218"/>
      <c r="AJ238" s="218"/>
      <c r="AK238" s="218"/>
      <c r="AL238" s="218"/>
      <c r="AM238" s="218"/>
      <c r="AN238" s="218"/>
      <c r="AO238" s="218"/>
      <c r="AP238" s="218"/>
      <c r="AQ238" s="218"/>
      <c r="AR238" s="218"/>
      <c r="AS238" s="218"/>
      <c r="AT238" s="218"/>
      <c r="AU238" s="218"/>
      <c r="AV238" s="218"/>
      <c r="AW238" s="218"/>
      <c r="AX238" s="218"/>
      <c r="AY238" s="218"/>
      <c r="AZ238" s="218"/>
      <c r="BA238" s="218"/>
      <c r="BB238" s="218"/>
      <c r="BC238" s="218"/>
      <c r="BD238" s="218"/>
      <c r="DB238" t="s">
        <v>462</v>
      </c>
    </row>
    <row r="239" ht="12.75" customHeight="1" spans="27:106" x14ac:dyDescent="0.25">
      <c r="AA239" s="218"/>
      <c r="AB239" s="218"/>
      <c r="AC239" s="218"/>
      <c r="AD239" s="218"/>
      <c r="AE239" s="218"/>
      <c r="AF239" s="218"/>
      <c r="AG239" s="218"/>
      <c r="AH239" s="218"/>
      <c r="AI239" s="218"/>
      <c r="AJ239" s="218"/>
      <c r="AK239" s="218"/>
      <c r="AL239" s="218"/>
      <c r="AM239" s="218"/>
      <c r="AN239" s="218"/>
      <c r="AO239" s="218"/>
      <c r="AP239" s="218"/>
      <c r="AQ239" s="218"/>
      <c r="AR239" s="218"/>
      <c r="AS239" s="218"/>
      <c r="AT239" s="218"/>
      <c r="AU239" s="218"/>
      <c r="AV239" s="218"/>
      <c r="AW239" s="218"/>
      <c r="AX239" s="218"/>
      <c r="AY239" s="218"/>
      <c r="AZ239" s="218"/>
      <c r="BA239" s="218"/>
      <c r="BB239" s="218"/>
      <c r="BC239" s="218"/>
      <c r="BD239" s="218"/>
      <c r="DB239" t="s">
        <v>463</v>
      </c>
    </row>
    <row r="240" ht="12.75" customHeight="1" spans="27:106" x14ac:dyDescent="0.25">
      <c r="AA240" s="218"/>
      <c r="AB240" s="218"/>
      <c r="AC240" s="218"/>
      <c r="AD240" s="218"/>
      <c r="AE240" s="218"/>
      <c r="AF240" s="218"/>
      <c r="AG240" s="218"/>
      <c r="AH240" s="218"/>
      <c r="AI240" s="218"/>
      <c r="AJ240" s="218"/>
      <c r="AK240" s="218"/>
      <c r="AL240" s="218"/>
      <c r="AM240" s="218"/>
      <c r="AN240" s="218"/>
      <c r="AO240" s="218"/>
      <c r="AP240" s="218"/>
      <c r="AQ240" s="218"/>
      <c r="AR240" s="218"/>
      <c r="AS240" s="218"/>
      <c r="AT240" s="218"/>
      <c r="AU240" s="218"/>
      <c r="AV240" s="218"/>
      <c r="AW240" s="218"/>
      <c r="AX240" s="218"/>
      <c r="AY240" s="218"/>
      <c r="AZ240" s="218"/>
      <c r="BA240" s="218"/>
      <c r="BB240" s="218"/>
      <c r="BC240" s="218"/>
      <c r="BD240" s="218"/>
      <c r="DB240" t="s">
        <v>464</v>
      </c>
    </row>
    <row r="241" ht="12.75" customHeight="1" spans="27:106" x14ac:dyDescent="0.25">
      <c r="AA241" s="218"/>
      <c r="AB241" s="218"/>
      <c r="AC241" s="218"/>
      <c r="AD241" s="218"/>
      <c r="AE241" s="218"/>
      <c r="AF241" s="218"/>
      <c r="AG241" s="218"/>
      <c r="AH241" s="218"/>
      <c r="AI241" s="218"/>
      <c r="AJ241" s="218"/>
      <c r="AK241" s="218"/>
      <c r="AL241" s="218"/>
      <c r="AM241" s="218"/>
      <c r="AN241" s="218"/>
      <c r="AO241" s="218"/>
      <c r="AP241" s="218"/>
      <c r="AQ241" s="218"/>
      <c r="AR241" s="218"/>
      <c r="AS241" s="218"/>
      <c r="AT241" s="218"/>
      <c r="AU241" s="218"/>
      <c r="AV241" s="218"/>
      <c r="AW241" s="218"/>
      <c r="AX241" s="218"/>
      <c r="AY241" s="218"/>
      <c r="AZ241" s="218"/>
      <c r="BA241" s="218"/>
      <c r="BB241" s="218"/>
      <c r="BC241" s="218"/>
      <c r="BD241" s="218"/>
      <c r="DB241" t="s">
        <v>465</v>
      </c>
    </row>
    <row r="242" ht="12.75" customHeight="1" spans="27:106" x14ac:dyDescent="0.25">
      <c r="AA242" s="218"/>
      <c r="AB242" s="218"/>
      <c r="AC242" s="218"/>
      <c r="AD242" s="218"/>
      <c r="AE242" s="218"/>
      <c r="AF242" s="218"/>
      <c r="AG242" s="218"/>
      <c r="AH242" s="218"/>
      <c r="AI242" s="218"/>
      <c r="AJ242" s="218"/>
      <c r="AK242" s="218"/>
      <c r="AL242" s="218"/>
      <c r="AM242" s="218"/>
      <c r="AN242" s="218"/>
      <c r="AO242" s="218"/>
      <c r="AP242" s="218"/>
      <c r="AQ242" s="218"/>
      <c r="AR242" s="218"/>
      <c r="AS242" s="218"/>
      <c r="AT242" s="218"/>
      <c r="AU242" s="218"/>
      <c r="AV242" s="218"/>
      <c r="AW242" s="218"/>
      <c r="AX242" s="218"/>
      <c r="AY242" s="218"/>
      <c r="AZ242" s="218"/>
      <c r="BA242" s="218"/>
      <c r="BB242" s="218"/>
      <c r="BC242" s="218"/>
      <c r="BD242" s="218"/>
      <c r="DB242" t="s">
        <v>466</v>
      </c>
    </row>
    <row r="243" ht="12.75" customHeight="1" spans="27:106" x14ac:dyDescent="0.25">
      <c r="AA243" s="218"/>
      <c r="AB243" s="218"/>
      <c r="AC243" s="218"/>
      <c r="AD243" s="218"/>
      <c r="AE243" s="218"/>
      <c r="AF243" s="218"/>
      <c r="AG243" s="218"/>
      <c r="AH243" s="218"/>
      <c r="AI243" s="218"/>
      <c r="AJ243" s="218"/>
      <c r="AK243" s="218"/>
      <c r="AL243" s="218"/>
      <c r="AM243" s="218"/>
      <c r="AN243" s="218"/>
      <c r="AO243" s="218"/>
      <c r="AP243" s="218"/>
      <c r="AQ243" s="218"/>
      <c r="AR243" s="218"/>
      <c r="AS243" s="218"/>
      <c r="AT243" s="218"/>
      <c r="AU243" s="218"/>
      <c r="AV243" s="218"/>
      <c r="AW243" s="218"/>
      <c r="AX243" s="218"/>
      <c r="AY243" s="218"/>
      <c r="AZ243" s="218"/>
      <c r="BA243" s="218"/>
      <c r="BB243" s="218"/>
      <c r="BC243" s="218"/>
      <c r="BD243" s="218"/>
      <c r="DB243" t="s">
        <v>467</v>
      </c>
    </row>
    <row r="244" ht="12.75" customHeight="1" spans="27:106" x14ac:dyDescent="0.25">
      <c r="AA244" s="218"/>
      <c r="AB244" s="218"/>
      <c r="AC244" s="218"/>
      <c r="AD244" s="218"/>
      <c r="AE244" s="218"/>
      <c r="AF244" s="218"/>
      <c r="AG244" s="218"/>
      <c r="AH244" s="218"/>
      <c r="AI244" s="218"/>
      <c r="AJ244" s="218"/>
      <c r="AK244" s="218"/>
      <c r="AL244" s="218"/>
      <c r="AM244" s="218"/>
      <c r="AN244" s="218"/>
      <c r="AO244" s="218"/>
      <c r="AP244" s="218"/>
      <c r="AQ244" s="218"/>
      <c r="AR244" s="218"/>
      <c r="AS244" s="218"/>
      <c r="AT244" s="218"/>
      <c r="AU244" s="218"/>
      <c r="AV244" s="218"/>
      <c r="AW244" s="218"/>
      <c r="AX244" s="218"/>
      <c r="AY244" s="218"/>
      <c r="AZ244" s="218"/>
      <c r="BA244" s="218"/>
      <c r="BB244" s="218"/>
      <c r="BC244" s="218"/>
      <c r="BD244" s="218"/>
      <c r="DB244" t="s">
        <v>468</v>
      </c>
    </row>
    <row r="245" ht="12.75" customHeight="1" spans="27:106" x14ac:dyDescent="0.25">
      <c r="AA245" s="218"/>
      <c r="AB245" s="218"/>
      <c r="AC245" s="218"/>
      <c r="AD245" s="218"/>
      <c r="AE245" s="218"/>
      <c r="AF245" s="218"/>
      <c r="AG245" s="218"/>
      <c r="AH245" s="218"/>
      <c r="AI245" s="218"/>
      <c r="AJ245" s="218"/>
      <c r="AK245" s="218"/>
      <c r="AL245" s="218"/>
      <c r="AM245" s="218"/>
      <c r="AN245" s="218"/>
      <c r="AO245" s="218"/>
      <c r="AP245" s="218"/>
      <c r="AQ245" s="218"/>
      <c r="AR245" s="218"/>
      <c r="AS245" s="218"/>
      <c r="AT245" s="218"/>
      <c r="AU245" s="218"/>
      <c r="AV245" s="218"/>
      <c r="AW245" s="218"/>
      <c r="AX245" s="218"/>
      <c r="AY245" s="218"/>
      <c r="AZ245" s="218"/>
      <c r="BA245" s="218"/>
      <c r="BB245" s="218"/>
      <c r="BC245" s="218"/>
      <c r="BD245" s="218"/>
      <c r="DB245" t="s">
        <v>469</v>
      </c>
    </row>
    <row r="246" ht="12.75" customHeight="1" spans="27:106" x14ac:dyDescent="0.25">
      <c r="AA246" s="218"/>
      <c r="AB246" s="218"/>
      <c r="AC246" s="218"/>
      <c r="AD246" s="218"/>
      <c r="AE246" s="218"/>
      <c r="AF246" s="218"/>
      <c r="AG246" s="218"/>
      <c r="AH246" s="218"/>
      <c r="AI246" s="218"/>
      <c r="AJ246" s="218"/>
      <c r="AK246" s="218"/>
      <c r="AL246" s="218"/>
      <c r="AM246" s="218"/>
      <c r="AN246" s="218"/>
      <c r="AO246" s="218"/>
      <c r="AP246" s="218"/>
      <c r="AQ246" s="218"/>
      <c r="AR246" s="218"/>
      <c r="AS246" s="218"/>
      <c r="AT246" s="218"/>
      <c r="AU246" s="218"/>
      <c r="AV246" s="218"/>
      <c r="AW246" s="218"/>
      <c r="AX246" s="218"/>
      <c r="AY246" s="218"/>
      <c r="AZ246" s="218"/>
      <c r="BA246" s="218"/>
      <c r="BB246" s="218"/>
      <c r="BC246" s="218"/>
      <c r="BD246" s="218"/>
      <c r="DB246" t="s">
        <v>470</v>
      </c>
    </row>
    <row r="247" ht="12.75" customHeight="1" spans="27:106" x14ac:dyDescent="0.25">
      <c r="AA247" s="218"/>
      <c r="AB247" s="218"/>
      <c r="AC247" s="218"/>
      <c r="AD247" s="218"/>
      <c r="AE247" s="218"/>
      <c r="AF247" s="218"/>
      <c r="AG247" s="218"/>
      <c r="AH247" s="218"/>
      <c r="AI247" s="218"/>
      <c r="AJ247" s="218"/>
      <c r="AK247" s="218"/>
      <c r="AL247" s="218"/>
      <c r="AM247" s="218"/>
      <c r="AN247" s="218"/>
      <c r="AO247" s="218"/>
      <c r="AP247" s="218"/>
      <c r="AQ247" s="218"/>
      <c r="AR247" s="218"/>
      <c r="AS247" s="218"/>
      <c r="AT247" s="218"/>
      <c r="AU247" s="218"/>
      <c r="AV247" s="218"/>
      <c r="AW247" s="218"/>
      <c r="AX247" s="218"/>
      <c r="AY247" s="218"/>
      <c r="AZ247" s="218"/>
      <c r="BA247" s="218"/>
      <c r="BB247" s="218"/>
      <c r="BC247" s="218"/>
      <c r="BD247" s="218"/>
      <c r="DB247" t="s">
        <v>471</v>
      </c>
    </row>
    <row r="248" ht="12.75" customHeight="1" spans="27:106" x14ac:dyDescent="0.25">
      <c r="AA248" s="218"/>
      <c r="AB248" s="218"/>
      <c r="AC248" s="218"/>
      <c r="AD248" s="218"/>
      <c r="AE248" s="218"/>
      <c r="AF248" s="218"/>
      <c r="AG248" s="218"/>
      <c r="AH248" s="218"/>
      <c r="AI248" s="218"/>
      <c r="AJ248" s="218"/>
      <c r="AK248" s="218"/>
      <c r="AL248" s="218"/>
      <c r="AM248" s="218"/>
      <c r="AN248" s="218"/>
      <c r="AO248" s="218"/>
      <c r="AP248" s="218"/>
      <c r="AQ248" s="218"/>
      <c r="AR248" s="218"/>
      <c r="AS248" s="218"/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  <c r="BD248" s="218"/>
      <c r="DB248" t="s">
        <v>472</v>
      </c>
    </row>
    <row r="249" ht="12.75" customHeight="1" spans="27:106" x14ac:dyDescent="0.25">
      <c r="AA249" s="218"/>
      <c r="AB249" s="218"/>
      <c r="AC249" s="218"/>
      <c r="AD249" s="218"/>
      <c r="AE249" s="218"/>
      <c r="AF249" s="218"/>
      <c r="AG249" s="218"/>
      <c r="AH249" s="218"/>
      <c r="AI249" s="218"/>
      <c r="AJ249" s="218"/>
      <c r="AK249" s="218"/>
      <c r="AL249" s="218"/>
      <c r="AM249" s="218"/>
      <c r="AN249" s="218"/>
      <c r="AO249" s="218"/>
      <c r="AP249" s="218"/>
      <c r="AQ249" s="218"/>
      <c r="AR249" s="218"/>
      <c r="AS249" s="218"/>
      <c r="AT249" s="218"/>
      <c r="AU249" s="218"/>
      <c r="AV249" s="218"/>
      <c r="AW249" s="218"/>
      <c r="AX249" s="218"/>
      <c r="AY249" s="218"/>
      <c r="AZ249" s="218"/>
      <c r="BA249" s="218"/>
      <c r="BB249" s="218"/>
      <c r="BC249" s="218"/>
      <c r="BD249" s="218"/>
      <c r="DB249" t="s">
        <v>473</v>
      </c>
    </row>
    <row r="250" ht="12.75" customHeight="1" spans="27:106" x14ac:dyDescent="0.25">
      <c r="AA250" s="218"/>
      <c r="AB250" s="218"/>
      <c r="AC250" s="218"/>
      <c r="AD250" s="218"/>
      <c r="AE250" s="218"/>
      <c r="AF250" s="218"/>
      <c r="AG250" s="218"/>
      <c r="AH250" s="218"/>
      <c r="AI250" s="218"/>
      <c r="AJ250" s="218"/>
      <c r="AK250" s="218"/>
      <c r="AL250" s="218"/>
      <c r="AM250" s="218"/>
      <c r="AN250" s="218"/>
      <c r="AO250" s="218"/>
      <c r="AP250" s="218"/>
      <c r="AQ250" s="218"/>
      <c r="AR250" s="218"/>
      <c r="AS250" s="218"/>
      <c r="AT250" s="218"/>
      <c r="AU250" s="218"/>
      <c r="AV250" s="218"/>
      <c r="AW250" s="218"/>
      <c r="AX250" s="218"/>
      <c r="AY250" s="218"/>
      <c r="AZ250" s="218"/>
      <c r="BA250" s="218"/>
      <c r="BB250" s="218"/>
      <c r="BC250" s="218"/>
      <c r="BD250" s="218"/>
      <c r="DB250" t="s">
        <v>474</v>
      </c>
    </row>
    <row r="251" ht="12.75" customHeight="1" spans="27:106" x14ac:dyDescent="0.25">
      <c r="AA251" s="218"/>
      <c r="AB251" s="218"/>
      <c r="AC251" s="218"/>
      <c r="AD251" s="218"/>
      <c r="AE251" s="218"/>
      <c r="AF251" s="218"/>
      <c r="AG251" s="218"/>
      <c r="AH251" s="218"/>
      <c r="AI251" s="218"/>
      <c r="AJ251" s="218"/>
      <c r="AK251" s="218"/>
      <c r="AL251" s="218"/>
      <c r="AM251" s="218"/>
      <c r="AN251" s="218"/>
      <c r="AO251" s="218"/>
      <c r="AP251" s="218"/>
      <c r="AQ251" s="218"/>
      <c r="AR251" s="218"/>
      <c r="AS251" s="218"/>
      <c r="AT251" s="218"/>
      <c r="AU251" s="218"/>
      <c r="AV251" s="218"/>
      <c r="AW251" s="218"/>
      <c r="AX251" s="218"/>
      <c r="AY251" s="218"/>
      <c r="AZ251" s="218"/>
      <c r="BA251" s="218"/>
      <c r="BB251" s="218"/>
      <c r="BC251" s="218"/>
      <c r="BD251" s="218"/>
      <c r="DB251" t="s">
        <v>475</v>
      </c>
    </row>
    <row r="252" ht="12.75" customHeight="1" spans="27:106" x14ac:dyDescent="0.25">
      <c r="AA252" s="218"/>
      <c r="AB252" s="218"/>
      <c r="AC252" s="218"/>
      <c r="AD252" s="218"/>
      <c r="AE252" s="218"/>
      <c r="AF252" s="218"/>
      <c r="AG252" s="218"/>
      <c r="AH252" s="218"/>
      <c r="AI252" s="218"/>
      <c r="AJ252" s="218"/>
      <c r="AK252" s="218"/>
      <c r="AL252" s="218"/>
      <c r="AM252" s="218"/>
      <c r="AN252" s="218"/>
      <c r="AO252" s="218"/>
      <c r="AP252" s="218"/>
      <c r="AQ252" s="218"/>
      <c r="AR252" s="218"/>
      <c r="AS252" s="218"/>
      <c r="AT252" s="218"/>
      <c r="AU252" s="218"/>
      <c r="AV252" s="218"/>
      <c r="AW252" s="218"/>
      <c r="AX252" s="218"/>
      <c r="AY252" s="218"/>
      <c r="AZ252" s="218"/>
      <c r="BA252" s="218"/>
      <c r="BB252" s="218"/>
      <c r="BC252" s="218"/>
      <c r="BD252" s="218"/>
      <c r="DB252" t="s">
        <v>476</v>
      </c>
    </row>
    <row r="253" ht="12.75" customHeight="1" spans="27:106" x14ac:dyDescent="0.25">
      <c r="AA253" s="218"/>
      <c r="AB253" s="218"/>
      <c r="AC253" s="218"/>
      <c r="AD253" s="218"/>
      <c r="AE253" s="218"/>
      <c r="AF253" s="218"/>
      <c r="AG253" s="218"/>
      <c r="AH253" s="218"/>
      <c r="AI253" s="218"/>
      <c r="AJ253" s="218"/>
      <c r="AK253" s="218"/>
      <c r="AL253" s="218"/>
      <c r="AM253" s="218"/>
      <c r="AN253" s="218"/>
      <c r="AO253" s="218"/>
      <c r="AP253" s="218"/>
      <c r="AQ253" s="218"/>
      <c r="AR253" s="218"/>
      <c r="AS253" s="218"/>
      <c r="AT253" s="218"/>
      <c r="AU253" s="218"/>
      <c r="AV253" s="218"/>
      <c r="AW253" s="218"/>
      <c r="AX253" s="218"/>
      <c r="AY253" s="218"/>
      <c r="AZ253" s="218"/>
      <c r="BA253" s="218"/>
      <c r="BB253" s="218"/>
      <c r="BC253" s="218"/>
      <c r="BD253" s="218"/>
      <c r="DB253" t="s">
        <v>477</v>
      </c>
    </row>
    <row r="254" ht="12.75" customHeight="1" spans="27:106" x14ac:dyDescent="0.25">
      <c r="AA254" s="218"/>
      <c r="AB254" s="218"/>
      <c r="AC254" s="218"/>
      <c r="AD254" s="218"/>
      <c r="AE254" s="218"/>
      <c r="AF254" s="218"/>
      <c r="AG254" s="218"/>
      <c r="AH254" s="218"/>
      <c r="AI254" s="218"/>
      <c r="AJ254" s="218"/>
      <c r="AK254" s="218"/>
      <c r="AL254" s="218"/>
      <c r="AM254" s="218"/>
      <c r="AN254" s="218"/>
      <c r="AO254" s="218"/>
      <c r="AP254" s="218"/>
      <c r="AQ254" s="218"/>
      <c r="AR254" s="218"/>
      <c r="AS254" s="218"/>
      <c r="AT254" s="218"/>
      <c r="AU254" s="218"/>
      <c r="AV254" s="218"/>
      <c r="AW254" s="218"/>
      <c r="AX254" s="218"/>
      <c r="AY254" s="218"/>
      <c r="AZ254" s="218"/>
      <c r="BA254" s="218"/>
      <c r="BB254" s="218"/>
      <c r="BC254" s="218"/>
      <c r="BD254" s="218"/>
      <c r="DB254" t="s">
        <v>478</v>
      </c>
    </row>
    <row r="255" ht="12.75" customHeight="1" spans="27:106" x14ac:dyDescent="0.25">
      <c r="AA255" s="218"/>
      <c r="AB255" s="218"/>
      <c r="AC255" s="218"/>
      <c r="AD255" s="218"/>
      <c r="AE255" s="218"/>
      <c r="AF255" s="218"/>
      <c r="AG255" s="218"/>
      <c r="AH255" s="218"/>
      <c r="AI255" s="218"/>
      <c r="AJ255" s="218"/>
      <c r="AK255" s="218"/>
      <c r="AL255" s="218"/>
      <c r="AM255" s="218"/>
      <c r="AN255" s="218"/>
      <c r="AO255" s="218"/>
      <c r="AP255" s="218"/>
      <c r="AQ255" s="218"/>
      <c r="AR255" s="218"/>
      <c r="AS255" s="218"/>
      <c r="AT255" s="218"/>
      <c r="AU255" s="218"/>
      <c r="AV255" s="218"/>
      <c r="AW255" s="218"/>
      <c r="AX255" s="218"/>
      <c r="AY255" s="218"/>
      <c r="AZ255" s="218"/>
      <c r="BA255" s="218"/>
      <c r="BB255" s="218"/>
      <c r="BC255" s="218"/>
      <c r="BD255" s="218"/>
      <c r="DB255" t="s">
        <v>479</v>
      </c>
    </row>
    <row r="256" ht="12.75" customHeight="1" spans="27:106" x14ac:dyDescent="0.25"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  <c r="AV256" s="218"/>
      <c r="AW256" s="218"/>
      <c r="AX256" s="218"/>
      <c r="AY256" s="218"/>
      <c r="AZ256" s="218"/>
      <c r="BA256" s="218"/>
      <c r="BB256" s="218"/>
      <c r="BC256" s="218"/>
      <c r="BD256" s="218"/>
      <c r="DB256" t="s">
        <v>480</v>
      </c>
    </row>
    <row r="257" ht="12.75" customHeight="1" spans="27:106" x14ac:dyDescent="0.25"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  <c r="AV257" s="218"/>
      <c r="AW257" s="218"/>
      <c r="AX257" s="218"/>
      <c r="AY257" s="218"/>
      <c r="AZ257" s="218"/>
      <c r="BA257" s="218"/>
      <c r="BB257" s="218"/>
      <c r="BC257" s="218"/>
      <c r="BD257" s="218"/>
      <c r="DB257" t="s">
        <v>481</v>
      </c>
    </row>
    <row r="258" ht="12.75" customHeight="1" spans="27:106" x14ac:dyDescent="0.25"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  <c r="AV258" s="218"/>
      <c r="AW258" s="218"/>
      <c r="AX258" s="218"/>
      <c r="AY258" s="218"/>
      <c r="AZ258" s="218"/>
      <c r="BA258" s="218"/>
      <c r="BB258" s="218"/>
      <c r="BC258" s="218"/>
      <c r="BD258" s="218"/>
      <c r="DB258" t="s">
        <v>482</v>
      </c>
    </row>
    <row r="259" ht="12.75" customHeight="1" spans="27:106" x14ac:dyDescent="0.25"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  <c r="AV259" s="218"/>
      <c r="AW259" s="218"/>
      <c r="AX259" s="218"/>
      <c r="AY259" s="218"/>
      <c r="AZ259" s="218"/>
      <c r="BA259" s="218"/>
      <c r="BB259" s="218"/>
      <c r="BC259" s="218"/>
      <c r="BD259" s="218"/>
      <c r="DB259" t="s">
        <v>483</v>
      </c>
    </row>
    <row r="260" ht="12.75" customHeight="1" spans="27:106" x14ac:dyDescent="0.25"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  <c r="AV260" s="218"/>
      <c r="AW260" s="218"/>
      <c r="AX260" s="218"/>
      <c r="AY260" s="218"/>
      <c r="AZ260" s="218"/>
      <c r="BA260" s="218"/>
      <c r="BB260" s="218"/>
      <c r="BC260" s="218"/>
      <c r="BD260" s="218"/>
      <c r="DB260" t="s">
        <v>484</v>
      </c>
    </row>
    <row r="261" ht="12.75" customHeight="1" spans="27:106" x14ac:dyDescent="0.25">
      <c r="AA261" s="218"/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  <c r="AV261" s="218"/>
      <c r="AW261" s="218"/>
      <c r="AX261" s="218"/>
      <c r="AY261" s="218"/>
      <c r="AZ261" s="218"/>
      <c r="BA261" s="218"/>
      <c r="BB261" s="218"/>
      <c r="BC261" s="218"/>
      <c r="BD261" s="218"/>
      <c r="DB261" t="s">
        <v>485</v>
      </c>
    </row>
    <row r="262" ht="12.75" customHeight="1" spans="27:106" x14ac:dyDescent="0.25">
      <c r="AA262" s="218"/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  <c r="AV262" s="218"/>
      <c r="AW262" s="218"/>
      <c r="AX262" s="218"/>
      <c r="AY262" s="218"/>
      <c r="AZ262" s="218"/>
      <c r="BA262" s="218"/>
      <c r="BB262" s="218"/>
      <c r="BC262" s="218"/>
      <c r="BD262" s="218"/>
      <c r="DB262" t="s">
        <v>194</v>
      </c>
    </row>
    <row r="263" ht="12.75" customHeight="1" spans="27:106" x14ac:dyDescent="0.25">
      <c r="AA263" s="218"/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  <c r="AV263" s="218"/>
      <c r="AW263" s="218"/>
      <c r="AX263" s="218"/>
      <c r="AY263" s="218"/>
      <c r="AZ263" s="218"/>
      <c r="BA263" s="218"/>
      <c r="BB263" s="218"/>
      <c r="BC263" s="218"/>
      <c r="BD263" s="218"/>
      <c r="DB263" t="s">
        <v>486</v>
      </c>
    </row>
    <row r="264" ht="12.75" customHeight="1" spans="27:106" x14ac:dyDescent="0.25"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  <c r="AV264" s="218"/>
      <c r="AW264" s="218"/>
      <c r="AX264" s="218"/>
      <c r="AY264" s="218"/>
      <c r="AZ264" s="218"/>
      <c r="BA264" s="218"/>
      <c r="BB264" s="218"/>
      <c r="BC264" s="218"/>
      <c r="BD264" s="218"/>
      <c r="DB264" t="s">
        <v>487</v>
      </c>
    </row>
    <row r="265" ht="12.75" customHeight="1" spans="27:106" x14ac:dyDescent="0.25"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  <c r="AV265" s="218"/>
      <c r="AW265" s="218"/>
      <c r="AX265" s="218"/>
      <c r="AY265" s="218"/>
      <c r="AZ265" s="218"/>
      <c r="BA265" s="218"/>
      <c r="BB265" s="218"/>
      <c r="BC265" s="218"/>
      <c r="BD265" s="218"/>
      <c r="DB265" t="s">
        <v>488</v>
      </c>
    </row>
    <row r="266" ht="12.75" customHeight="1" spans="27:106" x14ac:dyDescent="0.25"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  <c r="AV266" s="218"/>
      <c r="AW266" s="218"/>
      <c r="AX266" s="218"/>
      <c r="AY266" s="218"/>
      <c r="AZ266" s="218"/>
      <c r="BA266" s="218"/>
      <c r="BB266" s="218"/>
      <c r="BC266" s="218"/>
      <c r="BD266" s="218"/>
      <c r="DB266" t="s">
        <v>489</v>
      </c>
    </row>
    <row r="267" ht="12.75" customHeight="1" spans="27:106" x14ac:dyDescent="0.25"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  <c r="AV267" s="218"/>
      <c r="AW267" s="218"/>
      <c r="AX267" s="218"/>
      <c r="AY267" s="218"/>
      <c r="AZ267" s="218"/>
      <c r="BA267" s="218"/>
      <c r="BB267" s="218"/>
      <c r="BC267" s="218"/>
      <c r="BD267" s="218"/>
      <c r="DB267" t="s">
        <v>490</v>
      </c>
    </row>
    <row r="268" ht="12.75" customHeight="1" spans="27:106" x14ac:dyDescent="0.25"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  <c r="AV268" s="218"/>
      <c r="AW268" s="218"/>
      <c r="AX268" s="218"/>
      <c r="AY268" s="218"/>
      <c r="AZ268" s="218"/>
      <c r="BA268" s="218"/>
      <c r="BB268" s="218"/>
      <c r="BC268" s="218"/>
      <c r="BD268" s="218"/>
      <c r="DB268" t="s">
        <v>491</v>
      </c>
    </row>
    <row r="269" ht="12.75" customHeight="1" spans="27:106" x14ac:dyDescent="0.25"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  <c r="AV269" s="218"/>
      <c r="AW269" s="218"/>
      <c r="AX269" s="218"/>
      <c r="AY269" s="218"/>
      <c r="AZ269" s="218"/>
      <c r="BA269" s="218"/>
      <c r="BB269" s="218"/>
      <c r="BC269" s="218"/>
      <c r="BD269" s="218"/>
      <c r="DB269" t="s">
        <v>492</v>
      </c>
    </row>
    <row r="270" ht="12.75" customHeight="1" spans="27:106" x14ac:dyDescent="0.25"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  <c r="AV270" s="218"/>
      <c r="AW270" s="218"/>
      <c r="AX270" s="218"/>
      <c r="AY270" s="218"/>
      <c r="AZ270" s="218"/>
      <c r="BA270" s="218"/>
      <c r="BB270" s="218"/>
      <c r="BC270" s="218"/>
      <c r="BD270" s="218"/>
      <c r="DB270" t="s">
        <v>493</v>
      </c>
    </row>
    <row r="271" ht="12.75" customHeight="1" spans="27:106" x14ac:dyDescent="0.25"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  <c r="AV271" s="218"/>
      <c r="AW271" s="218"/>
      <c r="AX271" s="218"/>
      <c r="AY271" s="218"/>
      <c r="AZ271" s="218"/>
      <c r="BA271" s="218"/>
      <c r="BB271" s="218"/>
      <c r="BC271" s="218"/>
      <c r="BD271" s="218"/>
      <c r="DB271" t="s">
        <v>494</v>
      </c>
    </row>
    <row r="272" ht="12.75" customHeight="1" spans="27:106" x14ac:dyDescent="0.25"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  <c r="AV272" s="218"/>
      <c r="AW272" s="218"/>
      <c r="AX272" s="218"/>
      <c r="AY272" s="218"/>
      <c r="AZ272" s="218"/>
      <c r="BA272" s="218"/>
      <c r="BB272" s="218"/>
      <c r="BC272" s="218"/>
      <c r="BD272" s="218"/>
      <c r="DB272" t="s">
        <v>495</v>
      </c>
    </row>
    <row r="273" ht="12.75" customHeight="1" spans="27:106" x14ac:dyDescent="0.25"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  <c r="AV273" s="218"/>
      <c r="AW273" s="218"/>
      <c r="AX273" s="218"/>
      <c r="AY273" s="218"/>
      <c r="AZ273" s="218"/>
      <c r="BA273" s="218"/>
      <c r="BB273" s="218"/>
      <c r="BC273" s="218"/>
      <c r="BD273" s="218"/>
      <c r="DB273" t="s">
        <v>496</v>
      </c>
    </row>
    <row r="274" ht="12.75" customHeight="1" spans="27:106" x14ac:dyDescent="0.25"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  <c r="AV274" s="218"/>
      <c r="AW274" s="218"/>
      <c r="AX274" s="218"/>
      <c r="AY274" s="218"/>
      <c r="AZ274" s="218"/>
      <c r="BA274" s="218"/>
      <c r="BB274" s="218"/>
      <c r="BC274" s="218"/>
      <c r="BD274" s="218"/>
      <c r="DB274" t="s">
        <v>497</v>
      </c>
    </row>
    <row r="275" ht="12.75" customHeight="1" spans="27:106" x14ac:dyDescent="0.25"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  <c r="AV275" s="218"/>
      <c r="AW275" s="218"/>
      <c r="AX275" s="218"/>
      <c r="AY275" s="218"/>
      <c r="AZ275" s="218"/>
      <c r="BA275" s="218"/>
      <c r="BB275" s="218"/>
      <c r="BC275" s="218"/>
      <c r="BD275" s="218"/>
      <c r="DB275" t="s">
        <v>498</v>
      </c>
    </row>
    <row r="276" ht="12.75" customHeight="1" spans="27:106" x14ac:dyDescent="0.25"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  <c r="AV276" s="218"/>
      <c r="AW276" s="218"/>
      <c r="AX276" s="218"/>
      <c r="AY276" s="218"/>
      <c r="AZ276" s="218"/>
      <c r="BA276" s="218"/>
      <c r="BB276" s="218"/>
      <c r="BC276" s="218"/>
      <c r="BD276" s="218"/>
      <c r="DB276" t="s">
        <v>499</v>
      </c>
    </row>
    <row r="277" ht="12.75" customHeight="1" spans="27:106" x14ac:dyDescent="0.25"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  <c r="AV277" s="218"/>
      <c r="AW277" s="218"/>
      <c r="AX277" s="218"/>
      <c r="AY277" s="218"/>
      <c r="AZ277" s="218"/>
      <c r="BA277" s="218"/>
      <c r="BB277" s="218"/>
      <c r="BC277" s="218"/>
      <c r="BD277" s="218"/>
      <c r="DB277" t="s">
        <v>500</v>
      </c>
    </row>
    <row r="278" ht="12.75" customHeight="1" spans="27:106" x14ac:dyDescent="0.25"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  <c r="AV278" s="218"/>
      <c r="AW278" s="218"/>
      <c r="AX278" s="218"/>
      <c r="AY278" s="218"/>
      <c r="AZ278" s="218"/>
      <c r="BA278" s="218"/>
      <c r="BB278" s="218"/>
      <c r="BC278" s="218"/>
      <c r="BD278" s="218"/>
      <c r="DB278" t="s">
        <v>501</v>
      </c>
    </row>
    <row r="279" ht="12.75" customHeight="1" spans="27:106" x14ac:dyDescent="0.25"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  <c r="AV279" s="218"/>
      <c r="AW279" s="218"/>
      <c r="AX279" s="218"/>
      <c r="AY279" s="218"/>
      <c r="AZ279" s="218"/>
      <c r="BA279" s="218"/>
      <c r="BB279" s="218"/>
      <c r="BC279" s="218"/>
      <c r="BD279" s="218"/>
      <c r="DB279" t="s">
        <v>502</v>
      </c>
    </row>
    <row r="280" ht="12.75" customHeight="1" spans="27:106" x14ac:dyDescent="0.25"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  <c r="AV280" s="218"/>
      <c r="AW280" s="218"/>
      <c r="AX280" s="218"/>
      <c r="AY280" s="218"/>
      <c r="AZ280" s="218"/>
      <c r="BA280" s="218"/>
      <c r="BB280" s="218"/>
      <c r="BC280" s="218"/>
      <c r="BD280" s="218"/>
      <c r="DB280" t="s">
        <v>503</v>
      </c>
    </row>
    <row r="281" ht="12.75" customHeight="1" spans="27:106" x14ac:dyDescent="0.25"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  <c r="AV281" s="218"/>
      <c r="AW281" s="218"/>
      <c r="AX281" s="218"/>
      <c r="AY281" s="218"/>
      <c r="AZ281" s="218"/>
      <c r="BA281" s="218"/>
      <c r="BB281" s="218"/>
      <c r="BC281" s="218"/>
      <c r="BD281" s="218"/>
      <c r="DB281" t="s">
        <v>504</v>
      </c>
    </row>
    <row r="282" ht="12.75" customHeight="1" spans="27:106" x14ac:dyDescent="0.25"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  <c r="AV282" s="218"/>
      <c r="AW282" s="218"/>
      <c r="AX282" s="218"/>
      <c r="AY282" s="218"/>
      <c r="AZ282" s="218"/>
      <c r="BA282" s="218"/>
      <c r="BB282" s="218"/>
      <c r="BC282" s="218"/>
      <c r="BD282" s="218"/>
      <c r="DB282" t="s">
        <v>505</v>
      </c>
    </row>
    <row r="283" ht="12.75" customHeight="1" spans="27:106" x14ac:dyDescent="0.25"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  <c r="AV283" s="218"/>
      <c r="AW283" s="218"/>
      <c r="AX283" s="218"/>
      <c r="AY283" s="218"/>
      <c r="AZ283" s="218"/>
      <c r="BA283" s="218"/>
      <c r="BB283" s="218"/>
      <c r="BC283" s="218"/>
      <c r="BD283" s="218"/>
      <c r="DB283" t="s">
        <v>506</v>
      </c>
    </row>
    <row r="284" ht="12.75" customHeight="1" spans="27:106" x14ac:dyDescent="0.25"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  <c r="AV284" s="218"/>
      <c r="AW284" s="218"/>
      <c r="AX284" s="218"/>
      <c r="AY284" s="218"/>
      <c r="AZ284" s="218"/>
      <c r="BA284" s="218"/>
      <c r="BB284" s="218"/>
      <c r="BC284" s="218"/>
      <c r="BD284" s="218"/>
      <c r="DB284" t="s">
        <v>507</v>
      </c>
    </row>
    <row r="285" ht="12.75" customHeight="1" spans="27:106" x14ac:dyDescent="0.25"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  <c r="AV285" s="218"/>
      <c r="AW285" s="218"/>
      <c r="AX285" s="218"/>
      <c r="AY285" s="218"/>
      <c r="AZ285" s="218"/>
      <c r="BA285" s="218"/>
      <c r="BB285" s="218"/>
      <c r="BC285" s="218"/>
      <c r="BD285" s="218"/>
      <c r="DB285" t="s">
        <v>508</v>
      </c>
    </row>
    <row r="286" ht="12.75" customHeight="1" spans="27:106" x14ac:dyDescent="0.25"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  <c r="AV286" s="218"/>
      <c r="AW286" s="218"/>
      <c r="AX286" s="218"/>
      <c r="AY286" s="218"/>
      <c r="AZ286" s="218"/>
      <c r="BA286" s="218"/>
      <c r="BB286" s="218"/>
      <c r="BC286" s="218"/>
      <c r="BD286" s="218"/>
      <c r="DB286" t="s">
        <v>509</v>
      </c>
    </row>
    <row r="287" ht="12.75" customHeight="1" spans="27:106" x14ac:dyDescent="0.25"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  <c r="AV287" s="218"/>
      <c r="AW287" s="218"/>
      <c r="AX287" s="218"/>
      <c r="AY287" s="218"/>
      <c r="AZ287" s="218"/>
      <c r="BA287" s="218"/>
      <c r="BB287" s="218"/>
      <c r="BC287" s="218"/>
      <c r="BD287" s="218"/>
      <c r="DB287" t="s">
        <v>510</v>
      </c>
    </row>
    <row r="288" ht="12.75" customHeight="1" spans="27:106" x14ac:dyDescent="0.25"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  <c r="AV288" s="218"/>
      <c r="AW288" s="218"/>
      <c r="AX288" s="218"/>
      <c r="AY288" s="218"/>
      <c r="AZ288" s="218"/>
      <c r="BA288" s="218"/>
      <c r="BB288" s="218"/>
      <c r="BC288" s="218"/>
      <c r="BD288" s="218"/>
      <c r="DB288" t="s">
        <v>511</v>
      </c>
    </row>
    <row r="289" ht="12.75" customHeight="1" spans="27:106" x14ac:dyDescent="0.25"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  <c r="AV289" s="218"/>
      <c r="AW289" s="218"/>
      <c r="AX289" s="218"/>
      <c r="AY289" s="218"/>
      <c r="AZ289" s="218"/>
      <c r="BA289" s="218"/>
      <c r="BB289" s="218"/>
      <c r="BC289" s="218"/>
      <c r="BD289" s="218"/>
      <c r="DB289" t="s">
        <v>512</v>
      </c>
    </row>
    <row r="290" ht="12.75" customHeight="1" spans="27:106" x14ac:dyDescent="0.25"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  <c r="AV290" s="218"/>
      <c r="AW290" s="218"/>
      <c r="AX290" s="218"/>
      <c r="AY290" s="218"/>
      <c r="AZ290" s="218"/>
      <c r="BA290" s="218"/>
      <c r="BB290" s="218"/>
      <c r="BC290" s="218"/>
      <c r="BD290" s="218"/>
      <c r="DB290" t="s">
        <v>513</v>
      </c>
    </row>
    <row r="291" ht="12.75" customHeight="1" spans="27:106" x14ac:dyDescent="0.25"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  <c r="BD291" s="218"/>
      <c r="DB291" t="s">
        <v>514</v>
      </c>
    </row>
    <row r="292" ht="12.75" customHeight="1" spans="27:106" x14ac:dyDescent="0.25"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  <c r="AV292" s="218"/>
      <c r="AW292" s="218"/>
      <c r="AX292" s="218"/>
      <c r="AY292" s="218"/>
      <c r="AZ292" s="218"/>
      <c r="BA292" s="218"/>
      <c r="BB292" s="218"/>
      <c r="BC292" s="218"/>
      <c r="BD292" s="218"/>
      <c r="DB292" t="s">
        <v>515</v>
      </c>
    </row>
    <row r="293" ht="12.75" customHeight="1" spans="27:106" x14ac:dyDescent="0.25"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  <c r="AV293" s="218"/>
      <c r="AW293" s="218"/>
      <c r="AX293" s="218"/>
      <c r="AY293" s="218"/>
      <c r="AZ293" s="218"/>
      <c r="BA293" s="218"/>
      <c r="BB293" s="218"/>
      <c r="BC293" s="218"/>
      <c r="BD293" s="218"/>
      <c r="DB293" t="s">
        <v>516</v>
      </c>
    </row>
    <row r="294" ht="12.75" customHeight="1" spans="27:106" x14ac:dyDescent="0.25"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  <c r="AV294" s="218"/>
      <c r="AW294" s="218"/>
      <c r="AX294" s="218"/>
      <c r="AY294" s="218"/>
      <c r="AZ294" s="218"/>
      <c r="BA294" s="218"/>
      <c r="BB294" s="218"/>
      <c r="BC294" s="218"/>
      <c r="BD294" s="218"/>
      <c r="DB294" t="s">
        <v>517</v>
      </c>
    </row>
    <row r="295" ht="12.75" customHeight="1" spans="27:106" x14ac:dyDescent="0.25"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  <c r="AV295" s="218"/>
      <c r="AW295" s="218"/>
      <c r="AX295" s="218"/>
      <c r="AY295" s="218"/>
      <c r="AZ295" s="218"/>
      <c r="BA295" s="218"/>
      <c r="BB295" s="218"/>
      <c r="BC295" s="218"/>
      <c r="BD295" s="218"/>
      <c r="DB295" t="s">
        <v>518</v>
      </c>
    </row>
    <row r="296" ht="12.75" customHeight="1" spans="27:106" x14ac:dyDescent="0.25"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  <c r="AV296" s="218"/>
      <c r="AW296" s="218"/>
      <c r="AX296" s="218"/>
      <c r="AY296" s="218"/>
      <c r="AZ296" s="218"/>
      <c r="BA296" s="218"/>
      <c r="BB296" s="218"/>
      <c r="BC296" s="218"/>
      <c r="BD296" s="218"/>
      <c r="DB296" t="s">
        <v>519</v>
      </c>
    </row>
    <row r="297" ht="12.75" customHeight="1" spans="27:106" x14ac:dyDescent="0.25"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  <c r="AV297" s="218"/>
      <c r="AW297" s="218"/>
      <c r="AX297" s="218"/>
      <c r="AY297" s="218"/>
      <c r="AZ297" s="218"/>
      <c r="BA297" s="218"/>
      <c r="BB297" s="218"/>
      <c r="BC297" s="218"/>
      <c r="BD297" s="218"/>
      <c r="DB297" t="s">
        <v>520</v>
      </c>
    </row>
    <row r="298" ht="12.75" customHeight="1" spans="27:106" x14ac:dyDescent="0.25"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  <c r="AV298" s="218"/>
      <c r="AW298" s="218"/>
      <c r="AX298" s="218"/>
      <c r="AY298" s="218"/>
      <c r="AZ298" s="218"/>
      <c r="BA298" s="218"/>
      <c r="BB298" s="218"/>
      <c r="BC298" s="218"/>
      <c r="BD298" s="218"/>
      <c r="DB298" t="s">
        <v>521</v>
      </c>
    </row>
    <row r="299" ht="12.75" customHeight="1" spans="27:106" x14ac:dyDescent="0.25"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  <c r="AV299" s="218"/>
      <c r="AW299" s="218"/>
      <c r="AX299" s="218"/>
      <c r="AY299" s="218"/>
      <c r="AZ299" s="218"/>
      <c r="BA299" s="218"/>
      <c r="BB299" s="218"/>
      <c r="BC299" s="218"/>
      <c r="BD299" s="218"/>
      <c r="DB299" t="s">
        <v>522</v>
      </c>
    </row>
    <row r="300" ht="12.75" customHeight="1" spans="27:106" x14ac:dyDescent="0.25"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  <c r="AV300" s="218"/>
      <c r="AW300" s="218"/>
      <c r="AX300" s="218"/>
      <c r="AY300" s="218"/>
      <c r="AZ300" s="218"/>
      <c r="BA300" s="218"/>
      <c r="BB300" s="218"/>
      <c r="BC300" s="218"/>
      <c r="BD300" s="218"/>
      <c r="DB300" t="s">
        <v>523</v>
      </c>
    </row>
    <row r="301" ht="12.75" customHeight="1" spans="27:106" x14ac:dyDescent="0.25"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  <c r="AV301" s="218"/>
      <c r="AW301" s="218"/>
      <c r="AX301" s="218"/>
      <c r="AY301" s="218"/>
      <c r="AZ301" s="218"/>
      <c r="BA301" s="218"/>
      <c r="BB301" s="218"/>
      <c r="BC301" s="218"/>
      <c r="BD301" s="218"/>
      <c r="DB301" t="s">
        <v>524</v>
      </c>
    </row>
    <row r="302" ht="12.75" customHeight="1" spans="27:106" x14ac:dyDescent="0.25"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  <c r="AV302" s="218"/>
      <c r="AW302" s="218"/>
      <c r="AX302" s="218"/>
      <c r="AY302" s="218"/>
      <c r="AZ302" s="218"/>
      <c r="BA302" s="218"/>
      <c r="BB302" s="218"/>
      <c r="BC302" s="218"/>
      <c r="BD302" s="218"/>
      <c r="DB302" t="s">
        <v>525</v>
      </c>
    </row>
    <row r="303" ht="12.75" customHeight="1" spans="27:106" x14ac:dyDescent="0.25"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  <c r="AV303" s="218"/>
      <c r="AW303" s="218"/>
      <c r="AX303" s="218"/>
      <c r="AY303" s="218"/>
      <c r="AZ303" s="218"/>
      <c r="BA303" s="218"/>
      <c r="BB303" s="218"/>
      <c r="BC303" s="218"/>
      <c r="BD303" s="218"/>
      <c r="DB303" t="s">
        <v>526</v>
      </c>
    </row>
    <row r="304" ht="12.75" customHeight="1" spans="27:106" x14ac:dyDescent="0.25"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  <c r="AV304" s="218"/>
      <c r="AW304" s="218"/>
      <c r="AX304" s="218"/>
      <c r="AY304" s="218"/>
      <c r="AZ304" s="218"/>
      <c r="BA304" s="218"/>
      <c r="BB304" s="218"/>
      <c r="BC304" s="218"/>
      <c r="BD304" s="218"/>
      <c r="DB304" t="s">
        <v>527</v>
      </c>
    </row>
    <row r="305" ht="12.75" customHeight="1" spans="27:106" x14ac:dyDescent="0.25"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  <c r="AV305" s="218"/>
      <c r="AW305" s="218"/>
      <c r="AX305" s="218"/>
      <c r="AY305" s="218"/>
      <c r="AZ305" s="218"/>
      <c r="BA305" s="218"/>
      <c r="BB305" s="218"/>
      <c r="BC305" s="218"/>
      <c r="BD305" s="218"/>
      <c r="DB305" t="s">
        <v>528</v>
      </c>
    </row>
    <row r="306" ht="12.75" customHeight="1" spans="27:106" x14ac:dyDescent="0.25"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  <c r="AV306" s="218"/>
      <c r="AW306" s="218"/>
      <c r="AX306" s="218"/>
      <c r="AY306" s="218"/>
      <c r="AZ306" s="218"/>
      <c r="BA306" s="218"/>
      <c r="BB306" s="218"/>
      <c r="BC306" s="218"/>
      <c r="BD306" s="218"/>
      <c r="DB306" t="s">
        <v>529</v>
      </c>
    </row>
    <row r="307" ht="12.75" customHeight="1" spans="27:106" x14ac:dyDescent="0.25"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  <c r="AV307" s="218"/>
      <c r="AW307" s="218"/>
      <c r="AX307" s="218"/>
      <c r="AY307" s="218"/>
      <c r="AZ307" s="218"/>
      <c r="BA307" s="218"/>
      <c r="BB307" s="218"/>
      <c r="BC307" s="218"/>
      <c r="BD307" s="218"/>
      <c r="DB307" t="s">
        <v>530</v>
      </c>
    </row>
    <row r="308" ht="12.75" customHeight="1" spans="27:106" x14ac:dyDescent="0.25"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  <c r="AV308" s="218"/>
      <c r="AW308" s="218"/>
      <c r="AX308" s="218"/>
      <c r="AY308" s="218"/>
      <c r="AZ308" s="218"/>
      <c r="BA308" s="218"/>
      <c r="BB308" s="218"/>
      <c r="BC308" s="218"/>
      <c r="BD308" s="218"/>
      <c r="DB308" t="s">
        <v>531</v>
      </c>
    </row>
    <row r="309" ht="12.75" customHeight="1" spans="27:106" x14ac:dyDescent="0.25"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  <c r="AV309" s="218"/>
      <c r="AW309" s="218"/>
      <c r="AX309" s="218"/>
      <c r="AY309" s="218"/>
      <c r="AZ309" s="218"/>
      <c r="BA309" s="218"/>
      <c r="BB309" s="218"/>
      <c r="BC309" s="218"/>
      <c r="BD309" s="218"/>
      <c r="DB309" t="s">
        <v>532</v>
      </c>
    </row>
    <row r="310" ht="12.75" customHeight="1" spans="27:106" x14ac:dyDescent="0.25"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  <c r="AV310" s="218"/>
      <c r="AW310" s="218"/>
      <c r="AX310" s="218"/>
      <c r="AY310" s="218"/>
      <c r="AZ310" s="218"/>
      <c r="BA310" s="218"/>
      <c r="BB310" s="218"/>
      <c r="BC310" s="218"/>
      <c r="BD310" s="218"/>
      <c r="DB310" t="s">
        <v>533</v>
      </c>
    </row>
    <row r="311" ht="12.75" customHeight="1" spans="27:106" x14ac:dyDescent="0.25"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  <c r="AV311" s="218"/>
      <c r="AW311" s="218"/>
      <c r="AX311" s="218"/>
      <c r="AY311" s="218"/>
      <c r="AZ311" s="218"/>
      <c r="BA311" s="218"/>
      <c r="BB311" s="218"/>
      <c r="BC311" s="218"/>
      <c r="BD311" s="218"/>
      <c r="DB311" t="s">
        <v>534</v>
      </c>
    </row>
    <row r="312" ht="12.75" customHeight="1" spans="27:106" x14ac:dyDescent="0.25"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  <c r="AV312" s="218"/>
      <c r="AW312" s="218"/>
      <c r="AX312" s="218"/>
      <c r="AY312" s="218"/>
      <c r="AZ312" s="218"/>
      <c r="BA312" s="218"/>
      <c r="BB312" s="218"/>
      <c r="BC312" s="218"/>
      <c r="BD312" s="218"/>
      <c r="DB312" t="s">
        <v>535</v>
      </c>
    </row>
    <row r="313" ht="12.75" customHeight="1" spans="27:106" x14ac:dyDescent="0.25"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  <c r="AV313" s="218"/>
      <c r="AW313" s="218"/>
      <c r="AX313" s="218"/>
      <c r="AY313" s="218"/>
      <c r="AZ313" s="218"/>
      <c r="BA313" s="218"/>
      <c r="BB313" s="218"/>
      <c r="BC313" s="218"/>
      <c r="BD313" s="218"/>
      <c r="DB313" t="s">
        <v>536</v>
      </c>
    </row>
    <row r="314" ht="12.75" customHeight="1" spans="27:106" x14ac:dyDescent="0.25"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  <c r="AV314" s="218"/>
      <c r="AW314" s="218"/>
      <c r="AX314" s="218"/>
      <c r="AY314" s="218"/>
      <c r="AZ314" s="218"/>
      <c r="BA314" s="218"/>
      <c r="BB314" s="218"/>
      <c r="BC314" s="218"/>
      <c r="BD314" s="218"/>
      <c r="DB314" t="s">
        <v>537</v>
      </c>
    </row>
    <row r="315" ht="12.75" customHeight="1" spans="27:106" x14ac:dyDescent="0.25"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  <c r="AV315" s="218"/>
      <c r="AW315" s="218"/>
      <c r="AX315" s="218"/>
      <c r="AY315" s="218"/>
      <c r="AZ315" s="218"/>
      <c r="BA315" s="218"/>
      <c r="BB315" s="218"/>
      <c r="BC315" s="218"/>
      <c r="BD315" s="218"/>
      <c r="DB315" t="s">
        <v>538</v>
      </c>
    </row>
    <row r="316" ht="12.75" customHeight="1" spans="27:106" x14ac:dyDescent="0.25"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  <c r="AV316" s="218"/>
      <c r="AW316" s="218"/>
      <c r="AX316" s="218"/>
      <c r="AY316" s="218"/>
      <c r="AZ316" s="218"/>
      <c r="BA316" s="218"/>
      <c r="BB316" s="218"/>
      <c r="BC316" s="218"/>
      <c r="BD316" s="218"/>
      <c r="DB316" t="s">
        <v>539</v>
      </c>
    </row>
    <row r="317" ht="12.75" customHeight="1" spans="27:106" x14ac:dyDescent="0.25"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  <c r="AV317" s="218"/>
      <c r="AW317" s="218"/>
      <c r="AX317" s="218"/>
      <c r="AY317" s="218"/>
      <c r="AZ317" s="218"/>
      <c r="BA317" s="218"/>
      <c r="BB317" s="218"/>
      <c r="BC317" s="218"/>
      <c r="BD317" s="218"/>
      <c r="DB317" t="s">
        <v>540</v>
      </c>
    </row>
    <row r="318" ht="12.75" customHeight="1" spans="27:106" x14ac:dyDescent="0.25"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  <c r="AV318" s="218"/>
      <c r="AW318" s="218"/>
      <c r="AX318" s="218"/>
      <c r="AY318" s="218"/>
      <c r="AZ318" s="218"/>
      <c r="BA318" s="218"/>
      <c r="BB318" s="218"/>
      <c r="BC318" s="218"/>
      <c r="BD318" s="218"/>
      <c r="DB318" t="s">
        <v>541</v>
      </c>
    </row>
    <row r="319" ht="12.75" customHeight="1" spans="27:106" x14ac:dyDescent="0.25"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  <c r="AV319" s="218"/>
      <c r="AW319" s="218"/>
      <c r="AX319" s="218"/>
      <c r="AY319" s="218"/>
      <c r="AZ319" s="218"/>
      <c r="BA319" s="218"/>
      <c r="BB319" s="218"/>
      <c r="BC319" s="218"/>
      <c r="BD319" s="218"/>
      <c r="DB319" t="s">
        <v>542</v>
      </c>
    </row>
    <row r="320" ht="12.75" customHeight="1" spans="27:106" x14ac:dyDescent="0.25"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  <c r="AV320" s="218"/>
      <c r="AW320" s="218"/>
      <c r="AX320" s="218"/>
      <c r="AY320" s="218"/>
      <c r="AZ320" s="218"/>
      <c r="BA320" s="218"/>
      <c r="BB320" s="218"/>
      <c r="BC320" s="218"/>
      <c r="BD320" s="218"/>
      <c r="DB320" t="s">
        <v>543</v>
      </c>
    </row>
    <row r="321" ht="12.75" customHeight="1" spans="27:106" x14ac:dyDescent="0.25"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  <c r="AV321" s="218"/>
      <c r="AW321" s="218"/>
      <c r="AX321" s="218"/>
      <c r="AY321" s="218"/>
      <c r="AZ321" s="218"/>
      <c r="BA321" s="218"/>
      <c r="BB321" s="218"/>
      <c r="BC321" s="218"/>
      <c r="BD321" s="218"/>
      <c r="DB321" t="s">
        <v>544</v>
      </c>
    </row>
    <row r="322" ht="12.75" customHeight="1" spans="27:106" x14ac:dyDescent="0.25"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  <c r="AV322" s="218"/>
      <c r="AW322" s="218"/>
      <c r="AX322" s="218"/>
      <c r="AY322" s="218"/>
      <c r="AZ322" s="218"/>
      <c r="BA322" s="218"/>
      <c r="BB322" s="218"/>
      <c r="BC322" s="218"/>
      <c r="BD322" s="218"/>
      <c r="DB322" t="s">
        <v>545</v>
      </c>
    </row>
    <row r="323" ht="12.75" customHeight="1" spans="27:106" x14ac:dyDescent="0.25"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  <c r="AV323" s="218"/>
      <c r="AW323" s="218"/>
      <c r="AX323" s="218"/>
      <c r="AY323" s="218"/>
      <c r="AZ323" s="218"/>
      <c r="BA323" s="218"/>
      <c r="BB323" s="218"/>
      <c r="BC323" s="218"/>
      <c r="BD323" s="218"/>
      <c r="DB323" t="s">
        <v>546</v>
      </c>
    </row>
    <row r="324" ht="12.75" customHeight="1" spans="27:106" x14ac:dyDescent="0.25"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  <c r="AV324" s="218"/>
      <c r="AW324" s="218"/>
      <c r="AX324" s="218"/>
      <c r="AY324" s="218"/>
      <c r="AZ324" s="218"/>
      <c r="BA324" s="218"/>
      <c r="BB324" s="218"/>
      <c r="BC324" s="218"/>
      <c r="BD324" s="218"/>
      <c r="DB324" t="s">
        <v>547</v>
      </c>
    </row>
    <row r="325" ht="12.75" customHeight="1" spans="27:106" x14ac:dyDescent="0.25"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  <c r="AV325" s="218"/>
      <c r="AW325" s="218"/>
      <c r="AX325" s="218"/>
      <c r="AY325" s="218"/>
      <c r="AZ325" s="218"/>
      <c r="BA325" s="218"/>
      <c r="BB325" s="218"/>
      <c r="BC325" s="218"/>
      <c r="BD325" s="218"/>
      <c r="DB325" t="s">
        <v>548</v>
      </c>
    </row>
    <row r="326" ht="12.75" customHeight="1" spans="27:106" x14ac:dyDescent="0.25"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  <c r="AV326" s="218"/>
      <c r="AW326" s="218"/>
      <c r="AX326" s="218"/>
      <c r="AY326" s="218"/>
      <c r="AZ326" s="218"/>
      <c r="BA326" s="218"/>
      <c r="BB326" s="218"/>
      <c r="BC326" s="218"/>
      <c r="BD326" s="218"/>
      <c r="DB326" t="s">
        <v>549</v>
      </c>
    </row>
    <row r="327" ht="12.75" customHeight="1" spans="27:106" x14ac:dyDescent="0.25"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  <c r="AV327" s="218"/>
      <c r="AW327" s="218"/>
      <c r="AX327" s="218"/>
      <c r="AY327" s="218"/>
      <c r="AZ327" s="218"/>
      <c r="BA327" s="218"/>
      <c r="BB327" s="218"/>
      <c r="BC327" s="218"/>
      <c r="BD327" s="218"/>
      <c r="DB327" t="s">
        <v>550</v>
      </c>
    </row>
    <row r="328" ht="12.75" customHeight="1" spans="27:106" x14ac:dyDescent="0.25"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  <c r="AV328" s="218"/>
      <c r="AW328" s="218"/>
      <c r="AX328" s="218"/>
      <c r="AY328" s="218"/>
      <c r="AZ328" s="218"/>
      <c r="BA328" s="218"/>
      <c r="BB328" s="218"/>
      <c r="BC328" s="218"/>
      <c r="BD328" s="218"/>
      <c r="DB328" t="s">
        <v>551</v>
      </c>
    </row>
    <row r="329" ht="12.75" customHeight="1" spans="27:106" x14ac:dyDescent="0.25"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  <c r="AV329" s="218"/>
      <c r="AW329" s="218"/>
      <c r="AX329" s="218"/>
      <c r="AY329" s="218"/>
      <c r="AZ329" s="218"/>
      <c r="BA329" s="218"/>
      <c r="BB329" s="218"/>
      <c r="BC329" s="218"/>
      <c r="BD329" s="218"/>
      <c r="DB329" t="s">
        <v>552</v>
      </c>
    </row>
    <row r="330" ht="12.75" customHeight="1" spans="27:106" x14ac:dyDescent="0.25"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  <c r="AV330" s="218"/>
      <c r="AW330" s="218"/>
      <c r="AX330" s="218"/>
      <c r="AY330" s="218"/>
      <c r="AZ330" s="218"/>
      <c r="BA330" s="218"/>
      <c r="BB330" s="218"/>
      <c r="BC330" s="218"/>
      <c r="BD330" s="218"/>
      <c r="DB330" t="s">
        <v>553</v>
      </c>
    </row>
    <row r="331" ht="12.75" customHeight="1" spans="27:106" x14ac:dyDescent="0.25"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  <c r="AV331" s="218"/>
      <c r="AW331" s="218"/>
      <c r="AX331" s="218"/>
      <c r="AY331" s="218"/>
      <c r="AZ331" s="218"/>
      <c r="BA331" s="218"/>
      <c r="BB331" s="218"/>
      <c r="BC331" s="218"/>
      <c r="BD331" s="218"/>
      <c r="DB331" t="s">
        <v>554</v>
      </c>
    </row>
    <row r="332" ht="12.75" customHeight="1" spans="27:106" x14ac:dyDescent="0.25"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  <c r="AV332" s="218"/>
      <c r="AW332" s="218"/>
      <c r="AX332" s="218"/>
      <c r="AY332" s="218"/>
      <c r="AZ332" s="218"/>
      <c r="BA332" s="218"/>
      <c r="BB332" s="218"/>
      <c r="BC332" s="218"/>
      <c r="BD332" s="218"/>
      <c r="DB332" t="s">
        <v>555</v>
      </c>
    </row>
    <row r="333" ht="12.75" customHeight="1" spans="27:106" x14ac:dyDescent="0.25"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  <c r="AV333" s="218"/>
      <c r="AW333" s="218"/>
      <c r="AX333" s="218"/>
      <c r="AY333" s="218"/>
      <c r="AZ333" s="218"/>
      <c r="BA333" s="218"/>
      <c r="BB333" s="218"/>
      <c r="BC333" s="218"/>
      <c r="BD333" s="218"/>
      <c r="DB333" t="s">
        <v>556</v>
      </c>
    </row>
    <row r="334" ht="12.75" customHeight="1" spans="27:106" x14ac:dyDescent="0.25"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  <c r="AV334" s="218"/>
      <c r="AW334" s="218"/>
      <c r="AX334" s="218"/>
      <c r="AY334" s="218"/>
      <c r="AZ334" s="218"/>
      <c r="BA334" s="218"/>
      <c r="BB334" s="218"/>
      <c r="BC334" s="218"/>
      <c r="BD334" s="218"/>
      <c r="DB334" t="s">
        <v>557</v>
      </c>
    </row>
    <row r="335" ht="12.75" customHeight="1" spans="27:106" x14ac:dyDescent="0.25"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  <c r="AV335" s="218"/>
      <c r="AW335" s="218"/>
      <c r="AX335" s="218"/>
      <c r="AY335" s="218"/>
      <c r="AZ335" s="218"/>
      <c r="BA335" s="218"/>
      <c r="BB335" s="218"/>
      <c r="BC335" s="218"/>
      <c r="BD335" s="218"/>
      <c r="DB335" t="s">
        <v>558</v>
      </c>
    </row>
    <row r="336" ht="12.75" customHeight="1" spans="27:106" x14ac:dyDescent="0.25"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  <c r="BD336" s="218"/>
      <c r="DB336" t="s">
        <v>559</v>
      </c>
    </row>
    <row r="337" ht="12.75" customHeight="1" spans="27:106" x14ac:dyDescent="0.25"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  <c r="AV337" s="218"/>
      <c r="AW337" s="218"/>
      <c r="AX337" s="218"/>
      <c r="AY337" s="218"/>
      <c r="AZ337" s="218"/>
      <c r="BA337" s="218"/>
      <c r="BB337" s="218"/>
      <c r="BC337" s="218"/>
      <c r="BD337" s="218"/>
      <c r="DB337" t="s">
        <v>560</v>
      </c>
    </row>
    <row r="338" ht="12.75" customHeight="1" spans="27:106" x14ac:dyDescent="0.25"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  <c r="AV338" s="218"/>
      <c r="AW338" s="218"/>
      <c r="AX338" s="218"/>
      <c r="AY338" s="218"/>
      <c r="AZ338" s="218"/>
      <c r="BA338" s="218"/>
      <c r="BB338" s="218"/>
      <c r="BC338" s="218"/>
      <c r="BD338" s="218"/>
      <c r="DB338" t="s">
        <v>561</v>
      </c>
    </row>
    <row r="339" ht="12.75" customHeight="1" spans="27:106" x14ac:dyDescent="0.25"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  <c r="AV339" s="218"/>
      <c r="AW339" s="218"/>
      <c r="AX339" s="218"/>
      <c r="AY339" s="218"/>
      <c r="AZ339" s="218"/>
      <c r="BA339" s="218"/>
      <c r="BB339" s="218"/>
      <c r="BC339" s="218"/>
      <c r="BD339" s="218"/>
      <c r="DB339" t="s">
        <v>562</v>
      </c>
    </row>
    <row r="340" ht="12.75" customHeight="1" spans="27:56" x14ac:dyDescent="0.25"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  <c r="AV340" s="218"/>
      <c r="AW340" s="218"/>
      <c r="AX340" s="218"/>
      <c r="AY340" s="218"/>
      <c r="AZ340" s="218"/>
      <c r="BA340" s="218"/>
      <c r="BB340" s="218"/>
      <c r="BC340" s="218"/>
      <c r="BD340" s="218"/>
    </row>
    <row r="341" ht="12.75" customHeight="1" spans="27:56" x14ac:dyDescent="0.25"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  <c r="AV341" s="218"/>
      <c r="AW341" s="218"/>
      <c r="AX341" s="218"/>
      <c r="AY341" s="218"/>
      <c r="AZ341" s="218"/>
      <c r="BA341" s="218"/>
      <c r="BB341" s="218"/>
      <c r="BC341" s="218"/>
      <c r="BD341" s="218"/>
    </row>
    <row r="342" ht="12.75" customHeight="1" spans="27:56" x14ac:dyDescent="0.25"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  <c r="AV342" s="218"/>
      <c r="AW342" s="218"/>
      <c r="AX342" s="218"/>
      <c r="AY342" s="218"/>
      <c r="AZ342" s="218"/>
      <c r="BA342" s="218"/>
      <c r="BB342" s="218"/>
      <c r="BC342" s="218"/>
      <c r="BD342" s="218"/>
    </row>
    <row r="343" ht="12.75" customHeight="1" spans="27:56" x14ac:dyDescent="0.25"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  <c r="AV343" s="218"/>
      <c r="AW343" s="218"/>
      <c r="AX343" s="218"/>
      <c r="AY343" s="218"/>
      <c r="AZ343" s="218"/>
      <c r="BA343" s="218"/>
      <c r="BB343" s="218"/>
      <c r="BC343" s="218"/>
      <c r="BD343" s="218"/>
    </row>
    <row r="344" ht="12.75" customHeight="1" spans="27:56" x14ac:dyDescent="0.25"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  <c r="AV344" s="218"/>
      <c r="AW344" s="218"/>
      <c r="AX344" s="218"/>
      <c r="AY344" s="218"/>
      <c r="AZ344" s="218"/>
      <c r="BA344" s="218"/>
      <c r="BB344" s="218"/>
      <c r="BC344" s="218"/>
      <c r="BD344" s="218"/>
    </row>
    <row r="345" ht="12.75" customHeight="1" spans="27:56" x14ac:dyDescent="0.25"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  <c r="AV345" s="218"/>
      <c r="AW345" s="218"/>
      <c r="AX345" s="218"/>
      <c r="AY345" s="218"/>
      <c r="AZ345" s="218"/>
      <c r="BA345" s="218"/>
      <c r="BB345" s="218"/>
      <c r="BC345" s="218"/>
      <c r="BD345" s="218"/>
    </row>
    <row r="346" ht="12.75" customHeight="1" spans="27:56" x14ac:dyDescent="0.25"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  <c r="AV346" s="218"/>
      <c r="AW346" s="218"/>
      <c r="AX346" s="218"/>
      <c r="AY346" s="218"/>
      <c r="AZ346" s="218"/>
      <c r="BA346" s="218"/>
      <c r="BB346" s="218"/>
      <c r="BC346" s="218"/>
      <c r="BD346" s="218"/>
    </row>
    <row r="347" ht="12.75" customHeight="1" spans="27:56" x14ac:dyDescent="0.25"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  <c r="AV347" s="218"/>
      <c r="AW347" s="218"/>
      <c r="AX347" s="218"/>
      <c r="AY347" s="218"/>
      <c r="AZ347" s="218"/>
      <c r="BA347" s="218"/>
      <c r="BB347" s="218"/>
      <c r="BC347" s="218"/>
      <c r="BD347" s="218"/>
    </row>
    <row r="348" ht="12.75" customHeight="1" spans="27:56" x14ac:dyDescent="0.25"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  <c r="BD348" s="218"/>
    </row>
    <row r="349" ht="12.75" customHeight="1" spans="27:56" x14ac:dyDescent="0.25"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  <c r="AV349" s="218"/>
      <c r="AW349" s="218"/>
      <c r="AX349" s="218"/>
      <c r="AY349" s="218"/>
      <c r="AZ349" s="218"/>
      <c r="BA349" s="218"/>
      <c r="BB349" s="218"/>
      <c r="BC349" s="218"/>
      <c r="BD349" s="218"/>
    </row>
    <row r="350" ht="12.75" customHeight="1" spans="27:56" x14ac:dyDescent="0.25"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  <c r="AV350" s="218"/>
      <c r="AW350" s="218"/>
      <c r="AX350" s="218"/>
      <c r="AY350" s="218"/>
      <c r="AZ350" s="218"/>
      <c r="BA350" s="218"/>
      <c r="BB350" s="218"/>
      <c r="BC350" s="218"/>
      <c r="BD350" s="218"/>
    </row>
    <row r="351" ht="12.75" customHeight="1" spans="27:56" x14ac:dyDescent="0.25"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  <c r="AV351" s="218"/>
      <c r="AW351" s="218"/>
      <c r="AX351" s="218"/>
      <c r="AY351" s="218"/>
      <c r="AZ351" s="218"/>
      <c r="BA351" s="218"/>
      <c r="BB351" s="218"/>
      <c r="BC351" s="218"/>
      <c r="BD351" s="218"/>
    </row>
    <row r="352" ht="12.75" customHeight="1" spans="27:56" x14ac:dyDescent="0.25"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  <c r="AV352" s="218"/>
      <c r="AW352" s="218"/>
      <c r="AX352" s="218"/>
      <c r="AY352" s="218"/>
      <c r="AZ352" s="218"/>
      <c r="BA352" s="218"/>
      <c r="BB352" s="218"/>
      <c r="BC352" s="218"/>
      <c r="BD352" s="218"/>
    </row>
    <row r="353" ht="12.75" customHeight="1" spans="27:56" x14ac:dyDescent="0.25"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  <c r="AV353" s="218"/>
      <c r="AW353" s="218"/>
      <c r="AX353" s="218"/>
      <c r="AY353" s="218"/>
      <c r="AZ353" s="218"/>
      <c r="BA353" s="218"/>
      <c r="BB353" s="218"/>
      <c r="BC353" s="218"/>
      <c r="BD353" s="218"/>
    </row>
    <row r="354" ht="12.75" customHeight="1" spans="27:56" x14ac:dyDescent="0.25"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  <c r="AV354" s="218"/>
      <c r="AW354" s="218"/>
      <c r="AX354" s="218"/>
      <c r="AY354" s="218"/>
      <c r="AZ354" s="218"/>
      <c r="BA354" s="218"/>
      <c r="BB354" s="218"/>
      <c r="BC354" s="218"/>
      <c r="BD354" s="218"/>
    </row>
    <row r="355" ht="12.75" customHeight="1" spans="27:56" x14ac:dyDescent="0.25"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  <c r="AV355" s="218"/>
      <c r="AW355" s="218"/>
      <c r="AX355" s="218"/>
      <c r="AY355" s="218"/>
      <c r="AZ355" s="218"/>
      <c r="BA355" s="218"/>
      <c r="BB355" s="218"/>
      <c r="BC355" s="218"/>
      <c r="BD355" s="218"/>
    </row>
    <row r="356" ht="12.75" customHeight="1" spans="27:56" x14ac:dyDescent="0.25"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  <c r="AV356" s="218"/>
      <c r="AW356" s="218"/>
      <c r="AX356" s="218"/>
      <c r="AY356" s="218"/>
      <c r="AZ356" s="218"/>
      <c r="BA356" s="218"/>
      <c r="BB356" s="218"/>
      <c r="BC356" s="218"/>
      <c r="BD356" s="218"/>
    </row>
    <row r="357" ht="12.75" customHeight="1" spans="27:56" x14ac:dyDescent="0.25"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  <c r="AV357" s="218"/>
      <c r="AW357" s="218"/>
      <c r="AX357" s="218"/>
      <c r="AY357" s="218"/>
      <c r="AZ357" s="218"/>
      <c r="BA357" s="218"/>
      <c r="BB357" s="218"/>
      <c r="BC357" s="218"/>
      <c r="BD357" s="218"/>
    </row>
    <row r="358" ht="12.75" customHeight="1" spans="27:56" x14ac:dyDescent="0.25"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  <c r="AV358" s="218"/>
      <c r="AW358" s="218"/>
      <c r="AX358" s="218"/>
      <c r="AY358" s="218"/>
      <c r="AZ358" s="218"/>
      <c r="BA358" s="218"/>
      <c r="BB358" s="218"/>
      <c r="BC358" s="218"/>
      <c r="BD358" s="218"/>
    </row>
    <row r="359" ht="12.75" customHeight="1" spans="27:56" x14ac:dyDescent="0.25"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  <c r="AV359" s="218"/>
      <c r="AW359" s="218"/>
      <c r="AX359" s="218"/>
      <c r="AY359" s="218"/>
      <c r="AZ359" s="218"/>
      <c r="BA359" s="218"/>
      <c r="BB359" s="218"/>
      <c r="BC359" s="218"/>
      <c r="BD359" s="218"/>
    </row>
    <row r="360" ht="12.75" customHeight="1" spans="27:56" x14ac:dyDescent="0.25"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  <c r="AV360" s="218"/>
      <c r="AW360" s="218"/>
      <c r="AX360" s="218"/>
      <c r="AY360" s="218"/>
      <c r="AZ360" s="218"/>
      <c r="BA360" s="218"/>
      <c r="BB360" s="218"/>
      <c r="BC360" s="218"/>
      <c r="BD360" s="218"/>
    </row>
    <row r="361" ht="12.75" customHeight="1" spans="27:56" x14ac:dyDescent="0.25"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  <c r="AV361" s="218"/>
      <c r="AW361" s="218"/>
      <c r="AX361" s="218"/>
      <c r="AY361" s="218"/>
      <c r="AZ361" s="218"/>
      <c r="BA361" s="218"/>
      <c r="BB361" s="218"/>
      <c r="BC361" s="218"/>
      <c r="BD361" s="218"/>
    </row>
    <row r="362" ht="12.75" customHeight="1" spans="27:56" x14ac:dyDescent="0.25"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  <c r="AV362" s="218"/>
      <c r="AW362" s="218"/>
      <c r="AX362" s="218"/>
      <c r="AY362" s="218"/>
      <c r="AZ362" s="218"/>
      <c r="BA362" s="218"/>
      <c r="BB362" s="218"/>
      <c r="BC362" s="218"/>
      <c r="BD362" s="218"/>
    </row>
    <row r="363" ht="12.75" customHeight="1" spans="27:56" x14ac:dyDescent="0.25"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  <c r="AV363" s="218"/>
      <c r="AW363" s="218"/>
      <c r="AX363" s="218"/>
      <c r="AY363" s="218"/>
      <c r="AZ363" s="218"/>
      <c r="BA363" s="218"/>
      <c r="BB363" s="218"/>
      <c r="BC363" s="218"/>
      <c r="BD363" s="218"/>
    </row>
    <row r="364" ht="12.75" customHeight="1" spans="27:56" x14ac:dyDescent="0.25"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  <c r="AV364" s="218"/>
      <c r="AW364" s="218"/>
      <c r="AX364" s="218"/>
      <c r="AY364" s="218"/>
      <c r="AZ364" s="218"/>
      <c r="BA364" s="218"/>
      <c r="BB364" s="218"/>
      <c r="BC364" s="218"/>
      <c r="BD364" s="218"/>
    </row>
    <row r="365" ht="12.75" customHeight="1" spans="27:56" x14ac:dyDescent="0.25"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  <c r="AV365" s="218"/>
      <c r="AW365" s="218"/>
      <c r="AX365" s="218"/>
      <c r="AY365" s="218"/>
      <c r="AZ365" s="218"/>
      <c r="BA365" s="218"/>
      <c r="BB365" s="218"/>
      <c r="BC365" s="218"/>
      <c r="BD365" s="218"/>
    </row>
    <row r="366" ht="12.75" customHeight="1" spans="27:56" x14ac:dyDescent="0.25"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  <c r="AV366" s="218"/>
      <c r="AW366" s="218"/>
      <c r="AX366" s="218"/>
      <c r="AY366" s="218"/>
      <c r="AZ366" s="218"/>
      <c r="BA366" s="218"/>
      <c r="BB366" s="218"/>
      <c r="BC366" s="218"/>
      <c r="BD366" s="218"/>
    </row>
    <row r="367" ht="12.75" customHeight="1" spans="27:56" x14ac:dyDescent="0.25"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  <c r="AV367" s="218"/>
      <c r="AW367" s="218"/>
      <c r="AX367" s="218"/>
      <c r="AY367" s="218"/>
      <c r="AZ367" s="218"/>
      <c r="BA367" s="218"/>
      <c r="BB367" s="218"/>
      <c r="BC367" s="218"/>
      <c r="BD367" s="218"/>
    </row>
    <row r="368" ht="12.75" customHeight="1" spans="27:56" x14ac:dyDescent="0.25"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  <c r="AV368" s="218"/>
      <c r="AW368" s="218"/>
      <c r="AX368" s="218"/>
      <c r="AY368" s="218"/>
      <c r="AZ368" s="218"/>
      <c r="BA368" s="218"/>
      <c r="BB368" s="218"/>
      <c r="BC368" s="218"/>
      <c r="BD368" s="218"/>
    </row>
    <row r="369" ht="12.75" customHeight="1" spans="27:56" x14ac:dyDescent="0.25"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  <c r="AV369" s="218"/>
      <c r="AW369" s="218"/>
      <c r="AX369" s="218"/>
      <c r="AY369" s="218"/>
      <c r="AZ369" s="218"/>
      <c r="BA369" s="218"/>
      <c r="BB369" s="218"/>
      <c r="BC369" s="218"/>
      <c r="BD369" s="218"/>
    </row>
    <row r="370" ht="12.75" customHeight="1" spans="27:56" x14ac:dyDescent="0.25"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  <c r="AV370" s="218"/>
      <c r="AW370" s="218"/>
      <c r="AX370" s="218"/>
      <c r="AY370" s="218"/>
      <c r="AZ370" s="218"/>
      <c r="BA370" s="218"/>
      <c r="BB370" s="218"/>
      <c r="BC370" s="218"/>
      <c r="BD370" s="218"/>
    </row>
    <row r="371" ht="12.75" customHeight="1" spans="27:56" x14ac:dyDescent="0.25"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  <c r="AV371" s="218"/>
      <c r="AW371" s="218"/>
      <c r="AX371" s="218"/>
      <c r="AY371" s="218"/>
      <c r="AZ371" s="218"/>
      <c r="BA371" s="218"/>
      <c r="BB371" s="218"/>
      <c r="BC371" s="218"/>
      <c r="BD371" s="218"/>
    </row>
    <row r="372" ht="12.75" customHeight="1" spans="27:56" x14ac:dyDescent="0.25"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  <c r="AV372" s="218"/>
      <c r="AW372" s="218"/>
      <c r="AX372" s="218"/>
      <c r="AY372" s="218"/>
      <c r="AZ372" s="218"/>
      <c r="BA372" s="218"/>
      <c r="BB372" s="218"/>
      <c r="BC372" s="218"/>
      <c r="BD372" s="218"/>
    </row>
    <row r="373" ht="12.75" customHeight="1" spans="27:56" x14ac:dyDescent="0.25"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  <c r="AV373" s="218"/>
      <c r="AW373" s="218"/>
      <c r="AX373" s="218"/>
      <c r="AY373" s="218"/>
      <c r="AZ373" s="218"/>
      <c r="BA373" s="218"/>
      <c r="BB373" s="218"/>
      <c r="BC373" s="218"/>
      <c r="BD373" s="218"/>
    </row>
    <row r="374" ht="12.75" customHeight="1" spans="27:56" x14ac:dyDescent="0.25"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  <c r="AV374" s="218"/>
      <c r="AW374" s="218"/>
      <c r="AX374" s="218"/>
      <c r="AY374" s="218"/>
      <c r="AZ374" s="218"/>
      <c r="BA374" s="218"/>
      <c r="BB374" s="218"/>
      <c r="BC374" s="218"/>
      <c r="BD374" s="218"/>
    </row>
    <row r="375" ht="12.75" customHeight="1" spans="27:56" x14ac:dyDescent="0.25"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  <c r="AV375" s="218"/>
      <c r="AW375" s="218"/>
      <c r="AX375" s="218"/>
      <c r="AY375" s="218"/>
      <c r="AZ375" s="218"/>
      <c r="BA375" s="218"/>
      <c r="BB375" s="218"/>
      <c r="BC375" s="218"/>
      <c r="BD375" s="218"/>
    </row>
    <row r="376" ht="12.75" customHeight="1" spans="27:56" x14ac:dyDescent="0.25"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  <c r="AV376" s="218"/>
      <c r="AW376" s="218"/>
      <c r="AX376" s="218"/>
      <c r="AY376" s="218"/>
      <c r="AZ376" s="218"/>
      <c r="BA376" s="218"/>
      <c r="BB376" s="218"/>
      <c r="BC376" s="218"/>
      <c r="BD376" s="218"/>
    </row>
    <row r="377" ht="12.75" customHeight="1" spans="27:56" x14ac:dyDescent="0.25"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  <c r="AV377" s="218"/>
      <c r="AW377" s="218"/>
      <c r="AX377" s="218"/>
      <c r="AY377" s="218"/>
      <c r="AZ377" s="218"/>
      <c r="BA377" s="218"/>
      <c r="BB377" s="218"/>
      <c r="BC377" s="218"/>
      <c r="BD377" s="218"/>
    </row>
    <row r="378" ht="12.75" customHeight="1" spans="27:56" x14ac:dyDescent="0.25"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  <c r="AV378" s="218"/>
      <c r="AW378" s="218"/>
      <c r="AX378" s="218"/>
      <c r="AY378" s="218"/>
      <c r="AZ378" s="218"/>
      <c r="BA378" s="218"/>
      <c r="BB378" s="218"/>
      <c r="BC378" s="218"/>
      <c r="BD378" s="218"/>
    </row>
    <row r="379" ht="12.75" customHeight="1" spans="27:56" x14ac:dyDescent="0.25"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  <c r="AV379" s="218"/>
      <c r="AW379" s="218"/>
      <c r="AX379" s="218"/>
      <c r="AY379" s="218"/>
      <c r="AZ379" s="218"/>
      <c r="BA379" s="218"/>
      <c r="BB379" s="218"/>
      <c r="BC379" s="218"/>
      <c r="BD379" s="218"/>
    </row>
    <row r="380" ht="12.75" customHeight="1" spans="27:56" x14ac:dyDescent="0.25"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  <c r="AV380" s="218"/>
      <c r="AW380" s="218"/>
      <c r="AX380" s="218"/>
      <c r="AY380" s="218"/>
      <c r="AZ380" s="218"/>
      <c r="BA380" s="218"/>
      <c r="BB380" s="218"/>
      <c r="BC380" s="218"/>
      <c r="BD380" s="218"/>
    </row>
    <row r="381" ht="12.75" customHeight="1" spans="27:56" x14ac:dyDescent="0.25"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  <c r="AV381" s="218"/>
      <c r="AW381" s="218"/>
      <c r="AX381" s="218"/>
      <c r="AY381" s="218"/>
      <c r="AZ381" s="218"/>
      <c r="BA381" s="218"/>
      <c r="BB381" s="218"/>
      <c r="BC381" s="218"/>
      <c r="BD381" s="218"/>
    </row>
    <row r="382" ht="12.75" customHeight="1" spans="27:56" x14ac:dyDescent="0.25"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  <c r="AV382" s="218"/>
      <c r="AW382" s="218"/>
      <c r="AX382" s="218"/>
      <c r="AY382" s="218"/>
      <c r="AZ382" s="218"/>
      <c r="BA382" s="218"/>
      <c r="BB382" s="218"/>
      <c r="BC382" s="218"/>
      <c r="BD382" s="218"/>
    </row>
    <row r="383" ht="12.75" customHeight="1" spans="27:56" x14ac:dyDescent="0.25"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  <c r="AV383" s="218"/>
      <c r="AW383" s="218"/>
      <c r="AX383" s="218"/>
      <c r="AY383" s="218"/>
      <c r="AZ383" s="218"/>
      <c r="BA383" s="218"/>
      <c r="BB383" s="218"/>
      <c r="BC383" s="218"/>
      <c r="BD383" s="218"/>
    </row>
    <row r="384" ht="12.75" customHeight="1" spans="27:56" x14ac:dyDescent="0.25"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  <c r="AV384" s="218"/>
      <c r="AW384" s="218"/>
      <c r="AX384" s="218"/>
      <c r="AY384" s="218"/>
      <c r="AZ384" s="218"/>
      <c r="BA384" s="218"/>
      <c r="BB384" s="218"/>
      <c r="BC384" s="218"/>
      <c r="BD384" s="218"/>
    </row>
    <row r="385" ht="12.75" customHeight="1" spans="27:56" x14ac:dyDescent="0.25"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  <c r="AV385" s="218"/>
      <c r="AW385" s="218"/>
      <c r="AX385" s="218"/>
      <c r="AY385" s="218"/>
      <c r="AZ385" s="218"/>
      <c r="BA385" s="218"/>
      <c r="BB385" s="218"/>
      <c r="BC385" s="218"/>
      <c r="BD385" s="218"/>
    </row>
    <row r="386" ht="12.75" customHeight="1" spans="27:56" x14ac:dyDescent="0.25"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  <c r="AV386" s="218"/>
      <c r="AW386" s="218"/>
      <c r="AX386" s="218"/>
      <c r="AY386" s="218"/>
      <c r="AZ386" s="218"/>
      <c r="BA386" s="218"/>
      <c r="BB386" s="218"/>
      <c r="BC386" s="218"/>
      <c r="BD386" s="218"/>
    </row>
    <row r="387" ht="12.75" customHeight="1" spans="27:56" x14ac:dyDescent="0.25"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  <c r="AV387" s="218"/>
      <c r="AW387" s="218"/>
      <c r="AX387" s="218"/>
      <c r="AY387" s="218"/>
      <c r="AZ387" s="218"/>
      <c r="BA387" s="218"/>
      <c r="BB387" s="218"/>
      <c r="BC387" s="218"/>
      <c r="BD387" s="218"/>
    </row>
    <row r="388" ht="12.75" customHeight="1" spans="27:56" x14ac:dyDescent="0.25"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  <c r="AV388" s="218"/>
      <c r="AW388" s="218"/>
      <c r="AX388" s="218"/>
      <c r="AY388" s="218"/>
      <c r="AZ388" s="218"/>
      <c r="BA388" s="218"/>
      <c r="BB388" s="218"/>
      <c r="BC388" s="218"/>
      <c r="BD388" s="218"/>
    </row>
    <row r="389" ht="12.75" customHeight="1" spans="27:56" x14ac:dyDescent="0.25"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  <c r="AV389" s="218"/>
      <c r="AW389" s="218"/>
      <c r="AX389" s="218"/>
      <c r="AY389" s="218"/>
      <c r="AZ389" s="218"/>
      <c r="BA389" s="218"/>
      <c r="BB389" s="218"/>
      <c r="BC389" s="218"/>
      <c r="BD389" s="218"/>
    </row>
    <row r="390" ht="12.75" customHeight="1" spans="27:56" x14ac:dyDescent="0.25"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  <c r="AV390" s="218"/>
      <c r="AW390" s="218"/>
      <c r="AX390" s="218"/>
      <c r="AY390" s="218"/>
      <c r="AZ390" s="218"/>
      <c r="BA390" s="218"/>
      <c r="BB390" s="218"/>
      <c r="BC390" s="218"/>
      <c r="BD390" s="218"/>
    </row>
    <row r="391" ht="12.75" customHeight="1" spans="27:56" x14ac:dyDescent="0.25"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  <c r="AV391" s="218"/>
      <c r="AW391" s="218"/>
      <c r="AX391" s="218"/>
      <c r="AY391" s="218"/>
      <c r="AZ391" s="218"/>
      <c r="BA391" s="218"/>
      <c r="BB391" s="218"/>
      <c r="BC391" s="218"/>
      <c r="BD391" s="218"/>
    </row>
    <row r="392" ht="12.75" customHeight="1" spans="27:56" x14ac:dyDescent="0.25"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  <c r="AV392" s="218"/>
      <c r="AW392" s="218"/>
      <c r="AX392" s="218"/>
      <c r="AY392" s="218"/>
      <c r="AZ392" s="218"/>
      <c r="BA392" s="218"/>
      <c r="BB392" s="218"/>
      <c r="BC392" s="218"/>
      <c r="BD392" s="218"/>
    </row>
    <row r="393" ht="12.75" customHeight="1" spans="27:56" x14ac:dyDescent="0.25"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  <c r="AV393" s="218"/>
      <c r="AW393" s="218"/>
      <c r="AX393" s="218"/>
      <c r="AY393" s="218"/>
      <c r="AZ393" s="218"/>
      <c r="BA393" s="218"/>
      <c r="BB393" s="218"/>
      <c r="BC393" s="218"/>
      <c r="BD393" s="218"/>
    </row>
    <row r="394" ht="12.75" customHeight="1" spans="27:56" x14ac:dyDescent="0.25"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  <c r="AV394" s="218"/>
      <c r="AW394" s="218"/>
      <c r="AX394" s="218"/>
      <c r="AY394" s="218"/>
      <c r="AZ394" s="218"/>
      <c r="BA394" s="218"/>
      <c r="BB394" s="218"/>
      <c r="BC394" s="218"/>
      <c r="BD394" s="218"/>
    </row>
    <row r="395" ht="12.75" customHeight="1" spans="27:56" x14ac:dyDescent="0.25"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  <c r="AV395" s="218"/>
      <c r="AW395" s="218"/>
      <c r="AX395" s="218"/>
      <c r="AY395" s="218"/>
      <c r="AZ395" s="218"/>
      <c r="BA395" s="218"/>
      <c r="BB395" s="218"/>
      <c r="BC395" s="218"/>
      <c r="BD395" s="218"/>
    </row>
    <row r="396" ht="12.75" customHeight="1" spans="27:56" x14ac:dyDescent="0.25"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  <c r="AV396" s="218"/>
      <c r="AW396" s="218"/>
      <c r="AX396" s="218"/>
      <c r="AY396" s="218"/>
      <c r="AZ396" s="218"/>
      <c r="BA396" s="218"/>
      <c r="BB396" s="218"/>
      <c r="BC396" s="218"/>
      <c r="BD396" s="218"/>
    </row>
    <row r="397" ht="12.75" customHeight="1" spans="27:56" x14ac:dyDescent="0.25"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  <c r="AV397" s="218"/>
      <c r="AW397" s="218"/>
      <c r="AX397" s="218"/>
      <c r="AY397" s="218"/>
      <c r="AZ397" s="218"/>
      <c r="BA397" s="218"/>
      <c r="BB397" s="218"/>
      <c r="BC397" s="218"/>
      <c r="BD397" s="218"/>
    </row>
    <row r="398" ht="12.75" customHeight="1" spans="27:56" x14ac:dyDescent="0.25"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  <c r="AV398" s="218"/>
      <c r="AW398" s="218"/>
      <c r="AX398" s="218"/>
      <c r="AY398" s="218"/>
      <c r="AZ398" s="218"/>
      <c r="BA398" s="218"/>
      <c r="BB398" s="218"/>
      <c r="BC398" s="218"/>
      <c r="BD398" s="218"/>
    </row>
    <row r="399" ht="12.75" customHeight="1" spans="27:56" x14ac:dyDescent="0.25"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  <c r="AV399" s="218"/>
      <c r="AW399" s="218"/>
      <c r="AX399" s="218"/>
      <c r="AY399" s="218"/>
      <c r="AZ399" s="218"/>
      <c r="BA399" s="218"/>
      <c r="BB399" s="218"/>
      <c r="BC399" s="218"/>
      <c r="BD399" s="218"/>
    </row>
    <row r="400" ht="12.75" customHeight="1" spans="27:56" x14ac:dyDescent="0.25"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  <c r="AV400" s="218"/>
      <c r="AW400" s="218"/>
      <c r="AX400" s="218"/>
      <c r="AY400" s="218"/>
      <c r="AZ400" s="218"/>
      <c r="BA400" s="218"/>
      <c r="BB400" s="218"/>
      <c r="BC400" s="218"/>
      <c r="BD400" s="218"/>
    </row>
    <row r="401" ht="12.75" customHeight="1" spans="27:56" x14ac:dyDescent="0.25"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  <c r="AV401" s="218"/>
      <c r="AW401" s="218"/>
      <c r="AX401" s="218"/>
      <c r="AY401" s="218"/>
      <c r="AZ401" s="218"/>
      <c r="BA401" s="218"/>
      <c r="BB401" s="218"/>
      <c r="BC401" s="218"/>
      <c r="BD401" s="218"/>
    </row>
    <row r="402" ht="12.75" customHeight="1" spans="27:56" x14ac:dyDescent="0.25"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  <c r="AV402" s="218"/>
      <c r="AW402" s="218"/>
      <c r="AX402" s="218"/>
      <c r="AY402" s="218"/>
      <c r="AZ402" s="218"/>
      <c r="BA402" s="218"/>
      <c r="BB402" s="218"/>
      <c r="BC402" s="218"/>
      <c r="BD402" s="218"/>
    </row>
    <row r="403" ht="12.75" customHeight="1" spans="27:56" x14ac:dyDescent="0.25"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  <c r="AV403" s="218"/>
      <c r="AW403" s="218"/>
      <c r="AX403" s="218"/>
      <c r="AY403" s="218"/>
      <c r="AZ403" s="218"/>
      <c r="BA403" s="218"/>
      <c r="BB403" s="218"/>
      <c r="BC403" s="218"/>
      <c r="BD403" s="218"/>
    </row>
    <row r="404" ht="12.75" customHeight="1" spans="27:56" x14ac:dyDescent="0.25"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  <c r="AV404" s="218"/>
      <c r="AW404" s="218"/>
      <c r="AX404" s="218"/>
      <c r="AY404" s="218"/>
      <c r="AZ404" s="218"/>
      <c r="BA404" s="218"/>
      <c r="BB404" s="218"/>
      <c r="BC404" s="218"/>
      <c r="BD404" s="218"/>
    </row>
    <row r="405" ht="12.75" customHeight="1" spans="27:56" x14ac:dyDescent="0.25"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  <c r="AV405" s="218"/>
      <c r="AW405" s="218"/>
      <c r="AX405" s="218"/>
      <c r="AY405" s="218"/>
      <c r="AZ405" s="218"/>
      <c r="BA405" s="218"/>
      <c r="BB405" s="218"/>
      <c r="BC405" s="218"/>
      <c r="BD405" s="218"/>
    </row>
    <row r="406" ht="12.75" customHeight="1" spans="27:56" x14ac:dyDescent="0.25"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  <c r="AV406" s="218"/>
      <c r="AW406" s="218"/>
      <c r="AX406" s="218"/>
      <c r="AY406" s="218"/>
      <c r="AZ406" s="218"/>
      <c r="BA406" s="218"/>
      <c r="BB406" s="218"/>
      <c r="BC406" s="218"/>
      <c r="BD406" s="218"/>
    </row>
    <row r="407" ht="12.75" customHeight="1" spans="27:56" x14ac:dyDescent="0.25"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  <c r="AV407" s="218"/>
      <c r="AW407" s="218"/>
      <c r="AX407" s="218"/>
      <c r="AY407" s="218"/>
      <c r="AZ407" s="218"/>
      <c r="BA407" s="218"/>
      <c r="BB407" s="218"/>
      <c r="BC407" s="218"/>
      <c r="BD407" s="218"/>
    </row>
    <row r="408" ht="12.75" customHeight="1" spans="27:56" x14ac:dyDescent="0.25"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  <c r="AV408" s="218"/>
      <c r="AW408" s="218"/>
      <c r="AX408" s="218"/>
      <c r="AY408" s="218"/>
      <c r="AZ408" s="218"/>
      <c r="BA408" s="218"/>
      <c r="BB408" s="218"/>
      <c r="BC408" s="218"/>
      <c r="BD408" s="218"/>
    </row>
    <row r="409" ht="12.75" customHeight="1" spans="27:56" x14ac:dyDescent="0.25"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  <c r="AV409" s="218"/>
      <c r="AW409" s="218"/>
      <c r="AX409" s="218"/>
      <c r="AY409" s="218"/>
      <c r="AZ409" s="218"/>
      <c r="BA409" s="218"/>
      <c r="BB409" s="218"/>
      <c r="BC409" s="218"/>
      <c r="BD409" s="218"/>
    </row>
    <row r="410" ht="12.75" customHeight="1" spans="27:56" x14ac:dyDescent="0.25"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  <c r="AV410" s="218"/>
      <c r="AW410" s="218"/>
      <c r="AX410" s="218"/>
      <c r="AY410" s="218"/>
      <c r="AZ410" s="218"/>
      <c r="BA410" s="218"/>
      <c r="BB410" s="218"/>
      <c r="BC410" s="218"/>
      <c r="BD410" s="218"/>
    </row>
    <row r="411" ht="12.75" customHeight="1" spans="27:56" x14ac:dyDescent="0.25"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  <c r="AV411" s="218"/>
      <c r="AW411" s="218"/>
      <c r="AX411" s="218"/>
      <c r="AY411" s="218"/>
      <c r="AZ411" s="218"/>
      <c r="BA411" s="218"/>
      <c r="BB411" s="218"/>
      <c r="BC411" s="218"/>
      <c r="BD411" s="218"/>
    </row>
    <row r="412" ht="12.75" customHeight="1" spans="27:56" x14ac:dyDescent="0.25"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  <c r="BD412" s="218"/>
    </row>
    <row r="413" ht="12.75" customHeight="1" spans="27:56" x14ac:dyDescent="0.25"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  <c r="BD413" s="218"/>
    </row>
    <row r="414" ht="12.75" customHeight="1" spans="27:56" x14ac:dyDescent="0.25"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  <c r="BD414" s="218"/>
    </row>
    <row r="415" ht="12.75" customHeight="1" spans="27:56" x14ac:dyDescent="0.25"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  <c r="BD415" s="218"/>
    </row>
    <row r="416" ht="12.75" customHeight="1" spans="27:56" x14ac:dyDescent="0.25"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  <c r="AV416" s="218"/>
      <c r="AW416" s="218"/>
      <c r="AX416" s="218"/>
      <c r="AY416" s="218"/>
      <c r="AZ416" s="218"/>
      <c r="BA416" s="218"/>
      <c r="BB416" s="218"/>
      <c r="BC416" s="218"/>
      <c r="BD416" s="218"/>
    </row>
    <row r="417" ht="12.75" customHeight="1" spans="27:56" x14ac:dyDescent="0.25"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  <c r="BD417" s="218"/>
    </row>
    <row r="418" ht="12.75" customHeight="1" spans="27:56" x14ac:dyDescent="0.25"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  <c r="AV418" s="218"/>
      <c r="AW418" s="218"/>
      <c r="AX418" s="218"/>
      <c r="AY418" s="218"/>
      <c r="AZ418" s="218"/>
      <c r="BA418" s="218"/>
      <c r="BB418" s="218"/>
      <c r="BC418" s="218"/>
      <c r="BD418" s="218"/>
    </row>
    <row r="419" ht="12.75" customHeight="1" spans="27:56" x14ac:dyDescent="0.25"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  <c r="AV419" s="218"/>
      <c r="AW419" s="218"/>
      <c r="AX419" s="218"/>
      <c r="AY419" s="218"/>
      <c r="AZ419" s="218"/>
      <c r="BA419" s="218"/>
      <c r="BB419" s="218"/>
      <c r="BC419" s="218"/>
      <c r="BD419" s="218"/>
    </row>
    <row r="420" ht="12.75" customHeight="1" spans="27:56" x14ac:dyDescent="0.25"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  <c r="AV420" s="218"/>
      <c r="AW420" s="218"/>
      <c r="AX420" s="218"/>
      <c r="AY420" s="218"/>
      <c r="AZ420" s="218"/>
      <c r="BA420" s="218"/>
      <c r="BB420" s="218"/>
      <c r="BC420" s="218"/>
      <c r="BD420" s="218"/>
    </row>
    <row r="421" ht="12.75" customHeight="1" spans="27:56" x14ac:dyDescent="0.25"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  <c r="AV421" s="218"/>
      <c r="AW421" s="218"/>
      <c r="AX421" s="218"/>
      <c r="AY421" s="218"/>
      <c r="AZ421" s="218"/>
      <c r="BA421" s="218"/>
      <c r="BB421" s="218"/>
      <c r="BC421" s="218"/>
      <c r="BD421" s="218"/>
    </row>
    <row r="422" ht="12.75" customHeight="1" spans="27:56" x14ac:dyDescent="0.25"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  <c r="AV422" s="218"/>
      <c r="AW422" s="218"/>
      <c r="AX422" s="218"/>
      <c r="AY422" s="218"/>
      <c r="AZ422" s="218"/>
      <c r="BA422" s="218"/>
      <c r="BB422" s="218"/>
      <c r="BC422" s="218"/>
      <c r="BD422" s="218"/>
    </row>
    <row r="423" ht="12.75" customHeight="1" spans="27:56" x14ac:dyDescent="0.25"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  <c r="AV423" s="218"/>
      <c r="AW423" s="218"/>
      <c r="AX423" s="218"/>
      <c r="AY423" s="218"/>
      <c r="AZ423" s="218"/>
      <c r="BA423" s="218"/>
      <c r="BB423" s="218"/>
      <c r="BC423" s="218"/>
      <c r="BD423" s="218"/>
    </row>
    <row r="424" ht="12.75" customHeight="1" spans="27:56" x14ac:dyDescent="0.25"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  <c r="AV424" s="218"/>
      <c r="AW424" s="218"/>
      <c r="AX424" s="218"/>
      <c r="AY424" s="218"/>
      <c r="AZ424" s="218"/>
      <c r="BA424" s="218"/>
      <c r="BB424" s="218"/>
      <c r="BC424" s="218"/>
      <c r="BD424" s="218"/>
    </row>
    <row r="425" ht="12.75" customHeight="1" spans="27:56" x14ac:dyDescent="0.25"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  <c r="AV425" s="218"/>
      <c r="AW425" s="218"/>
      <c r="AX425" s="218"/>
      <c r="AY425" s="218"/>
      <c r="AZ425" s="218"/>
      <c r="BA425" s="218"/>
      <c r="BB425" s="218"/>
      <c r="BC425" s="218"/>
      <c r="BD425" s="218"/>
    </row>
    <row r="426" ht="12.75" customHeight="1" spans="27:56" x14ac:dyDescent="0.25"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  <c r="AV426" s="218"/>
      <c r="AW426" s="218"/>
      <c r="AX426" s="218"/>
      <c r="AY426" s="218"/>
      <c r="AZ426" s="218"/>
      <c r="BA426" s="218"/>
      <c r="BB426" s="218"/>
      <c r="BC426" s="218"/>
      <c r="BD426" s="218"/>
    </row>
    <row r="427" ht="12.75" customHeight="1" spans="27:56" x14ac:dyDescent="0.25"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  <c r="BD427" s="218"/>
    </row>
    <row r="428" ht="12.75" customHeight="1" spans="27:56" x14ac:dyDescent="0.25"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  <c r="AV428" s="218"/>
      <c r="AW428" s="218"/>
      <c r="AX428" s="218"/>
      <c r="AY428" s="218"/>
      <c r="AZ428" s="218"/>
      <c r="BA428" s="218"/>
      <c r="BB428" s="218"/>
      <c r="BC428" s="218"/>
      <c r="BD428" s="218"/>
    </row>
    <row r="429" ht="12.75" customHeight="1" spans="27:56" x14ac:dyDescent="0.25"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  <c r="AV429" s="218"/>
      <c r="AW429" s="218"/>
      <c r="AX429" s="218"/>
      <c r="AY429" s="218"/>
      <c r="AZ429" s="218"/>
      <c r="BA429" s="218"/>
      <c r="BB429" s="218"/>
      <c r="BC429" s="218"/>
      <c r="BD429" s="218"/>
    </row>
    <row r="430" ht="12.75" customHeight="1" spans="27:56" x14ac:dyDescent="0.25"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  <c r="AV430" s="218"/>
      <c r="AW430" s="218"/>
      <c r="AX430" s="218"/>
      <c r="AY430" s="218"/>
      <c r="AZ430" s="218"/>
      <c r="BA430" s="218"/>
      <c r="BB430" s="218"/>
      <c r="BC430" s="218"/>
      <c r="BD430" s="218"/>
    </row>
    <row r="431" ht="12.75" customHeight="1" spans="27:56" x14ac:dyDescent="0.25"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  <c r="AV431" s="218"/>
      <c r="AW431" s="218"/>
      <c r="AX431" s="218"/>
      <c r="AY431" s="218"/>
      <c r="AZ431" s="218"/>
      <c r="BA431" s="218"/>
      <c r="BB431" s="218"/>
      <c r="BC431" s="218"/>
      <c r="BD431" s="218"/>
    </row>
    <row r="432" ht="12.75" customHeight="1" spans="27:56" x14ac:dyDescent="0.25"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  <c r="AV432" s="218"/>
      <c r="AW432" s="218"/>
      <c r="AX432" s="218"/>
      <c r="AY432" s="218"/>
      <c r="AZ432" s="218"/>
      <c r="BA432" s="218"/>
      <c r="BB432" s="218"/>
      <c r="BC432" s="218"/>
      <c r="BD432" s="218"/>
    </row>
    <row r="433" ht="12.75" customHeight="1" spans="27:56" x14ac:dyDescent="0.25"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  <c r="AV433" s="218"/>
      <c r="AW433" s="218"/>
      <c r="AX433" s="218"/>
      <c r="AY433" s="218"/>
      <c r="AZ433" s="218"/>
      <c r="BA433" s="218"/>
      <c r="BB433" s="218"/>
      <c r="BC433" s="218"/>
      <c r="BD433" s="218"/>
    </row>
    <row r="434" ht="12.75" customHeight="1" spans="27:56" x14ac:dyDescent="0.25"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  <c r="AV434" s="218"/>
      <c r="AW434" s="218"/>
      <c r="AX434" s="218"/>
      <c r="AY434" s="218"/>
      <c r="AZ434" s="218"/>
      <c r="BA434" s="218"/>
      <c r="BB434" s="218"/>
      <c r="BC434" s="218"/>
      <c r="BD434" s="218"/>
    </row>
    <row r="435" ht="12.75" customHeight="1" spans="27:56" x14ac:dyDescent="0.25"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  <c r="AV435" s="218"/>
      <c r="AW435" s="218"/>
      <c r="AX435" s="218"/>
      <c r="AY435" s="218"/>
      <c r="AZ435" s="218"/>
      <c r="BA435" s="218"/>
      <c r="BB435" s="218"/>
      <c r="BC435" s="218"/>
      <c r="BD435" s="218"/>
    </row>
    <row r="436" ht="12.75" customHeight="1" spans="27:56" x14ac:dyDescent="0.25"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  <c r="AV436" s="218"/>
      <c r="AW436" s="218"/>
      <c r="AX436" s="218"/>
      <c r="AY436" s="218"/>
      <c r="AZ436" s="218"/>
      <c r="BA436" s="218"/>
      <c r="BB436" s="218"/>
      <c r="BC436" s="218"/>
      <c r="BD436" s="218"/>
    </row>
    <row r="437" ht="12.75" customHeight="1" spans="27:56" x14ac:dyDescent="0.25"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  <c r="AV437" s="218"/>
      <c r="AW437" s="218"/>
      <c r="AX437" s="218"/>
      <c r="AY437" s="218"/>
      <c r="AZ437" s="218"/>
      <c r="BA437" s="218"/>
      <c r="BB437" s="218"/>
      <c r="BC437" s="218"/>
      <c r="BD437" s="218"/>
    </row>
    <row r="438" ht="12.75" customHeight="1" spans="27:56" x14ac:dyDescent="0.25"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  <c r="AV438" s="218"/>
      <c r="AW438" s="218"/>
      <c r="AX438" s="218"/>
      <c r="AY438" s="218"/>
      <c r="AZ438" s="218"/>
      <c r="BA438" s="218"/>
      <c r="BB438" s="218"/>
      <c r="BC438" s="218"/>
      <c r="BD438" s="218"/>
    </row>
    <row r="439" ht="12.75" customHeight="1" spans="27:56" x14ac:dyDescent="0.25"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  <c r="AV439" s="218"/>
      <c r="AW439" s="218"/>
      <c r="AX439" s="218"/>
      <c r="AY439" s="218"/>
      <c r="AZ439" s="218"/>
      <c r="BA439" s="218"/>
      <c r="BB439" s="218"/>
      <c r="BC439" s="218"/>
      <c r="BD439" s="218"/>
    </row>
    <row r="440" ht="12.75" customHeight="1" spans="27:56" x14ac:dyDescent="0.25"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  <c r="AV440" s="218"/>
      <c r="AW440" s="218"/>
      <c r="AX440" s="218"/>
      <c r="AY440" s="218"/>
      <c r="AZ440" s="218"/>
      <c r="BA440" s="218"/>
      <c r="BB440" s="218"/>
      <c r="BC440" s="218"/>
      <c r="BD440" s="218"/>
    </row>
    <row r="441" ht="12.75" customHeight="1" spans="27:56" x14ac:dyDescent="0.25"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  <c r="AV441" s="218"/>
      <c r="AW441" s="218"/>
      <c r="AX441" s="218"/>
      <c r="AY441" s="218"/>
      <c r="AZ441" s="218"/>
      <c r="BA441" s="218"/>
      <c r="BB441" s="218"/>
      <c r="BC441" s="218"/>
      <c r="BD441" s="218"/>
    </row>
    <row r="442" ht="12.75" customHeight="1" spans="27:56" x14ac:dyDescent="0.25"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  <c r="AV442" s="218"/>
      <c r="AW442" s="218"/>
      <c r="AX442" s="218"/>
      <c r="AY442" s="218"/>
      <c r="AZ442" s="218"/>
      <c r="BA442" s="218"/>
      <c r="BB442" s="218"/>
      <c r="BC442" s="218"/>
      <c r="BD442" s="218"/>
    </row>
    <row r="443" ht="12.75" customHeight="1" spans="27:56" x14ac:dyDescent="0.25"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  <c r="AV443" s="218"/>
      <c r="AW443" s="218"/>
      <c r="AX443" s="218"/>
      <c r="AY443" s="218"/>
      <c r="AZ443" s="218"/>
      <c r="BA443" s="218"/>
      <c r="BB443" s="218"/>
      <c r="BC443" s="218"/>
      <c r="BD443" s="218"/>
    </row>
    <row r="444" ht="12.75" customHeight="1" spans="27:56" x14ac:dyDescent="0.25"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  <c r="AV444" s="218"/>
      <c r="AW444" s="218"/>
      <c r="AX444" s="218"/>
      <c r="AY444" s="218"/>
      <c r="AZ444" s="218"/>
      <c r="BA444" s="218"/>
      <c r="BB444" s="218"/>
      <c r="BC444" s="218"/>
      <c r="BD444" s="218"/>
    </row>
    <row r="445" ht="12.75" customHeight="1" spans="27:56" x14ac:dyDescent="0.25"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  <c r="AV445" s="218"/>
      <c r="AW445" s="218"/>
      <c r="AX445" s="218"/>
      <c r="AY445" s="218"/>
      <c r="AZ445" s="218"/>
      <c r="BA445" s="218"/>
      <c r="BB445" s="218"/>
      <c r="BC445" s="218"/>
      <c r="BD445" s="218"/>
    </row>
    <row r="446" ht="12.75" customHeight="1" spans="27:56" x14ac:dyDescent="0.25"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  <c r="AV446" s="218"/>
      <c r="AW446" s="218"/>
      <c r="AX446" s="218"/>
      <c r="AY446" s="218"/>
      <c r="AZ446" s="218"/>
      <c r="BA446" s="218"/>
      <c r="BB446" s="218"/>
      <c r="BC446" s="218"/>
      <c r="BD446" s="218"/>
    </row>
    <row r="447" ht="12.75" customHeight="1" spans="27:56" x14ac:dyDescent="0.25"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  <c r="AV447" s="218"/>
      <c r="AW447" s="218"/>
      <c r="AX447" s="218"/>
      <c r="AY447" s="218"/>
      <c r="AZ447" s="218"/>
      <c r="BA447" s="218"/>
      <c r="BB447" s="218"/>
      <c r="BC447" s="218"/>
      <c r="BD447" s="218"/>
    </row>
    <row r="448" ht="12.75" customHeight="1" spans="27:56" x14ac:dyDescent="0.25"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  <c r="AV448" s="218"/>
      <c r="AW448" s="218"/>
      <c r="AX448" s="218"/>
      <c r="AY448" s="218"/>
      <c r="AZ448" s="218"/>
      <c r="BA448" s="218"/>
      <c r="BB448" s="218"/>
      <c r="BC448" s="218"/>
      <c r="BD448" s="218"/>
    </row>
    <row r="449" ht="12.75" customHeight="1" spans="27:56" x14ac:dyDescent="0.25"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  <c r="AV449" s="218"/>
      <c r="AW449" s="218"/>
      <c r="AX449" s="218"/>
      <c r="AY449" s="218"/>
      <c r="AZ449" s="218"/>
      <c r="BA449" s="218"/>
      <c r="BB449" s="218"/>
      <c r="BC449" s="218"/>
      <c r="BD449" s="218"/>
    </row>
    <row r="450" ht="12.75" customHeight="1" spans="27:56" x14ac:dyDescent="0.25"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  <c r="AV450" s="218"/>
      <c r="AW450" s="218"/>
      <c r="AX450" s="218"/>
      <c r="AY450" s="218"/>
      <c r="AZ450" s="218"/>
      <c r="BA450" s="218"/>
      <c r="BB450" s="218"/>
      <c r="BC450" s="218"/>
      <c r="BD450" s="218"/>
    </row>
    <row r="451" ht="12.75" customHeight="1" spans="27:56" x14ac:dyDescent="0.25"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  <c r="AV451" s="218"/>
      <c r="AW451" s="218"/>
      <c r="AX451" s="218"/>
      <c r="AY451" s="218"/>
      <c r="AZ451" s="218"/>
      <c r="BA451" s="218"/>
      <c r="BB451" s="218"/>
      <c r="BC451" s="218"/>
      <c r="BD451" s="218"/>
    </row>
    <row r="452" ht="12.75" customHeight="1" spans="27:56" x14ac:dyDescent="0.25"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  <c r="AV452" s="218"/>
      <c r="AW452" s="218"/>
      <c r="AX452" s="218"/>
      <c r="AY452" s="218"/>
      <c r="AZ452" s="218"/>
      <c r="BA452" s="218"/>
      <c r="BB452" s="218"/>
      <c r="BC452" s="218"/>
      <c r="BD452" s="218"/>
    </row>
    <row r="453" ht="12.75" customHeight="1" spans="27:56" x14ac:dyDescent="0.25"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  <c r="AV453" s="218"/>
      <c r="AW453" s="218"/>
      <c r="AX453" s="218"/>
      <c r="AY453" s="218"/>
      <c r="AZ453" s="218"/>
      <c r="BA453" s="218"/>
      <c r="BB453" s="218"/>
      <c r="BC453" s="218"/>
      <c r="BD453" s="218"/>
    </row>
    <row r="454" ht="12.75" customHeight="1" spans="27:56" x14ac:dyDescent="0.25"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  <c r="AV454" s="218"/>
      <c r="AW454" s="218"/>
      <c r="AX454" s="218"/>
      <c r="AY454" s="218"/>
      <c r="AZ454" s="218"/>
      <c r="BA454" s="218"/>
      <c r="BB454" s="218"/>
      <c r="BC454" s="218"/>
      <c r="BD454" s="218"/>
    </row>
    <row r="455" ht="12.75" customHeight="1" spans="27:56" x14ac:dyDescent="0.25"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  <c r="AV455" s="218"/>
      <c r="AW455" s="218"/>
      <c r="AX455" s="218"/>
      <c r="AY455" s="218"/>
      <c r="AZ455" s="218"/>
      <c r="BA455" s="218"/>
      <c r="BB455" s="218"/>
      <c r="BC455" s="218"/>
      <c r="BD455" s="218"/>
    </row>
    <row r="456" ht="12.75" customHeight="1" spans="27:56" x14ac:dyDescent="0.25"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  <c r="AV456" s="218"/>
      <c r="AW456" s="218"/>
      <c r="AX456" s="218"/>
      <c r="AY456" s="218"/>
      <c r="AZ456" s="218"/>
      <c r="BA456" s="218"/>
      <c r="BB456" s="218"/>
      <c r="BC456" s="218"/>
      <c r="BD456" s="218"/>
    </row>
    <row r="457" ht="12.75" customHeight="1" spans="27:56" x14ac:dyDescent="0.25"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  <c r="AV457" s="218"/>
      <c r="AW457" s="218"/>
      <c r="AX457" s="218"/>
      <c r="AY457" s="218"/>
      <c r="AZ457" s="218"/>
      <c r="BA457" s="218"/>
      <c r="BB457" s="218"/>
      <c r="BC457" s="218"/>
      <c r="BD457" s="218"/>
    </row>
    <row r="458" ht="12.75" customHeight="1" spans="27:56" x14ac:dyDescent="0.25"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  <c r="BD458" s="218"/>
    </row>
    <row r="459" ht="12.75" customHeight="1" spans="27:56" x14ac:dyDescent="0.25"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  <c r="AV459" s="218"/>
      <c r="AW459" s="218"/>
      <c r="AX459" s="218"/>
      <c r="AY459" s="218"/>
      <c r="AZ459" s="218"/>
      <c r="BA459" s="218"/>
      <c r="BB459" s="218"/>
      <c r="BC459" s="218"/>
      <c r="BD459" s="218"/>
    </row>
    <row r="460" ht="12.75" customHeight="1" spans="27:56" x14ac:dyDescent="0.25"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  <c r="AV460" s="218"/>
      <c r="AW460" s="218"/>
      <c r="AX460" s="218"/>
      <c r="AY460" s="218"/>
      <c r="AZ460" s="218"/>
      <c r="BA460" s="218"/>
      <c r="BB460" s="218"/>
      <c r="BC460" s="218"/>
      <c r="BD460" s="218"/>
    </row>
    <row r="461" ht="12.75" customHeight="1" spans="27:56" x14ac:dyDescent="0.25"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  <c r="AV461" s="218"/>
      <c r="AW461" s="218"/>
      <c r="AX461" s="218"/>
      <c r="AY461" s="218"/>
      <c r="AZ461" s="218"/>
      <c r="BA461" s="218"/>
      <c r="BB461" s="218"/>
      <c r="BC461" s="218"/>
      <c r="BD461" s="218"/>
    </row>
    <row r="462" ht="12.75" customHeight="1" spans="27:56" x14ac:dyDescent="0.25"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  <c r="AV462" s="218"/>
      <c r="AW462" s="218"/>
      <c r="AX462" s="218"/>
      <c r="AY462" s="218"/>
      <c r="AZ462" s="218"/>
      <c r="BA462" s="218"/>
      <c r="BB462" s="218"/>
      <c r="BC462" s="218"/>
      <c r="BD462" s="218"/>
    </row>
    <row r="463" ht="12.75" customHeight="1" spans="27:56" x14ac:dyDescent="0.25"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  <c r="AV463" s="218"/>
      <c r="AW463" s="218"/>
      <c r="AX463" s="218"/>
      <c r="AY463" s="218"/>
      <c r="AZ463" s="218"/>
      <c r="BA463" s="218"/>
      <c r="BB463" s="218"/>
      <c r="BC463" s="218"/>
      <c r="BD463" s="218"/>
    </row>
    <row r="464" ht="12.75" customHeight="1" spans="27:56" x14ac:dyDescent="0.25"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  <c r="AV464" s="218"/>
      <c r="AW464" s="218"/>
      <c r="AX464" s="218"/>
      <c r="AY464" s="218"/>
      <c r="AZ464" s="218"/>
      <c r="BA464" s="218"/>
      <c r="BB464" s="218"/>
      <c r="BC464" s="218"/>
      <c r="BD464" s="218"/>
    </row>
    <row r="465" ht="12.75" customHeight="1" spans="27:56" x14ac:dyDescent="0.25"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  <c r="AV465" s="218"/>
      <c r="AW465" s="218"/>
      <c r="AX465" s="218"/>
      <c r="AY465" s="218"/>
      <c r="AZ465" s="218"/>
      <c r="BA465" s="218"/>
      <c r="BB465" s="218"/>
      <c r="BC465" s="218"/>
      <c r="BD465" s="218"/>
    </row>
    <row r="466" ht="12.75" customHeight="1" spans="27:56" x14ac:dyDescent="0.25"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  <c r="AV466" s="218"/>
      <c r="AW466" s="218"/>
      <c r="AX466" s="218"/>
      <c r="AY466" s="218"/>
      <c r="AZ466" s="218"/>
      <c r="BA466" s="218"/>
      <c r="BB466" s="218"/>
      <c r="BC466" s="218"/>
      <c r="BD466" s="218"/>
    </row>
    <row r="467" ht="12.75" customHeight="1" spans="27:56" x14ac:dyDescent="0.25"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  <c r="AV467" s="218"/>
      <c r="AW467" s="218"/>
      <c r="AX467" s="218"/>
      <c r="AY467" s="218"/>
      <c r="AZ467" s="218"/>
      <c r="BA467" s="218"/>
      <c r="BB467" s="218"/>
      <c r="BC467" s="218"/>
      <c r="BD467" s="218"/>
    </row>
    <row r="468" ht="12.75" customHeight="1" spans="27:56" x14ac:dyDescent="0.25"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  <c r="AV468" s="218"/>
      <c r="AW468" s="218"/>
      <c r="AX468" s="218"/>
      <c r="AY468" s="218"/>
      <c r="AZ468" s="218"/>
      <c r="BA468" s="218"/>
      <c r="BB468" s="218"/>
      <c r="BC468" s="218"/>
      <c r="BD468" s="218"/>
    </row>
    <row r="469" ht="12.75" customHeight="1" spans="27:56" x14ac:dyDescent="0.25"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  <c r="AV469" s="218"/>
      <c r="AW469" s="218"/>
      <c r="AX469" s="218"/>
      <c r="AY469" s="218"/>
      <c r="AZ469" s="218"/>
      <c r="BA469" s="218"/>
      <c r="BB469" s="218"/>
      <c r="BC469" s="218"/>
      <c r="BD469" s="218"/>
    </row>
    <row r="470" ht="12.75" customHeight="1" spans="27:56" x14ac:dyDescent="0.25"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  <c r="AV470" s="218"/>
      <c r="AW470" s="218"/>
      <c r="AX470" s="218"/>
      <c r="AY470" s="218"/>
      <c r="AZ470" s="218"/>
      <c r="BA470" s="218"/>
      <c r="BB470" s="218"/>
      <c r="BC470" s="218"/>
      <c r="BD470" s="218"/>
    </row>
    <row r="471" ht="12.75" customHeight="1" spans="27:56" x14ac:dyDescent="0.25"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  <c r="AV471" s="218"/>
      <c r="AW471" s="218"/>
      <c r="AX471" s="218"/>
      <c r="AY471" s="218"/>
      <c r="AZ471" s="218"/>
      <c r="BA471" s="218"/>
      <c r="BB471" s="218"/>
      <c r="BC471" s="218"/>
      <c r="BD471" s="218"/>
    </row>
    <row r="472" ht="12.75" customHeight="1" spans="27:56" x14ac:dyDescent="0.25"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  <c r="AV472" s="218"/>
      <c r="AW472" s="218"/>
      <c r="AX472" s="218"/>
      <c r="AY472" s="218"/>
      <c r="AZ472" s="218"/>
      <c r="BA472" s="218"/>
      <c r="BB472" s="218"/>
      <c r="BC472" s="218"/>
      <c r="BD472" s="218"/>
    </row>
    <row r="473" ht="12.75" customHeight="1" spans="27:56" x14ac:dyDescent="0.25"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  <c r="AV473" s="218"/>
      <c r="AW473" s="218"/>
      <c r="AX473" s="218"/>
      <c r="AY473" s="218"/>
      <c r="AZ473" s="218"/>
      <c r="BA473" s="218"/>
      <c r="BB473" s="218"/>
      <c r="BC473" s="218"/>
      <c r="BD473" s="218"/>
    </row>
    <row r="474" ht="12.75" customHeight="1" spans="27:56" x14ac:dyDescent="0.25"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  <c r="AV474" s="218"/>
      <c r="AW474" s="218"/>
      <c r="AX474" s="218"/>
      <c r="AY474" s="218"/>
      <c r="AZ474" s="218"/>
      <c r="BA474" s="218"/>
      <c r="BB474" s="218"/>
      <c r="BC474" s="218"/>
      <c r="BD474" s="218"/>
    </row>
    <row r="475" ht="12.75" customHeight="1" spans="27:56" x14ac:dyDescent="0.25"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  <c r="AV475" s="218"/>
      <c r="AW475" s="218"/>
      <c r="AX475" s="218"/>
      <c r="AY475" s="218"/>
      <c r="AZ475" s="218"/>
      <c r="BA475" s="218"/>
      <c r="BB475" s="218"/>
      <c r="BC475" s="218"/>
      <c r="BD475" s="218"/>
    </row>
    <row r="476" ht="12.75" customHeight="1" spans="27:56" x14ac:dyDescent="0.25"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  <c r="AV476" s="218"/>
      <c r="AW476" s="218"/>
      <c r="AX476" s="218"/>
      <c r="AY476" s="218"/>
      <c r="AZ476" s="218"/>
      <c r="BA476" s="218"/>
      <c r="BB476" s="218"/>
      <c r="BC476" s="218"/>
      <c r="BD476" s="218"/>
    </row>
    <row r="477" ht="12.75" customHeight="1" spans="27:56" x14ac:dyDescent="0.25"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  <c r="AV477" s="218"/>
      <c r="AW477" s="218"/>
      <c r="AX477" s="218"/>
      <c r="AY477" s="218"/>
      <c r="AZ477" s="218"/>
      <c r="BA477" s="218"/>
      <c r="BB477" s="218"/>
      <c r="BC477" s="218"/>
      <c r="BD477" s="218"/>
    </row>
    <row r="478" ht="12.75" customHeight="1" spans="27:56" x14ac:dyDescent="0.25"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  <c r="AV478" s="218"/>
      <c r="AW478" s="218"/>
      <c r="AX478" s="218"/>
      <c r="AY478" s="218"/>
      <c r="AZ478" s="218"/>
      <c r="BA478" s="218"/>
      <c r="BB478" s="218"/>
      <c r="BC478" s="218"/>
      <c r="BD478" s="218"/>
    </row>
    <row r="479" ht="12.75" customHeight="1" spans="27:56" x14ac:dyDescent="0.25"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  <c r="AV479" s="218"/>
      <c r="AW479" s="218"/>
      <c r="AX479" s="218"/>
      <c r="AY479" s="218"/>
      <c r="AZ479" s="218"/>
      <c r="BA479" s="218"/>
      <c r="BB479" s="218"/>
      <c r="BC479" s="218"/>
      <c r="BD479" s="218"/>
    </row>
    <row r="480" ht="12.75" customHeight="1" spans="27:56" x14ac:dyDescent="0.25"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  <c r="AV480" s="218"/>
      <c r="AW480" s="218"/>
      <c r="AX480" s="218"/>
      <c r="AY480" s="218"/>
      <c r="AZ480" s="218"/>
      <c r="BA480" s="218"/>
      <c r="BB480" s="218"/>
      <c r="BC480" s="218"/>
      <c r="BD480" s="218"/>
    </row>
    <row r="481" ht="12.75" customHeight="1" spans="27:56" x14ac:dyDescent="0.25"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  <c r="AV481" s="218"/>
      <c r="AW481" s="218"/>
      <c r="AX481" s="218"/>
      <c r="AY481" s="218"/>
      <c r="AZ481" s="218"/>
      <c r="BA481" s="218"/>
      <c r="BB481" s="218"/>
      <c r="BC481" s="218"/>
      <c r="BD481" s="218"/>
    </row>
    <row r="482" ht="12.75" customHeight="1" spans="27:56" x14ac:dyDescent="0.25"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  <c r="AV482" s="218"/>
      <c r="AW482" s="218"/>
      <c r="AX482" s="218"/>
      <c r="AY482" s="218"/>
      <c r="AZ482" s="218"/>
      <c r="BA482" s="218"/>
      <c r="BB482" s="218"/>
      <c r="BC482" s="218"/>
      <c r="BD482" s="218"/>
    </row>
    <row r="483" ht="12.75" customHeight="1" spans="27:56" x14ac:dyDescent="0.25"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  <c r="AV483" s="218"/>
      <c r="AW483" s="218"/>
      <c r="AX483" s="218"/>
      <c r="AY483" s="218"/>
      <c r="AZ483" s="218"/>
      <c r="BA483" s="218"/>
      <c r="BB483" s="218"/>
      <c r="BC483" s="218"/>
      <c r="BD483" s="218"/>
    </row>
    <row r="484" ht="12.75" customHeight="1" spans="27:56" x14ac:dyDescent="0.25"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  <c r="AV484" s="218"/>
      <c r="AW484" s="218"/>
      <c r="AX484" s="218"/>
      <c r="AY484" s="218"/>
      <c r="AZ484" s="218"/>
      <c r="BA484" s="218"/>
      <c r="BB484" s="218"/>
      <c r="BC484" s="218"/>
      <c r="BD484" s="218"/>
    </row>
    <row r="485" ht="12.75" customHeight="1" spans="27:56" x14ac:dyDescent="0.25"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  <c r="AV485" s="218"/>
      <c r="AW485" s="218"/>
      <c r="AX485" s="218"/>
      <c r="AY485" s="218"/>
      <c r="AZ485" s="218"/>
      <c r="BA485" s="218"/>
      <c r="BB485" s="218"/>
      <c r="BC485" s="218"/>
      <c r="BD485" s="218"/>
    </row>
    <row r="486" ht="12.75" customHeight="1" spans="27:56" x14ac:dyDescent="0.25"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  <c r="AV486" s="218"/>
      <c r="AW486" s="218"/>
      <c r="AX486" s="218"/>
      <c r="AY486" s="218"/>
      <c r="AZ486" s="218"/>
      <c r="BA486" s="218"/>
      <c r="BB486" s="218"/>
      <c r="BC486" s="218"/>
      <c r="BD486" s="218"/>
    </row>
    <row r="487" ht="12.75" customHeight="1" spans="27:56" x14ac:dyDescent="0.25"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  <c r="AV487" s="218"/>
      <c r="AW487" s="218"/>
      <c r="AX487" s="218"/>
      <c r="AY487" s="218"/>
      <c r="AZ487" s="218"/>
      <c r="BA487" s="218"/>
      <c r="BB487" s="218"/>
      <c r="BC487" s="218"/>
      <c r="BD487" s="218"/>
    </row>
    <row r="488" ht="12.75" customHeight="1" spans="27:56" x14ac:dyDescent="0.25"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  <c r="AV488" s="218"/>
      <c r="AW488" s="218"/>
      <c r="AX488" s="218"/>
      <c r="AY488" s="218"/>
      <c r="AZ488" s="218"/>
      <c r="BA488" s="218"/>
      <c r="BB488" s="218"/>
      <c r="BC488" s="218"/>
      <c r="BD488" s="218"/>
    </row>
    <row r="489" ht="12.75" customHeight="1" spans="27:56" x14ac:dyDescent="0.25"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  <c r="AV489" s="218"/>
      <c r="AW489" s="218"/>
      <c r="AX489" s="218"/>
      <c r="AY489" s="218"/>
      <c r="AZ489" s="218"/>
      <c r="BA489" s="218"/>
      <c r="BB489" s="218"/>
      <c r="BC489" s="218"/>
      <c r="BD489" s="218"/>
    </row>
    <row r="490" ht="12.75" customHeight="1" spans="27:56" x14ac:dyDescent="0.25"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  <c r="BD490" s="218"/>
    </row>
    <row r="491" ht="12.75" customHeight="1" spans="27:56" x14ac:dyDescent="0.25"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  <c r="AV491" s="218"/>
      <c r="AW491" s="218"/>
      <c r="AX491" s="218"/>
      <c r="AY491" s="218"/>
      <c r="AZ491" s="218"/>
      <c r="BA491" s="218"/>
      <c r="BB491" s="218"/>
      <c r="BC491" s="218"/>
      <c r="BD491" s="218"/>
    </row>
    <row r="492" ht="12.75" customHeight="1" spans="27:56" x14ac:dyDescent="0.25"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  <c r="AV492" s="218"/>
      <c r="AW492" s="218"/>
      <c r="AX492" s="218"/>
      <c r="AY492" s="218"/>
      <c r="AZ492" s="218"/>
      <c r="BA492" s="218"/>
      <c r="BB492" s="218"/>
      <c r="BC492" s="218"/>
      <c r="BD492" s="218"/>
    </row>
    <row r="493" ht="12.75" customHeight="1" spans="27:56" x14ac:dyDescent="0.25"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  <c r="AV493" s="218"/>
      <c r="AW493" s="218"/>
      <c r="AX493" s="218"/>
      <c r="AY493" s="218"/>
      <c r="AZ493" s="218"/>
      <c r="BA493" s="218"/>
      <c r="BB493" s="218"/>
      <c r="BC493" s="218"/>
      <c r="BD493" s="218"/>
    </row>
    <row r="494" ht="12.75" customHeight="1" spans="27:56" x14ac:dyDescent="0.25"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  <c r="AV494" s="218"/>
      <c r="AW494" s="218"/>
      <c r="AX494" s="218"/>
      <c r="AY494" s="218"/>
      <c r="AZ494" s="218"/>
      <c r="BA494" s="218"/>
      <c r="BB494" s="218"/>
      <c r="BC494" s="218"/>
      <c r="BD494" s="218"/>
    </row>
    <row r="495" ht="12.75" customHeight="1" spans="27:56" x14ac:dyDescent="0.25"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  <c r="AV495" s="218"/>
      <c r="AW495" s="218"/>
      <c r="AX495" s="218"/>
      <c r="AY495" s="218"/>
      <c r="AZ495" s="218"/>
      <c r="BA495" s="218"/>
      <c r="BB495" s="218"/>
      <c r="BC495" s="218"/>
      <c r="BD495" s="218"/>
    </row>
    <row r="496" ht="12.75" customHeight="1" spans="27:56" x14ac:dyDescent="0.25"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  <c r="AV496" s="218"/>
      <c r="AW496" s="218"/>
      <c r="AX496" s="218"/>
      <c r="AY496" s="218"/>
      <c r="AZ496" s="218"/>
      <c r="BA496" s="218"/>
      <c r="BB496" s="218"/>
      <c r="BC496" s="218"/>
      <c r="BD496" s="218"/>
    </row>
    <row r="497" ht="12.75" customHeight="1" spans="27:56" x14ac:dyDescent="0.25"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  <c r="AV497" s="218"/>
      <c r="AW497" s="218"/>
      <c r="AX497" s="218"/>
      <c r="AY497" s="218"/>
      <c r="AZ497" s="218"/>
      <c r="BA497" s="218"/>
      <c r="BB497" s="218"/>
      <c r="BC497" s="218"/>
      <c r="BD497" s="218"/>
    </row>
    <row r="498" ht="12.75" customHeight="1" spans="27:56" x14ac:dyDescent="0.25"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  <c r="AV498" s="218"/>
      <c r="AW498" s="218"/>
      <c r="AX498" s="218"/>
      <c r="AY498" s="218"/>
      <c r="AZ498" s="218"/>
      <c r="BA498" s="218"/>
      <c r="BB498" s="218"/>
      <c r="BC498" s="218"/>
      <c r="BD498" s="218"/>
    </row>
    <row r="499" ht="12.75" customHeight="1" spans="27:56" x14ac:dyDescent="0.25"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  <c r="AV499" s="218"/>
      <c r="AW499" s="218"/>
      <c r="AX499" s="218"/>
      <c r="AY499" s="218"/>
      <c r="AZ499" s="218"/>
      <c r="BA499" s="218"/>
      <c r="BB499" s="218"/>
      <c r="BC499" s="218"/>
      <c r="BD499" s="218"/>
    </row>
    <row r="500" ht="12.75" customHeight="1" spans="27:56" x14ac:dyDescent="0.25"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  <c r="AV500" s="218"/>
      <c r="AW500" s="218"/>
      <c r="AX500" s="218"/>
      <c r="AY500" s="218"/>
      <c r="AZ500" s="218"/>
      <c r="BA500" s="218"/>
      <c r="BB500" s="218"/>
      <c r="BC500" s="218"/>
      <c r="BD500" s="218"/>
    </row>
    <row r="501" ht="12.75" customHeight="1" spans="27:56" x14ac:dyDescent="0.25"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  <c r="AV501" s="218"/>
      <c r="AW501" s="218"/>
      <c r="AX501" s="218"/>
      <c r="AY501" s="218"/>
      <c r="AZ501" s="218"/>
      <c r="BA501" s="218"/>
      <c r="BB501" s="218"/>
      <c r="BC501" s="218"/>
      <c r="BD501" s="218"/>
    </row>
    <row r="502" ht="12.75" customHeight="1" spans="27:56" x14ac:dyDescent="0.25"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  <c r="AV502" s="218"/>
      <c r="AW502" s="218"/>
      <c r="AX502" s="218"/>
      <c r="AY502" s="218"/>
      <c r="AZ502" s="218"/>
      <c r="BA502" s="218"/>
      <c r="BB502" s="218"/>
      <c r="BC502" s="218"/>
      <c r="BD502" s="218"/>
    </row>
    <row r="503" ht="12.75" customHeight="1" spans="27:56" x14ac:dyDescent="0.25"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  <c r="AV503" s="218"/>
      <c r="AW503" s="218"/>
      <c r="AX503" s="218"/>
      <c r="AY503" s="218"/>
      <c r="AZ503" s="218"/>
      <c r="BA503" s="218"/>
      <c r="BB503" s="218"/>
      <c r="BC503" s="218"/>
      <c r="BD503" s="218"/>
    </row>
    <row r="504" ht="12.75" customHeight="1" spans="27:56" x14ac:dyDescent="0.25"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  <c r="AV504" s="218"/>
      <c r="AW504" s="218"/>
      <c r="AX504" s="218"/>
      <c r="AY504" s="218"/>
      <c r="AZ504" s="218"/>
      <c r="BA504" s="218"/>
      <c r="BB504" s="218"/>
      <c r="BC504" s="218"/>
      <c r="BD504" s="218"/>
    </row>
    <row r="505" ht="12.75" customHeight="1" spans="27:56" x14ac:dyDescent="0.25"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  <c r="AV505" s="218"/>
      <c r="AW505" s="218"/>
      <c r="AX505" s="218"/>
      <c r="AY505" s="218"/>
      <c r="AZ505" s="218"/>
      <c r="BA505" s="218"/>
      <c r="BB505" s="218"/>
      <c r="BC505" s="218"/>
      <c r="BD505" s="218"/>
    </row>
    <row r="506" ht="12.75" customHeight="1" spans="27:56" x14ac:dyDescent="0.25"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  <c r="AV506" s="218"/>
      <c r="AW506" s="218"/>
      <c r="AX506" s="218"/>
      <c r="AY506" s="218"/>
      <c r="AZ506" s="218"/>
      <c r="BA506" s="218"/>
      <c r="BB506" s="218"/>
      <c r="BC506" s="218"/>
      <c r="BD506" s="218"/>
    </row>
    <row r="507" ht="12.75" customHeight="1" spans="27:56" x14ac:dyDescent="0.25"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  <c r="AV507" s="218"/>
      <c r="AW507" s="218"/>
      <c r="AX507" s="218"/>
      <c r="AY507" s="218"/>
      <c r="AZ507" s="218"/>
      <c r="BA507" s="218"/>
      <c r="BB507" s="218"/>
      <c r="BC507" s="218"/>
      <c r="BD507" s="218"/>
    </row>
    <row r="508" ht="12.75" customHeight="1" spans="27:56" x14ac:dyDescent="0.25"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  <c r="AV508" s="218"/>
      <c r="AW508" s="218"/>
      <c r="AX508" s="218"/>
      <c r="AY508" s="218"/>
      <c r="AZ508" s="218"/>
      <c r="BA508" s="218"/>
      <c r="BB508" s="218"/>
      <c r="BC508" s="218"/>
      <c r="BD508" s="218"/>
    </row>
    <row r="509" ht="12.75" customHeight="1" spans="27:56" x14ac:dyDescent="0.25"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  <c r="AV509" s="218"/>
      <c r="AW509" s="218"/>
      <c r="AX509" s="218"/>
      <c r="AY509" s="218"/>
      <c r="AZ509" s="218"/>
      <c r="BA509" s="218"/>
      <c r="BB509" s="218"/>
      <c r="BC509" s="218"/>
      <c r="BD509" s="218"/>
    </row>
    <row r="510" ht="12.75" customHeight="1" spans="27:56" x14ac:dyDescent="0.25"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  <c r="AV510" s="218"/>
      <c r="AW510" s="218"/>
      <c r="AX510" s="218"/>
      <c r="AY510" s="218"/>
      <c r="AZ510" s="218"/>
      <c r="BA510" s="218"/>
      <c r="BB510" s="218"/>
      <c r="BC510" s="218"/>
      <c r="BD510" s="218"/>
    </row>
    <row r="511" ht="12.75" customHeight="1" spans="27:56" x14ac:dyDescent="0.25"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  <c r="AV511" s="218"/>
      <c r="AW511" s="218"/>
      <c r="AX511" s="218"/>
      <c r="AY511" s="218"/>
      <c r="AZ511" s="218"/>
      <c r="BA511" s="218"/>
      <c r="BB511" s="218"/>
      <c r="BC511" s="218"/>
      <c r="BD511" s="218"/>
    </row>
    <row r="512" ht="12.75" customHeight="1" spans="27:56" x14ac:dyDescent="0.25"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  <c r="AV512" s="218"/>
      <c r="AW512" s="218"/>
      <c r="AX512" s="218"/>
      <c r="AY512" s="218"/>
      <c r="AZ512" s="218"/>
      <c r="BA512" s="218"/>
      <c r="BB512" s="218"/>
      <c r="BC512" s="218"/>
      <c r="BD512" s="218"/>
    </row>
    <row r="513" ht="12.75" customHeight="1" spans="27:56" x14ac:dyDescent="0.25"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  <c r="AV513" s="218"/>
      <c r="AW513" s="218"/>
      <c r="AX513" s="218"/>
      <c r="AY513" s="218"/>
      <c r="AZ513" s="218"/>
      <c r="BA513" s="218"/>
      <c r="BB513" s="218"/>
      <c r="BC513" s="218"/>
      <c r="BD513" s="218"/>
    </row>
    <row r="514" ht="12.75" customHeight="1" spans="27:56" x14ac:dyDescent="0.25"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  <c r="AV514" s="218"/>
      <c r="AW514" s="218"/>
      <c r="AX514" s="218"/>
      <c r="AY514" s="218"/>
      <c r="AZ514" s="218"/>
      <c r="BA514" s="218"/>
      <c r="BB514" s="218"/>
      <c r="BC514" s="218"/>
      <c r="BD514" s="218"/>
    </row>
    <row r="515" ht="12.75" customHeight="1" spans="27:56" x14ac:dyDescent="0.25"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  <c r="AV515" s="218"/>
      <c r="AW515" s="218"/>
      <c r="AX515" s="218"/>
      <c r="AY515" s="218"/>
      <c r="AZ515" s="218"/>
      <c r="BA515" s="218"/>
      <c r="BB515" s="218"/>
      <c r="BC515" s="218"/>
      <c r="BD515" s="218"/>
    </row>
    <row r="516" ht="12.75" customHeight="1" spans="27:56" x14ac:dyDescent="0.25"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  <c r="AV516" s="218"/>
      <c r="AW516" s="218"/>
      <c r="AX516" s="218"/>
      <c r="AY516" s="218"/>
      <c r="AZ516" s="218"/>
      <c r="BA516" s="218"/>
      <c r="BB516" s="218"/>
      <c r="BC516" s="218"/>
      <c r="BD516" s="218"/>
    </row>
    <row r="517" ht="12.75" customHeight="1" spans="27:56" x14ac:dyDescent="0.25"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  <c r="AV517" s="218"/>
      <c r="AW517" s="218"/>
      <c r="AX517" s="218"/>
      <c r="AY517" s="218"/>
      <c r="AZ517" s="218"/>
      <c r="BA517" s="218"/>
      <c r="BB517" s="218"/>
      <c r="BC517" s="218"/>
      <c r="BD517" s="218"/>
    </row>
    <row r="518" ht="12.75" customHeight="1" spans="27:56" x14ac:dyDescent="0.25"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  <c r="AV518" s="218"/>
      <c r="AW518" s="218"/>
      <c r="AX518" s="218"/>
      <c r="AY518" s="218"/>
      <c r="AZ518" s="218"/>
      <c r="BA518" s="218"/>
      <c r="BB518" s="218"/>
      <c r="BC518" s="218"/>
      <c r="BD518" s="218"/>
    </row>
    <row r="519" ht="12.75" customHeight="1" spans="27:56" x14ac:dyDescent="0.25"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  <c r="AV519" s="218"/>
      <c r="AW519" s="218"/>
      <c r="AX519" s="218"/>
      <c r="AY519" s="218"/>
      <c r="AZ519" s="218"/>
      <c r="BA519" s="218"/>
      <c r="BB519" s="218"/>
      <c r="BC519" s="218"/>
      <c r="BD519" s="218"/>
    </row>
    <row r="520" ht="12.75" customHeight="1" spans="27:56" x14ac:dyDescent="0.25"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  <c r="AV520" s="218"/>
      <c r="AW520" s="218"/>
      <c r="AX520" s="218"/>
      <c r="AY520" s="218"/>
      <c r="AZ520" s="218"/>
      <c r="BA520" s="218"/>
      <c r="BB520" s="218"/>
      <c r="BC520" s="218"/>
      <c r="BD520" s="218"/>
    </row>
    <row r="521" ht="12.75" customHeight="1" spans="27:56" x14ac:dyDescent="0.25"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  <c r="AV521" s="218"/>
      <c r="AW521" s="218"/>
      <c r="AX521" s="218"/>
      <c r="AY521" s="218"/>
      <c r="AZ521" s="218"/>
      <c r="BA521" s="218"/>
      <c r="BB521" s="218"/>
      <c r="BC521" s="218"/>
      <c r="BD521" s="218"/>
    </row>
    <row r="522" ht="12.75" customHeight="1" spans="27:56" x14ac:dyDescent="0.25"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  <c r="AV522" s="218"/>
      <c r="AW522" s="218"/>
      <c r="AX522" s="218"/>
      <c r="AY522" s="218"/>
      <c r="AZ522" s="218"/>
      <c r="BA522" s="218"/>
      <c r="BB522" s="218"/>
      <c r="BC522" s="218"/>
      <c r="BD522" s="218"/>
    </row>
    <row r="523" ht="12.75" customHeight="1" spans="27:56" x14ac:dyDescent="0.25"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  <c r="AV523" s="218"/>
      <c r="AW523" s="218"/>
      <c r="AX523" s="218"/>
      <c r="AY523" s="218"/>
      <c r="AZ523" s="218"/>
      <c r="BA523" s="218"/>
      <c r="BB523" s="218"/>
      <c r="BC523" s="218"/>
      <c r="BD523" s="218"/>
    </row>
    <row r="524" ht="12.75" customHeight="1" spans="27:56" x14ac:dyDescent="0.25"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  <c r="AV524" s="218"/>
      <c r="AW524" s="218"/>
      <c r="AX524" s="218"/>
      <c r="AY524" s="218"/>
      <c r="AZ524" s="218"/>
      <c r="BA524" s="218"/>
      <c r="BB524" s="218"/>
      <c r="BC524" s="218"/>
      <c r="BD524" s="218"/>
    </row>
    <row r="525" ht="12.75" customHeight="1" spans="27:56" x14ac:dyDescent="0.25"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  <c r="AV525" s="218"/>
      <c r="AW525" s="218"/>
      <c r="AX525" s="218"/>
      <c r="AY525" s="218"/>
      <c r="AZ525" s="218"/>
      <c r="BA525" s="218"/>
      <c r="BB525" s="218"/>
      <c r="BC525" s="218"/>
      <c r="BD525" s="218"/>
    </row>
    <row r="526" ht="12.75" customHeight="1" spans="27:56" x14ac:dyDescent="0.25"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  <c r="AV526" s="218"/>
      <c r="AW526" s="218"/>
      <c r="AX526" s="218"/>
      <c r="AY526" s="218"/>
      <c r="AZ526" s="218"/>
      <c r="BA526" s="218"/>
      <c r="BB526" s="218"/>
      <c r="BC526" s="218"/>
      <c r="BD526" s="218"/>
    </row>
    <row r="527" ht="12.75" customHeight="1" spans="27:56" x14ac:dyDescent="0.25"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  <c r="AV527" s="218"/>
      <c r="AW527" s="218"/>
      <c r="AX527" s="218"/>
      <c r="AY527" s="218"/>
      <c r="AZ527" s="218"/>
      <c r="BA527" s="218"/>
      <c r="BB527" s="218"/>
      <c r="BC527" s="218"/>
      <c r="BD527" s="218"/>
    </row>
    <row r="528" ht="12.75" customHeight="1" spans="27:56" x14ac:dyDescent="0.25"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  <c r="AV528" s="218"/>
      <c r="AW528" s="218"/>
      <c r="AX528" s="218"/>
      <c r="AY528" s="218"/>
      <c r="AZ528" s="218"/>
      <c r="BA528" s="218"/>
      <c r="BB528" s="218"/>
      <c r="BC528" s="218"/>
      <c r="BD528" s="218"/>
    </row>
    <row r="529" ht="12.75" customHeight="1" spans="27:56" x14ac:dyDescent="0.25"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  <c r="AV529" s="218"/>
      <c r="AW529" s="218"/>
      <c r="AX529" s="218"/>
      <c r="AY529" s="218"/>
      <c r="AZ529" s="218"/>
      <c r="BA529" s="218"/>
      <c r="BB529" s="218"/>
      <c r="BC529" s="218"/>
      <c r="BD529" s="218"/>
    </row>
    <row r="530" ht="12.75" customHeight="1" spans="27:56" x14ac:dyDescent="0.25"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  <c r="AV530" s="218"/>
      <c r="AW530" s="218"/>
      <c r="AX530" s="218"/>
      <c r="AY530" s="218"/>
      <c r="AZ530" s="218"/>
      <c r="BA530" s="218"/>
      <c r="BB530" s="218"/>
      <c r="BC530" s="218"/>
      <c r="BD530" s="218"/>
    </row>
    <row r="531" ht="12.75" customHeight="1" spans="27:56" x14ac:dyDescent="0.25"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  <c r="BD531" s="218"/>
    </row>
    <row r="532" ht="12.75" customHeight="1" spans="27:56" x14ac:dyDescent="0.25"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  <c r="AV532" s="218"/>
      <c r="AW532" s="218"/>
      <c r="AX532" s="218"/>
      <c r="AY532" s="218"/>
      <c r="AZ532" s="218"/>
      <c r="BA532" s="218"/>
      <c r="BB532" s="218"/>
      <c r="BC532" s="218"/>
      <c r="BD532" s="218"/>
    </row>
    <row r="533" ht="12.75" customHeight="1" spans="27:56" x14ac:dyDescent="0.25"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  <c r="AV533" s="218"/>
      <c r="AW533" s="218"/>
      <c r="AX533" s="218"/>
      <c r="AY533" s="218"/>
      <c r="AZ533" s="218"/>
      <c r="BA533" s="218"/>
      <c r="BB533" s="218"/>
      <c r="BC533" s="218"/>
      <c r="BD533" s="218"/>
    </row>
    <row r="534" ht="12.75" customHeight="1" spans="27:56" x14ac:dyDescent="0.25"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  <c r="AV534" s="218"/>
      <c r="AW534" s="218"/>
      <c r="AX534" s="218"/>
      <c r="AY534" s="218"/>
      <c r="AZ534" s="218"/>
      <c r="BA534" s="218"/>
      <c r="BB534" s="218"/>
      <c r="BC534" s="218"/>
      <c r="BD534" s="218"/>
    </row>
    <row r="535" ht="12.75" customHeight="1" spans="27:56" x14ac:dyDescent="0.25"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  <c r="AV535" s="218"/>
      <c r="AW535" s="218"/>
      <c r="AX535" s="218"/>
      <c r="AY535" s="218"/>
      <c r="AZ535" s="218"/>
      <c r="BA535" s="218"/>
      <c r="BB535" s="218"/>
      <c r="BC535" s="218"/>
      <c r="BD535" s="218"/>
    </row>
    <row r="536" ht="12.75" customHeight="1" spans="27:56" x14ac:dyDescent="0.25"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  <c r="BD536" s="218"/>
    </row>
    <row r="537" ht="12.75" customHeight="1" spans="27:56" x14ac:dyDescent="0.25"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  <c r="AV537" s="218"/>
      <c r="AW537" s="218"/>
      <c r="AX537" s="218"/>
      <c r="AY537" s="218"/>
      <c r="AZ537" s="218"/>
      <c r="BA537" s="218"/>
      <c r="BB537" s="218"/>
      <c r="BC537" s="218"/>
      <c r="BD537" s="218"/>
    </row>
    <row r="538" ht="12.75" customHeight="1" spans="27:56" x14ac:dyDescent="0.25"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  <c r="AV538" s="218"/>
      <c r="AW538" s="218"/>
      <c r="AX538" s="218"/>
      <c r="AY538" s="218"/>
      <c r="AZ538" s="218"/>
      <c r="BA538" s="218"/>
      <c r="BB538" s="218"/>
      <c r="BC538" s="218"/>
      <c r="BD538" s="218"/>
    </row>
    <row r="539" ht="12.75" customHeight="1" spans="27:56" x14ac:dyDescent="0.25"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  <c r="AV539" s="218"/>
      <c r="AW539" s="218"/>
      <c r="AX539" s="218"/>
      <c r="AY539" s="218"/>
      <c r="AZ539" s="218"/>
      <c r="BA539" s="218"/>
      <c r="BB539" s="218"/>
      <c r="BC539" s="218"/>
      <c r="BD539" s="218"/>
    </row>
  </sheetData>
  <mergeCells count="11">
    <mergeCell ref="B2:C2"/>
    <mergeCell ref="I2:J2"/>
    <mergeCell ref="F2:F5"/>
    <mergeCell ref="I3:J3"/>
    <mergeCell ref="B4:C4"/>
    <mergeCell ref="I4:J4"/>
    <mergeCell ref="B5:C5"/>
    <mergeCell ref="I5:J5"/>
    <mergeCell ref="I6:J6"/>
    <mergeCell ref="F30:G30"/>
    <mergeCell ref="K30:L30"/>
  </mergeCells>
  <dataValidations count="3">
    <dataValidation type="list" allowBlank="1" showErrorMessage="1" sqref="C9:C29">
      <formula1>"LAP,CEL,AL,CVL,BL,UCL,CL,PL,HL,MTL,TL,OD/CC,OXYZO Exposure,BG,LC,Other Discounting line,Others Secured,Other Unsecured"</formula1>
    </dataValidation>
    <dataValidation type="list" allowBlank="1" showInputMessage="1" prompt="Please select from the dropdown" showErrorMessage="1" sqref="B9:B29">
      <formula1>$DB$1:$DB$400</formula1>
    </dataValidation>
    <dataValidation type="list" allowBlank="1" showErrorMessage="1" sqref="E9:E29">
      <formula1>"Live,Closed,BT/SC"</formula1>
    </dataValidation>
  </dataValidation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SHEET</vt:lpstr>
      <vt:lpstr>BANKING ANALYSIS</vt:lpstr>
      <vt:lpstr>LOAN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2018-11-08T13:22:52Z</dcterms:created>
  <dcterms:modified xsi:type="dcterms:W3CDTF">2018-11-08T13:22:52Z</dcterms:modified>
</cp:coreProperties>
</file>