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תקציבי מחקר חוקרים\תקציבי מחקר\"/>
    </mc:Choice>
  </mc:AlternateContent>
  <bookViews>
    <workbookView xWindow="0" yWindow="0" windowWidth="19200" windowHeight="7080" activeTab="3"/>
  </bookViews>
  <sheets>
    <sheet name="סיכום תקציבי מחקר" sheetId="9" r:id="rId1"/>
    <sheet name="מוטי שונות 2020" sheetId="13" r:id="rId2"/>
    <sheet name="מ. המדע - שימוש בתגי PIT" sheetId="12" r:id="rId3"/>
    <sheet name="מ. המדע - ירגזים כמדבירים" sheetId="8" r:id="rId4"/>
    <sheet name="ירגזים דוח כספי 08-2020" sheetId="14" r:id="rId5"/>
    <sheet name="מ. החקלאות - נזקי נברנים" sheetId="7" r:id="rId6"/>
    <sheet name="דוח כספי נזקי נברנים 0820" sheetId="15" r:id="rId7"/>
    <sheet name="מ. החקלאות - מיגל" sheetId="11" r:id="rId8"/>
    <sheet name="דוח מייגל 092020" sheetId="16" r:id="rId9"/>
    <sheet name="קקל - תנשמות בישראל" sheetId="10" r:id="rId10"/>
    <sheet name="תרומות" sheetId="6" r:id="rId11"/>
    <sheet name="מוטי שונות 2019" sheetId="4" r:id="rId12"/>
    <sheet name="מוטי שונות 2018" sheetId="2" r:id="rId13"/>
    <sheet name="מיגל שימוש ברחפנים" sheetId="3" r:id="rId14"/>
    <sheet name="גיליון1" sheetId="5" r:id="rId15"/>
    <sheet name="מוטי שונות 2017" sheetId="1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8" l="1"/>
  <c r="H94" i="6" l="1"/>
  <c r="R39" i="16" l="1"/>
  <c r="P48" i="16"/>
  <c r="P42" i="16" l="1"/>
  <c r="P33" i="16"/>
  <c r="P32" i="16"/>
  <c r="P30" i="16"/>
  <c r="P29" i="16"/>
  <c r="P27" i="16"/>
  <c r="P22" i="16"/>
  <c r="P18" i="16"/>
  <c r="P13" i="16"/>
  <c r="P7" i="16"/>
  <c r="M7" i="16" l="1"/>
  <c r="G68" i="16"/>
  <c r="F68" i="16"/>
  <c r="E68" i="16"/>
  <c r="I54" i="16"/>
  <c r="K54" i="16" s="1"/>
  <c r="C48" i="16"/>
  <c r="E44" i="16"/>
  <c r="C42" i="16"/>
  <c r="E40" i="16"/>
  <c r="E53" i="16" s="1"/>
  <c r="E55" i="16" s="1"/>
  <c r="D33" i="16"/>
  <c r="C33" i="16"/>
  <c r="D32" i="16"/>
  <c r="C32" i="16"/>
  <c r="D30" i="16"/>
  <c r="C30" i="16"/>
  <c r="D29" i="16"/>
  <c r="D53" i="16" s="1"/>
  <c r="D55" i="16" s="1"/>
  <c r="C29" i="16"/>
  <c r="D27" i="16"/>
  <c r="C27" i="16"/>
  <c r="C22" i="16"/>
  <c r="C18" i="16"/>
  <c r="C53" i="16" s="1"/>
  <c r="C55" i="16" s="1"/>
  <c r="D13" i="16"/>
  <c r="C13" i="16"/>
  <c r="C7" i="16"/>
  <c r="B56" i="16" l="1"/>
  <c r="H83" i="6"/>
  <c r="E65" i="11" l="1"/>
  <c r="E69" i="11"/>
  <c r="D19" i="8" l="1"/>
  <c r="D18" i="8" l="1"/>
  <c r="G115" i="7" l="1"/>
  <c r="G111" i="7"/>
  <c r="G107" i="7"/>
  <c r="E13" i="9"/>
  <c r="C13" i="9" l="1"/>
  <c r="K18" i="9"/>
  <c r="E10" i="9"/>
  <c r="D10" i="9"/>
  <c r="C10" i="9"/>
  <c r="B10" i="9"/>
  <c r="H62" i="4"/>
  <c r="F102" i="10"/>
  <c r="N133" i="4"/>
  <c r="C115" i="10"/>
  <c r="D19" i="11" l="1"/>
  <c r="E19" i="11"/>
  <c r="C19" i="11"/>
  <c r="C21" i="11" s="1"/>
  <c r="B13" i="9" s="1"/>
  <c r="K13" i="9" s="1"/>
  <c r="E21" i="11"/>
  <c r="I20" i="11"/>
  <c r="K20" i="11" s="1"/>
  <c r="D21" i="11"/>
  <c r="C10" i="7"/>
  <c r="C73" i="11"/>
  <c r="C17" i="8"/>
  <c r="B22" i="11" l="1"/>
  <c r="E74" i="15"/>
  <c r="N62" i="15" l="1"/>
  <c r="N57" i="15"/>
  <c r="N56" i="15"/>
  <c r="N55" i="15"/>
  <c r="N58" i="15"/>
  <c r="N51" i="15"/>
  <c r="N50" i="15"/>
  <c r="N46" i="15"/>
  <c r="N41" i="15"/>
  <c r="N40" i="15"/>
  <c r="N31" i="15"/>
  <c r="N30" i="15"/>
  <c r="N24" i="15"/>
  <c r="N18" i="15"/>
  <c r="N16" i="15"/>
  <c r="N15" i="15"/>
  <c r="F89" i="15"/>
  <c r="E89" i="15"/>
  <c r="F74" i="15"/>
  <c r="F76" i="15" s="1"/>
  <c r="D62" i="15"/>
  <c r="D58" i="15"/>
  <c r="D50" i="15"/>
  <c r="D46" i="15"/>
  <c r="D40" i="15"/>
  <c r="D30" i="15"/>
  <c r="C16" i="15"/>
  <c r="C74" i="15" s="1"/>
  <c r="E12" i="15"/>
  <c r="E76" i="15" s="1"/>
  <c r="D74" i="15" l="1"/>
  <c r="D76" i="15" s="1"/>
  <c r="C76" i="15"/>
  <c r="B77" i="15" s="1"/>
  <c r="G89" i="15"/>
  <c r="I75" i="15"/>
  <c r="K75" i="15" s="1"/>
  <c r="R7" i="14"/>
  <c r="O18" i="14" l="1"/>
  <c r="O17" i="14"/>
  <c r="O16" i="14"/>
  <c r="O14" i="14"/>
  <c r="O13" i="14"/>
  <c r="O10" i="14"/>
  <c r="O9" i="14"/>
  <c r="O8" i="14"/>
  <c r="O7" i="14"/>
  <c r="O6" i="14"/>
  <c r="O5" i="14"/>
  <c r="O4" i="14"/>
  <c r="E71" i="14"/>
  <c r="J71" i="14" s="1"/>
  <c r="H70" i="14"/>
  <c r="H72" i="14" s="1"/>
  <c r="G70" i="14"/>
  <c r="G72" i="14" s="1"/>
  <c r="E70" i="14"/>
  <c r="C18" i="14"/>
  <c r="C70" i="14" s="1"/>
  <c r="F63" i="14"/>
  <c r="F57" i="14"/>
  <c r="F53" i="14"/>
  <c r="D8" i="14"/>
  <c r="D6" i="14"/>
  <c r="F22" i="14"/>
  <c r="D70" i="14" l="1"/>
  <c r="D72" i="14" s="1"/>
  <c r="F70" i="14"/>
  <c r="F72" i="14" s="1"/>
  <c r="C72" i="14"/>
  <c r="E72" i="14"/>
  <c r="D6" i="9"/>
  <c r="E11" i="9"/>
  <c r="D11" i="9"/>
  <c r="C11" i="9"/>
  <c r="F8" i="9"/>
  <c r="E8" i="9"/>
  <c r="I20" i="7"/>
  <c r="K20" i="7" s="1"/>
  <c r="E19" i="7"/>
  <c r="E21" i="7" s="1"/>
  <c r="F19" i="7"/>
  <c r="F21" i="7" s="1"/>
  <c r="D19" i="7"/>
  <c r="D21" i="7" s="1"/>
  <c r="C8" i="9" s="1"/>
  <c r="C19" i="7"/>
  <c r="J70" i="14" l="1"/>
  <c r="B73" i="14"/>
  <c r="C21" i="7"/>
  <c r="C67" i="11"/>
  <c r="B22" i="7" l="1"/>
  <c r="B8" i="9"/>
  <c r="K8" i="9" s="1"/>
  <c r="H73" i="6"/>
  <c r="D16" i="8" l="1"/>
  <c r="H71" i="6" l="1"/>
  <c r="K16" i="12" l="1"/>
  <c r="K15" i="12"/>
  <c r="K14" i="12"/>
  <c r="K13" i="12"/>
  <c r="K12" i="12"/>
  <c r="K11" i="12"/>
  <c r="C65" i="10" l="1"/>
  <c r="D58" i="11"/>
  <c r="C58" i="11" s="1"/>
  <c r="D57" i="11"/>
  <c r="C57" i="11" s="1"/>
  <c r="F60" i="10"/>
  <c r="H25" i="8" l="1"/>
  <c r="H27" i="8" s="1"/>
  <c r="G25" i="8"/>
  <c r="F25" i="8"/>
  <c r="F27" i="8" s="1"/>
  <c r="E6" i="9" s="1"/>
  <c r="E25" i="8"/>
  <c r="D25" i="8"/>
  <c r="D27" i="8" s="1"/>
  <c r="C6" i="9" s="1"/>
  <c r="C25" i="8"/>
  <c r="C27" i="8" s="1"/>
  <c r="B6" i="9" s="1"/>
  <c r="G27" i="8"/>
  <c r="E27" i="8"/>
  <c r="K6" i="9" l="1"/>
  <c r="J25" i="8"/>
  <c r="B28" i="8"/>
  <c r="J26" i="8"/>
  <c r="S3" i="9"/>
  <c r="F90" i="8" l="1"/>
  <c r="H62" i="6" l="1"/>
  <c r="F58" i="10" l="1"/>
  <c r="C15" i="12" l="1"/>
  <c r="D85" i="7"/>
  <c r="C92" i="8"/>
  <c r="D55" i="11"/>
  <c r="C55" i="11"/>
  <c r="I28" i="13" l="1"/>
  <c r="H28" i="13"/>
  <c r="C33" i="13" s="1"/>
  <c r="I15" i="13"/>
  <c r="C32" i="13" s="1"/>
  <c r="F84" i="8" l="1"/>
  <c r="D54" i="11" l="1"/>
  <c r="C54" i="11"/>
  <c r="D81" i="7"/>
  <c r="F80" i="8" l="1"/>
  <c r="D73" i="7" l="1"/>
  <c r="D52" i="11"/>
  <c r="C52" i="11"/>
  <c r="D69" i="7" l="1"/>
  <c r="C47" i="11"/>
  <c r="F75" i="10" l="1"/>
  <c r="E75" i="10"/>
  <c r="D75" i="10"/>
  <c r="C75" i="10"/>
  <c r="D63" i="7" l="1"/>
  <c r="C43" i="11" l="1"/>
  <c r="E11" i="10" l="1"/>
  <c r="E74" i="10" s="1"/>
  <c r="E76" i="10" s="1"/>
  <c r="J75" i="10"/>
  <c r="F115" i="10"/>
  <c r="E115" i="10"/>
  <c r="D115" i="10"/>
  <c r="F74" i="10"/>
  <c r="F76" i="10" s="1"/>
  <c r="D74" i="10"/>
  <c r="D76" i="10" s="1"/>
  <c r="C74" i="10"/>
  <c r="C76" i="10" s="1"/>
  <c r="B11" i="9" s="1"/>
  <c r="K11" i="9" s="1"/>
  <c r="B77" i="10" l="1"/>
  <c r="D53" i="7"/>
  <c r="D38" i="11" l="1"/>
  <c r="C38" i="11" s="1"/>
  <c r="B49" i="12" l="1"/>
  <c r="B50" i="12" s="1"/>
  <c r="F44" i="12"/>
  <c r="E44" i="12"/>
  <c r="F40" i="12"/>
  <c r="G40" i="12" s="1"/>
  <c r="G44" i="12" s="1"/>
  <c r="H32" i="12"/>
  <c r="F31" i="12"/>
  <c r="F33" i="12" s="1"/>
  <c r="E31" i="12"/>
  <c r="E33" i="12" s="1"/>
  <c r="E14" i="9" s="1"/>
  <c r="D31" i="12"/>
  <c r="D33" i="12" s="1"/>
  <c r="C14" i="9" s="1"/>
  <c r="C31" i="12"/>
  <c r="C33" i="12" s="1"/>
  <c r="B14" i="9" s="1"/>
  <c r="K14" i="9" l="1"/>
  <c r="B34" i="12"/>
  <c r="C32" i="11"/>
  <c r="D50" i="8"/>
  <c r="D41" i="8" l="1"/>
  <c r="D78" i="11" l="1"/>
  <c r="D80" i="11" s="1"/>
  <c r="C12" i="9" s="1"/>
  <c r="E78" i="11"/>
  <c r="E80" i="11" s="1"/>
  <c r="E12" i="9" s="1"/>
  <c r="C78" i="11"/>
  <c r="C80" i="11" s="1"/>
  <c r="B12" i="9" s="1"/>
  <c r="F93" i="11"/>
  <c r="E93" i="11"/>
  <c r="G93" i="11"/>
  <c r="I79" i="11"/>
  <c r="K79" i="11" s="1"/>
  <c r="K12" i="9" l="1"/>
  <c r="B81" i="11"/>
  <c r="F130" i="10" l="1"/>
  <c r="E130" i="10"/>
  <c r="G130" i="10"/>
  <c r="I116" i="10"/>
  <c r="F117" i="10"/>
  <c r="D117" i="10"/>
  <c r="C117" i="10"/>
  <c r="E117" i="10"/>
  <c r="K10" i="9" l="1"/>
  <c r="B118" i="10"/>
  <c r="D98" i="8"/>
  <c r="E98" i="8"/>
  <c r="G98" i="8"/>
  <c r="H98" i="8"/>
  <c r="C98" i="8"/>
  <c r="F118" i="7" l="1"/>
  <c r="E118" i="7"/>
  <c r="G114" i="7"/>
  <c r="G110" i="7"/>
  <c r="H5" i="9"/>
  <c r="G5" i="9"/>
  <c r="F39" i="8"/>
  <c r="F98" i="8" s="1"/>
  <c r="E35" i="7" l="1"/>
  <c r="C39" i="7" l="1"/>
  <c r="F118" i="8" l="1"/>
  <c r="F117" i="8" s="1"/>
  <c r="E99" i="8"/>
  <c r="J99" i="8" s="1"/>
  <c r="D100" i="8"/>
  <c r="C5" i="9" s="1"/>
  <c r="E112" i="8"/>
  <c r="D112" i="8"/>
  <c r="C112" i="8"/>
  <c r="F111" i="8"/>
  <c r="F110" i="8"/>
  <c r="F109" i="8"/>
  <c r="F108" i="8"/>
  <c r="H100" i="8"/>
  <c r="G100" i="8"/>
  <c r="F100" i="8"/>
  <c r="E5" i="9" s="1"/>
  <c r="C100" i="8"/>
  <c r="B5" i="9" s="1"/>
  <c r="E100" i="8" l="1"/>
  <c r="D5" i="9" s="1"/>
  <c r="K5" i="9" s="1"/>
  <c r="F112" i="8"/>
  <c r="J98" i="8"/>
  <c r="B101" i="8" l="1"/>
  <c r="G106" i="7"/>
  <c r="G118" i="7" s="1"/>
  <c r="H21" i="4"/>
  <c r="H140" i="4" l="1"/>
  <c r="H124" i="4" l="1"/>
  <c r="H147" i="4" l="1"/>
  <c r="I98" i="7" l="1"/>
  <c r="K98" i="7" s="1"/>
  <c r="L98" i="7" s="1"/>
  <c r="D97" i="7"/>
  <c r="D99" i="7" s="1"/>
  <c r="C7" i="9" s="1"/>
  <c r="E97" i="7"/>
  <c r="E99" i="7" s="1"/>
  <c r="E7" i="9" s="1"/>
  <c r="F97" i="7"/>
  <c r="F99" i="7" s="1"/>
  <c r="F7" i="9" s="1"/>
  <c r="C97" i="7"/>
  <c r="C99" i="7" s="1"/>
  <c r="I103" i="6"/>
  <c r="H103" i="6"/>
  <c r="I20" i="6"/>
  <c r="C107" i="6" s="1"/>
  <c r="H20" i="6"/>
  <c r="C106" i="6" s="1"/>
  <c r="H45" i="2"/>
  <c r="H18" i="3"/>
  <c r="J33" i="2"/>
  <c r="J27" i="2"/>
  <c r="D41" i="3"/>
  <c r="H12" i="3"/>
  <c r="C54" i="3"/>
  <c r="I30" i="5"/>
  <c r="I27" i="5"/>
  <c r="I12" i="5"/>
  <c r="B10" i="5"/>
  <c r="B4" i="5"/>
  <c r="B19" i="5"/>
  <c r="B13" i="5"/>
  <c r="B21" i="5"/>
  <c r="H209" i="4"/>
  <c r="C214" i="4" s="1"/>
  <c r="I15" i="4"/>
  <c r="C213" i="4" s="1"/>
  <c r="E41" i="3"/>
  <c r="I8" i="2"/>
  <c r="F41" i="3"/>
  <c r="H47" i="2"/>
  <c r="D45" i="3"/>
  <c r="M12" i="2"/>
  <c r="K25" i="3"/>
  <c r="E45" i="3"/>
  <c r="H46" i="2"/>
  <c r="H48" i="2"/>
  <c r="I45" i="2"/>
  <c r="G42" i="3"/>
  <c r="E43" i="3"/>
  <c r="D43" i="3"/>
  <c r="K13" i="3"/>
  <c r="K6" i="3"/>
  <c r="H52" i="3"/>
  <c r="I14" i="2"/>
  <c r="C49" i="2"/>
  <c r="G41" i="3"/>
  <c r="C55" i="3"/>
  <c r="C56" i="3"/>
  <c r="F43" i="3"/>
  <c r="G43" i="3"/>
  <c r="C50" i="2"/>
  <c r="C44" i="3"/>
  <c r="F33" i="1"/>
  <c r="G16" i="1"/>
  <c r="B36" i="1"/>
  <c r="B38" i="1"/>
  <c r="B39" i="1"/>
  <c r="H7" i="2"/>
  <c r="H14" i="2"/>
  <c r="C48" i="2"/>
  <c r="C51" i="2"/>
  <c r="H8" i="4"/>
  <c r="H15" i="4" s="1"/>
  <c r="C212" i="4" s="1"/>
  <c r="B100" i="7" l="1"/>
  <c r="B7" i="9"/>
  <c r="K7" i="9" s="1"/>
  <c r="C108" i="6"/>
  <c r="C109" i="6" s="1"/>
  <c r="K16" i="9" s="1"/>
  <c r="C215" i="4"/>
  <c r="H8" i="13" s="1"/>
  <c r="H15" i="13" s="1"/>
  <c r="C31" i="13" s="1"/>
  <c r="C34" i="13" s="1"/>
</calcChain>
</file>

<file path=xl/comments1.xml><?xml version="1.0" encoding="utf-8"?>
<comments xmlns="http://schemas.openxmlformats.org/spreadsheetml/2006/main">
  <authors>
    <author>Rachel Cohen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Rachel Cohen:</t>
        </r>
        <r>
          <rPr>
            <sz val="9"/>
            <color indexed="81"/>
            <rFont val="Tahoma"/>
            <family val="2"/>
          </rPr>
          <t xml:space="preserve">
שנה א 110,000
שנה ב 110,000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Rachel Cohen:</t>
        </r>
        <r>
          <rPr>
            <sz val="9"/>
            <color indexed="81"/>
            <rFont val="Tahoma"/>
            <family val="2"/>
          </rPr>
          <t xml:space="preserve">
שנה א 2,000
שנה ב 2,000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Rachel Cohen:</t>
        </r>
        <r>
          <rPr>
            <sz val="9"/>
            <color indexed="81"/>
            <rFont val="Tahoma"/>
            <family val="2"/>
          </rPr>
          <t xml:space="preserve">
שנה א 18,435
שנה ב 17,935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Rachel Cohen:</t>
        </r>
        <r>
          <rPr>
            <sz val="9"/>
            <color indexed="81"/>
            <rFont val="Tahoma"/>
            <family val="2"/>
          </rPr>
          <t xml:space="preserve">
שנה א 0
שנה ב 500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Rachel Cohen:</t>
        </r>
        <r>
          <rPr>
            <sz val="9"/>
            <color indexed="81"/>
            <rFont val="Tahoma"/>
            <family val="2"/>
          </rPr>
          <t xml:space="preserve">
שנה א 21,096
שנה ב 18,021</t>
        </r>
      </text>
    </comment>
  </commentList>
</comments>
</file>

<file path=xl/comments2.xml><?xml version="1.0" encoding="utf-8"?>
<comments xmlns="http://schemas.openxmlformats.org/spreadsheetml/2006/main">
  <authors>
    <author>Rachel Cohen</author>
  </authors>
  <commentList>
    <comment ref="C8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- 45,000
שנה ב - 46,000</t>
        </r>
      </text>
    </comment>
    <comment ref="D8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16,000
שנה ב 16,000</t>
        </r>
      </text>
    </comment>
    <comment ref="E8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- 15,000
שנה ב - 4,000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- 10,000
שנה ב - 20,000</t>
        </r>
      </text>
    </comment>
    <comment ref="C31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- 45,000
שנה ב - 46,000</t>
        </r>
      </text>
    </comment>
    <comment ref="D31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16,000
שנה ב 16,000</t>
        </r>
      </text>
    </comment>
    <comment ref="E31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- 15,000
שנה ב - 4,000</t>
        </r>
      </text>
    </comment>
    <comment ref="F31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- 10,000
שנה ב - 20,000</t>
        </r>
      </text>
    </comment>
  </commentList>
</comments>
</file>

<file path=xl/comments3.xml><?xml version="1.0" encoding="utf-8"?>
<comments xmlns="http://schemas.openxmlformats.org/spreadsheetml/2006/main">
  <authors>
    <author>Rachel Cohen</author>
  </authors>
  <commentList>
    <comment ref="C1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- 45,000
שנה ב - 46,000</t>
        </r>
      </text>
    </comment>
    <comment ref="D1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16,000
שנה ב 16,000</t>
        </r>
      </text>
    </comment>
    <comment ref="E1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- 15,000
שנה ב - 4,000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- 10,000
שנה ב - 20,000</t>
        </r>
      </text>
    </comment>
  </commentList>
</comments>
</file>

<file path=xl/comments4.xml><?xml version="1.0" encoding="utf-8"?>
<comments xmlns="http://schemas.openxmlformats.org/spreadsheetml/2006/main">
  <authors>
    <author>Rachel Cohen</author>
  </authors>
  <commentList>
    <comment ref="C7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40,000
שנה ב 50,000
שנה ג 50,000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15,000
שנה ב 15,000
שנה ג 15,000</t>
        </r>
      </text>
    </comment>
    <comment ref="E7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25,217
שנה ב 18,217
שנה ג 18,217</t>
        </r>
      </text>
    </comment>
    <comment ref="F7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5,000
שנה ב 2,000
שנה ג 2,000
</t>
        </r>
      </text>
    </comment>
    <comment ref="C30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40,000
שנה ב 50,000
שנה ג 50,000</t>
        </r>
      </text>
    </comment>
    <comment ref="D30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15,000
שנה ב 15,000
שנה ג 15,000</t>
        </r>
      </text>
    </comment>
    <comment ref="E30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25,217
שנה ב 18,217
שנה ג 18,217</t>
        </r>
      </text>
    </comment>
    <comment ref="F30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5,000
שנה ב 2,000
שנה ג 2,000
</t>
        </r>
      </text>
    </comment>
  </commentList>
</comments>
</file>

<file path=xl/comments5.xml><?xml version="1.0" encoding="utf-8"?>
<comments xmlns="http://schemas.openxmlformats.org/spreadsheetml/2006/main">
  <authors>
    <author>Rachel Cohen</author>
  </authors>
  <commentList>
    <comment ref="C7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40,000
שנה ב 50,000
שנה ג 50,000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15,000
שנה ב 15,000
שנה ג 15,000</t>
        </r>
      </text>
    </comment>
    <comment ref="E7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25,217
שנה ב 18,217
שנה ג 18,217</t>
        </r>
      </text>
    </comment>
    <comment ref="F7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5,000
שנה ב 2,000
שנה ג 2,000
</t>
        </r>
      </text>
    </comment>
  </commentList>
</comments>
</file>

<file path=xl/comments6.xml><?xml version="1.0" encoding="utf-8"?>
<comments xmlns="http://schemas.openxmlformats.org/spreadsheetml/2006/main">
  <authors>
    <author>Rachel Cohen</author>
  </authors>
  <commentList>
    <comment ref="C7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- 23,000
שנה ב - 23,000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- 4,000
שנה ב - 4,000</t>
        </r>
      </text>
    </comment>
    <comment ref="E7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- 16,478
שנה ב - 7,783</t>
        </r>
      </text>
    </comment>
    <comment ref="C27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- 23,000
שנה ב - 23,000</t>
        </r>
      </text>
    </comment>
    <comment ref="D27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- 4,000
שנה ב - 4,000</t>
        </r>
      </text>
    </comment>
    <comment ref="E27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- 16,478
שנה ב - 7,783</t>
        </r>
      </text>
    </comment>
  </commentList>
</comments>
</file>

<file path=xl/comments7.xml><?xml version="1.0" encoding="utf-8"?>
<comments xmlns="http://schemas.openxmlformats.org/spreadsheetml/2006/main">
  <authors>
    <author>Rachel Cohen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- 23,000
שנה ב - 23,000</t>
        </r>
      </text>
    </comment>
    <comment ref="D2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- 4,000
שנה ב - 4,000</t>
        </r>
      </text>
    </comment>
    <comment ref="E2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שנה א - 16,478
שנה ב - 7,783</t>
        </r>
      </text>
    </comment>
  </commentList>
</comments>
</file>

<file path=xl/comments8.xml><?xml version="1.0" encoding="utf-8"?>
<comments xmlns="http://schemas.openxmlformats.org/spreadsheetml/2006/main">
  <authors>
    <author>Rachel Cohen</author>
  </authors>
  <commentList>
    <comment ref="D8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400 תגים - RFID</t>
        </r>
      </text>
    </comment>
    <comment ref="D81" authorId="0" shapeId="0">
      <text>
        <r>
          <rPr>
            <b/>
            <sz val="8"/>
            <color indexed="81"/>
            <rFont val="Tahoma"/>
            <family val="2"/>
          </rPr>
          <t>Rachel Cohen:</t>
        </r>
        <r>
          <rPr>
            <sz val="8"/>
            <color indexed="81"/>
            <rFont val="Tahoma"/>
            <family val="2"/>
          </rPr>
          <t xml:space="preserve">
400 תגים - RFID</t>
        </r>
      </text>
    </comment>
  </commentList>
</comments>
</file>

<file path=xl/sharedStrings.xml><?xml version="1.0" encoding="utf-8"?>
<sst xmlns="http://schemas.openxmlformats.org/spreadsheetml/2006/main" count="3093" uniqueCount="1285">
  <si>
    <t>שם המחקר: מגויסים</t>
  </si>
  <si>
    <t>מתאריך:</t>
  </si>
  <si>
    <t>עד תאריך:</t>
  </si>
  <si>
    <t>הכנסות</t>
  </si>
  <si>
    <t>תאריך</t>
  </si>
  <si>
    <t>פרטים</t>
  </si>
  <si>
    <t xml:space="preserve">חברה </t>
  </si>
  <si>
    <t>הערות</t>
  </si>
  <si>
    <t>תשלום מס'</t>
  </si>
  <si>
    <t xml:space="preserve">ה.ח </t>
  </si>
  <si>
    <t>סכום</t>
  </si>
  <si>
    <t>סטטוס</t>
  </si>
  <si>
    <t>התקבל</t>
  </si>
  <si>
    <t>הוצאות</t>
  </si>
  <si>
    <t>שכר/רכישה</t>
  </si>
  <si>
    <t>חברה /עובד</t>
  </si>
  <si>
    <t>אסמכתא</t>
  </si>
  <si>
    <t>ח-ן</t>
  </si>
  <si>
    <t xml:space="preserve"> צפוי להתקבל</t>
  </si>
  <si>
    <t>יתרה</t>
  </si>
  <si>
    <t>מוטי שונות 2017</t>
  </si>
  <si>
    <t>2.11.2017</t>
  </si>
  <si>
    <t>שירותי מחקר פרויקט ינשופים</t>
  </si>
  <si>
    <t>אוניברסיטת חיפה</t>
  </si>
  <si>
    <t>פרויקט ינשופים</t>
  </si>
  <si>
    <t>מכללת תל חי</t>
  </si>
  <si>
    <t xml:space="preserve">הנחיית סטודנט רפי </t>
  </si>
  <si>
    <t xml:space="preserve">תשלום ראשון </t>
  </si>
  <si>
    <t>50% מהסכום</t>
  </si>
  <si>
    <t>ענאגל</t>
  </si>
  <si>
    <t>תחנת עגינה ומתאם</t>
  </si>
  <si>
    <t>28.11.2017</t>
  </si>
  <si>
    <t>6.12.2017</t>
  </si>
  <si>
    <t>השכרת רכב</t>
  </si>
  <si>
    <t>גשר גולן</t>
  </si>
  <si>
    <t>רומיכל</t>
  </si>
  <si>
    <t>סודיום</t>
  </si>
  <si>
    <t>22.11.2017</t>
  </si>
  <si>
    <t>החזר מרוכז למוטי רשימה 2</t>
  </si>
  <si>
    <t>מוטי שונות 2018</t>
  </si>
  <si>
    <t>1.1.2018</t>
  </si>
  <si>
    <t>4.1.2017</t>
  </si>
  <si>
    <t>נסיעות מוטי</t>
  </si>
  <si>
    <t>שכר גבה נטלי</t>
  </si>
  <si>
    <t>שכר</t>
  </si>
  <si>
    <t>hydrogen</t>
  </si>
  <si>
    <t>10.1.2018</t>
  </si>
  <si>
    <t>נסיעות</t>
  </si>
  <si>
    <t>30.1.2018</t>
  </si>
  <si>
    <t>ציוד אזיל</t>
  </si>
  <si>
    <t>6.2.2018</t>
  </si>
  <si>
    <t>פירוט</t>
  </si>
  <si>
    <t>28.1.2018</t>
  </si>
  <si>
    <t>מיגל</t>
  </si>
  <si>
    <t>מחקר שימוש ברחפנים</t>
  </si>
  <si>
    <t>6.3.2018</t>
  </si>
  <si>
    <t>15.3.2018</t>
  </si>
  <si>
    <t>קשר ימי</t>
  </si>
  <si>
    <t>קלאב קאר</t>
  </si>
  <si>
    <t>צפוי</t>
  </si>
  <si>
    <t>31.12.2018</t>
  </si>
  <si>
    <t>מחקר מיגל- שימוש ברחפנים</t>
  </si>
  <si>
    <t>שנה א</t>
  </si>
  <si>
    <t>שנה ב</t>
  </si>
  <si>
    <t>שנה ג</t>
  </si>
  <si>
    <t>סה"כ</t>
  </si>
  <si>
    <t>החברה להגנת הטבע</t>
  </si>
  <si>
    <t>כ"א</t>
  </si>
  <si>
    <t>מחקר מיגל- שנה א'</t>
  </si>
  <si>
    <t>דוחות ותשלומים</t>
  </si>
  <si>
    <t>30% בחתימת ההסכם</t>
  </si>
  <si>
    <t>30% לאחר חצי שנה+דוח חצי שנתי</t>
  </si>
  <si>
    <t xml:space="preserve">40% לאחר דוח מסכם שנתי </t>
  </si>
  <si>
    <t>שם המחקר: מחקר משותף עם מיגל- שימוש ברחפנים (מופיע בהנח"ש בשונות)</t>
  </si>
  <si>
    <t>שנה א'</t>
  </si>
  <si>
    <t>סיכום הוצאות</t>
  </si>
  <si>
    <t>תקופת המחקר הכוללת:</t>
  </si>
  <si>
    <t>תנועות</t>
  </si>
  <si>
    <t>תקציב שנתי</t>
  </si>
  <si>
    <t>יתרה נוכחית</t>
  </si>
  <si>
    <t>3 שנים</t>
  </si>
  <si>
    <r>
      <t xml:space="preserve">שנה נוכחית: </t>
    </r>
    <r>
      <rPr>
        <sz val="10"/>
        <rFont val="Arial"/>
        <family val="2"/>
      </rPr>
      <t>מתאריך:</t>
    </r>
    <r>
      <rPr>
        <b/>
        <sz val="10"/>
        <rFont val="Arial"/>
        <family val="2"/>
      </rPr>
      <t xml:space="preserve"> 1.1.2018 </t>
    </r>
    <r>
      <rPr>
        <sz val="10"/>
        <rFont val="Arial"/>
        <family val="2"/>
      </rPr>
      <t>עד תאריך:</t>
    </r>
    <r>
      <rPr>
        <b/>
        <sz val="10"/>
        <rFont val="Arial"/>
        <family val="2"/>
      </rPr>
      <t xml:space="preserve"> 31.12.2018</t>
    </r>
  </si>
  <si>
    <t>כוח אדם</t>
  </si>
  <si>
    <t>סה"כ יתרה</t>
  </si>
  <si>
    <t>ח-ן 13 נסיעות אגד</t>
  </si>
  <si>
    <t>10 חשבוניות מצ"ב ציוד אזיל</t>
  </si>
  <si>
    <t>נסיעות מוטי חודש 1/18</t>
  </si>
  <si>
    <t>העברה</t>
  </si>
  <si>
    <t>שכר חודשי נטלי גבה 1/18</t>
  </si>
  <si>
    <t>שכר חודשי נטלי גבה 2/18</t>
  </si>
  <si>
    <t>סה"כ הכנסות</t>
  </si>
  <si>
    <t>סה"כ הוצאות בפועל</t>
  </si>
  <si>
    <t>הוצאות נוספות</t>
  </si>
  <si>
    <t>תקורה שנתית מוטי</t>
  </si>
  <si>
    <t>1.3.2018</t>
  </si>
  <si>
    <t>22.2.2018</t>
  </si>
  <si>
    <t>6 חשבוניות מצ"ב. ציוד אזיל</t>
  </si>
  <si>
    <t>25.3.2018</t>
  </si>
  <si>
    <t>ח-ן 254 רומיכל, sodium</t>
  </si>
  <si>
    <t>ח-ן 6013 נסיעות רפאל תאריך 1.3.2018</t>
  </si>
  <si>
    <t>22.3.2018</t>
  </si>
  <si>
    <t>רכישה</t>
  </si>
  <si>
    <t>יקבי רמה"ג</t>
  </si>
  <si>
    <t>מארז לחג פסח לעובדת</t>
  </si>
  <si>
    <t>9.4.2018</t>
  </si>
  <si>
    <t>15.4.2018</t>
  </si>
  <si>
    <t>7 חשבוניות, ציוד אזיל</t>
  </si>
  <si>
    <t>30.4.2018</t>
  </si>
  <si>
    <t>רנטרו</t>
  </si>
  <si>
    <t>29.3.2018</t>
  </si>
  <si>
    <t>io mekeniska, ח-ן 404</t>
  </si>
  <si>
    <t>אמזון, אליאקספרס ח-ן 612+59 מטען לפרנסים ופרנסים</t>
  </si>
  <si>
    <t>24.4.2018</t>
  </si>
  <si>
    <t>interrex</t>
  </si>
  <si>
    <t>צבעים</t>
  </si>
  <si>
    <t>שכר חודשי נטלי גבה 4/18</t>
  </si>
  <si>
    <t>7.5.2018</t>
  </si>
  <si>
    <t>6.5.2018</t>
  </si>
  <si>
    <t>מלגה אוני' חיפה</t>
  </si>
  <si>
    <t>תשלום 1/3</t>
  </si>
  <si>
    <t>תשלום 2/3</t>
  </si>
  <si>
    <t>תשלום 3/3</t>
  </si>
  <si>
    <t>מקדמה 2018</t>
  </si>
  <si>
    <t>1.1.2019</t>
  </si>
  <si>
    <t>30.11.2020</t>
  </si>
  <si>
    <t>בוצע</t>
  </si>
  <si>
    <t>תאריכים</t>
  </si>
  <si>
    <t>ח-ן 26 ליוגב, דבק</t>
  </si>
  <si>
    <t>27.4.2018</t>
  </si>
  <si>
    <t>30.4.018</t>
  </si>
  <si>
    <t>ביטוח לקלאב קאר חובה</t>
  </si>
  <si>
    <t>ביטוח לקלאב קאר צד ג</t>
  </si>
  <si>
    <t xml:space="preserve">ח-ן 330 מלגה לאוניברסיטת חיפה תשלום ראשון </t>
  </si>
  <si>
    <t>הוצאות אזיל למחקר</t>
  </si>
  <si>
    <t>13.4.2018</t>
  </si>
  <si>
    <t>שכר חודשי נטלי גבה 5/18</t>
  </si>
  <si>
    <t>6.6.2018</t>
  </si>
  <si>
    <t>ח-ן 6012 נסיעות רפאל 1.2.2018</t>
  </si>
  <si>
    <t>ח-ן 841 נסיעות רפאל 8.4.2018</t>
  </si>
  <si>
    <t>נקודת חן</t>
  </si>
  <si>
    <t>תשלום</t>
  </si>
  <si>
    <t>מקדמה</t>
  </si>
  <si>
    <t>תשלום שני</t>
  </si>
  <si>
    <t>לאחר דוח ביניים</t>
  </si>
  <si>
    <t>תשלום סופי</t>
  </si>
  <si>
    <t>לאחר הרצאה ביום עיון</t>
  </si>
  <si>
    <t>1.1.12.2018</t>
  </si>
  <si>
    <t>דוח סופי</t>
  </si>
  <si>
    <t>1.6.2019</t>
  </si>
  <si>
    <t>תאריך הגשה</t>
  </si>
  <si>
    <t>נסיעות מוטי חודש 6/18</t>
  </si>
  <si>
    <t>5.7.2018</t>
  </si>
  <si>
    <t>שכר חודשי נטלי גבה 6/18</t>
  </si>
  <si>
    <t>לשלם ב12.19</t>
  </si>
  <si>
    <t>6.8.2018</t>
  </si>
  <si>
    <t>שכר חודשי נטלי גבה 7/18</t>
  </si>
  <si>
    <t>15.7.2018</t>
  </si>
  <si>
    <t>16.7.2018</t>
  </si>
  <si>
    <t>תשלום עבור נזק לגג הרכב השכור</t>
  </si>
  <si>
    <t>15.8.2018</t>
  </si>
  <si>
    <t>מטען וכבל, דיו למדפסת, מסמרים לתיבות וכביש 6</t>
  </si>
  <si>
    <t>5.9.2018</t>
  </si>
  <si>
    <t>שכר חודשי נטלי גבה 8/18</t>
  </si>
  <si>
    <t>29.9.2018</t>
  </si>
  <si>
    <t>עץ לתיבות, נסיעות, ציוד לפירוק צניפות.</t>
  </si>
  <si>
    <t>7.10.2018</t>
  </si>
  <si>
    <t>שכר חודשי נועה ולצר 9/18</t>
  </si>
  <si>
    <t>16.10.2018</t>
  </si>
  <si>
    <t>עיצוב עסקי</t>
  </si>
  <si>
    <t>אופיס למחשב לעוזר מחקר</t>
  </si>
  <si>
    <t>21.10.2018</t>
  </si>
  <si>
    <t>קקל</t>
  </si>
  <si>
    <t>1 מתוך 3</t>
  </si>
  <si>
    <t>2 מתוך 3</t>
  </si>
  <si>
    <t>3 מתוך 3</t>
  </si>
  <si>
    <t>31.1.2019</t>
  </si>
  <si>
    <t>דוח מדעי</t>
  </si>
  <si>
    <t>תשלום 1/2</t>
  </si>
  <si>
    <t>תשלום 2/2</t>
  </si>
  <si>
    <t xml:space="preserve">לאחר דוח מדעי </t>
  </si>
  <si>
    <t>כהן סנטר</t>
  </si>
  <si>
    <t>מארז שי לעובדת לחג</t>
  </si>
  <si>
    <t>17.10.2018</t>
  </si>
  <si>
    <t>ביג</t>
  </si>
  <si>
    <t>שכפול מפתח לחדר חוקר</t>
  </si>
  <si>
    <t>7.11.2018</t>
  </si>
  <si>
    <t>מוטי אחזקת רכב והפרשי נסיעות 7-10.18</t>
  </si>
  <si>
    <t>שכר חודשי נועה ולצר 10/18</t>
  </si>
  <si>
    <t>22.11.2018</t>
  </si>
  <si>
    <t>נסיעות כביש 6, ציוד למחקר</t>
  </si>
  <si>
    <t>מחשב לעוזר מחקר</t>
  </si>
  <si>
    <t>15.11.2018</t>
  </si>
  <si>
    <t>דפוס להב, הדפסות</t>
  </si>
  <si>
    <t>ביג, ציוד אזיל רשת ציפורים</t>
  </si>
  <si>
    <t>30.11.2018</t>
  </si>
  <si>
    <t>ח-ן 279 גשר גולן תשלום ראשון</t>
  </si>
  <si>
    <t>ח-ן 307 גשר גולן תשלום שני</t>
  </si>
  <si>
    <t xml:space="preserve"> ח-ן 304 גשר גולן תשלום שלישי</t>
  </si>
  <si>
    <t>ח-ן 305 גשר גולן תשלום עבור יום נוסף</t>
  </si>
  <si>
    <t>3.12.2018</t>
  </si>
  <si>
    <t>מחסן</t>
  </si>
  <si>
    <t>מייגן</t>
  </si>
  <si>
    <t>6.12.2018</t>
  </si>
  <si>
    <t>ולצר נועה</t>
  </si>
  <si>
    <t>אורי מרגלית</t>
  </si>
  <si>
    <t>2.12.2018</t>
  </si>
  <si>
    <t>דואר</t>
  </si>
  <si>
    <t>בולים למחקר</t>
  </si>
  <si>
    <t>13.12.2018</t>
  </si>
  <si>
    <t>תשלום ראשון</t>
  </si>
  <si>
    <t>12.12.2018</t>
  </si>
  <si>
    <t>ח-ן 603, מלגה אוניברסיטת חיפה תשלום שני</t>
  </si>
  <si>
    <t>29.11.2018</t>
  </si>
  <si>
    <t>לילי</t>
  </si>
  <si>
    <t>מדבקות למחקר</t>
  </si>
  <si>
    <t>23.12.2018</t>
  </si>
  <si>
    <t>עמותה לזאולוגיה+alixpress</t>
  </si>
  <si>
    <t>רישום לכנס, חניה בכנס</t>
  </si>
  <si>
    <t>6.1.2019</t>
  </si>
  <si>
    <t>שכר חודשי מרגלית אורי 12/18</t>
  </si>
  <si>
    <t>נסיעות מוטי 12/18</t>
  </si>
  <si>
    <t>מוטי שונות 2019</t>
  </si>
  <si>
    <t>31.12.2019</t>
  </si>
  <si>
    <t xml:space="preserve">יתרה משנים קודמות </t>
  </si>
  <si>
    <t>אזיל למחקר</t>
  </si>
  <si>
    <t>26.12.2019</t>
  </si>
  <si>
    <t>קואופ</t>
  </si>
  <si>
    <t>1.11.2018</t>
  </si>
  <si>
    <t>ביואנליטיקס</t>
  </si>
  <si>
    <t>מעמד למכשיר</t>
  </si>
  <si>
    <t>30.1.2019</t>
  </si>
  <si>
    <t>7.2.2019</t>
  </si>
  <si>
    <t>דואר ישראל</t>
  </si>
  <si>
    <t>מוטי</t>
  </si>
  <si>
    <t>נסיעות מוטי 1/19</t>
  </si>
  <si>
    <t>אורי מרגלית 1/19</t>
  </si>
  <si>
    <t>אורי</t>
  </si>
  <si>
    <t>5.2.2019</t>
  </si>
  <si>
    <t>מחקר פתוח בקק"ל 2018</t>
  </si>
  <si>
    <t>מחקר פתוח בנקודת חן 2018</t>
  </si>
  <si>
    <t>יגיל כרמל</t>
  </si>
  <si>
    <t>סוללות אלקליין</t>
  </si>
  <si>
    <t>28.2.2019</t>
  </si>
  <si>
    <t>ח-ן26091 , ביג, אזיל למחקר</t>
  </si>
  <si>
    <t>amazon</t>
  </si>
  <si>
    <t>ציוד לפלאפון</t>
  </si>
  <si>
    <t>12.2.2019</t>
  </si>
  <si>
    <t>שטרן את כהן מחסן עצים</t>
  </si>
  <si>
    <t>עץ לבן לטות+שימור</t>
  </si>
  <si>
    <t>13.2.2019</t>
  </si>
  <si>
    <t>הכל למוביל</t>
  </si>
  <si>
    <t>מחקר ירגזים</t>
  </si>
  <si>
    <t>21.2.2019</t>
  </si>
  <si>
    <t>כביש 6</t>
  </si>
  <si>
    <t>1190-895888</t>
  </si>
  <si>
    <t>25.2.2019</t>
  </si>
  <si>
    <t>כבלים וכלי עבודה</t>
  </si>
  <si>
    <t>27.2.2019</t>
  </si>
  <si>
    <t>Ebay</t>
  </si>
  <si>
    <t>עגלה לעבודת שטח</t>
  </si>
  <si>
    <t>593Y</t>
  </si>
  <si>
    <t>תקורה חצי שנתית מוטי</t>
  </si>
  <si>
    <t>400+3417+2300+1117</t>
  </si>
  <si>
    <t>295 ₪ ברחפנים</t>
  </si>
  <si>
    <t>עם קבלות ב"רחפנים"</t>
  </si>
  <si>
    <t>ציוד קבוע</t>
  </si>
  <si>
    <t>01/910838</t>
  </si>
  <si>
    <t>שכר מוטי 11/18</t>
  </si>
  <si>
    <t>ח-ן 663, דפוס להב, הדפסות</t>
  </si>
  <si>
    <t>ח-ן 211 ביג, ציוד אזיל רשת ציפורים</t>
  </si>
  <si>
    <t>התקבל 28/2/2019</t>
  </si>
  <si>
    <t>נסיעות מוטי 2/19</t>
  </si>
  <si>
    <t>4.3.2019</t>
  </si>
  <si>
    <t>אורי מרגלית 2/19</t>
  </si>
  <si>
    <t>ציוד משרד 2/19</t>
  </si>
  <si>
    <t>18.2.2019</t>
  </si>
  <si>
    <t>דפוס להב</t>
  </si>
  <si>
    <t>הדפסת צילומים</t>
  </si>
  <si>
    <t>17.3.2019</t>
  </si>
  <si>
    <t>דולפין בטיחות</t>
  </si>
  <si>
    <t>הדרכת עבודה בגובה (3 עובדים)</t>
  </si>
  <si>
    <t>גולן טלקום</t>
  </si>
  <si>
    <t>גלישה לאינטרנט בשדה</t>
  </si>
  <si>
    <t>dropbpx</t>
  </si>
  <si>
    <t>שמירת קבצים</t>
  </si>
  <si>
    <t>87603504VT040494D</t>
  </si>
  <si>
    <t>20.3.2019</t>
  </si>
  <si>
    <t>נסיעות למרכז</t>
  </si>
  <si>
    <t>1191-772143</t>
  </si>
  <si>
    <t>22.3.2019</t>
  </si>
  <si>
    <t>21.3.2019</t>
  </si>
  <si>
    <t>31.3.2019</t>
  </si>
  <si>
    <t>ציוד - מברג, פלייר, חוט</t>
  </si>
  <si>
    <t>1.4.2019</t>
  </si>
  <si>
    <t>ציוד - ברגים, מסמרים, כבל, קטר ראש, מלחם אקדח</t>
  </si>
  <si>
    <t>3.4.2019</t>
  </si>
  <si>
    <t>מרכז חד פעמי</t>
  </si>
  <si>
    <t>ציוד למחקר</t>
  </si>
  <si>
    <t>החזר הוצאות אורי מרגלית</t>
  </si>
  <si>
    <t>4.4.2019</t>
  </si>
  <si>
    <t>נסיעות מוטי 3/19</t>
  </si>
  <si>
    <t>28.3.2019</t>
  </si>
  <si>
    <t>01/017518</t>
  </si>
  <si>
    <t>8.4.2019</t>
  </si>
  <si>
    <t>הנחחית תלמיד - אודיה סוראני (תשלום 1 מתוך 2)</t>
  </si>
  <si>
    <t>הנחחית תלמיד - אודיה סוראני (תשלום 2 מתוך 2)</t>
  </si>
  <si>
    <t>15.4.2019</t>
  </si>
  <si>
    <t>המספק בעמק</t>
  </si>
  <si>
    <t xml:space="preserve">רכיבים אלקטרונים </t>
  </si>
  <si>
    <t>נשלח 15/4/2019</t>
  </si>
  <si>
    <t>17.4.2019</t>
  </si>
  <si>
    <t>ביג (3 חשבוניות)</t>
  </si>
  <si>
    <t>30.4.2019</t>
  </si>
  <si>
    <t>ביג ומיטל מעבדות</t>
  </si>
  <si>
    <t>כרטיס זכרון וזחלי קמח</t>
  </si>
  <si>
    <t>שלמה ביטוח</t>
  </si>
  <si>
    <t>ביטוח לכלי רכב לשטח</t>
  </si>
  <si>
    <t>החזר הוצאות מוטי צ'רטר</t>
  </si>
  <si>
    <t>12.4.2019</t>
  </si>
  <si>
    <t>יקב רמת הגולן</t>
  </si>
  <si>
    <t>מארז שי לחג פסח 2019 (3)</t>
  </si>
  <si>
    <t>194Y00808</t>
  </si>
  <si>
    <t>18.4.2019</t>
  </si>
  <si>
    <t>רונית מגן</t>
  </si>
  <si>
    <t>תיבות קינון לתנשמות</t>
  </si>
  <si>
    <t>7.5.2019</t>
  </si>
  <si>
    <t>עצים כדי לבנות את התיבות</t>
  </si>
  <si>
    <t>2.5.2019</t>
  </si>
  <si>
    <t>נסיעות מוטי 4/19</t>
  </si>
  <si>
    <t>משכורת אורי מרגלית 4/19</t>
  </si>
  <si>
    <t>משכורת אורי מרגלית 3/19</t>
  </si>
  <si>
    <t>סופר פארם</t>
  </si>
  <si>
    <t>מחטים לתנשמות</t>
  </si>
  <si>
    <t>כדורי קלקר</t>
  </si>
  <si>
    <t>ביג חומרי בניין</t>
  </si>
  <si>
    <t>ספריי מגעים</t>
  </si>
  <si>
    <t>מחסני השוק</t>
  </si>
  <si>
    <t>שיפודים למחקר</t>
  </si>
  <si>
    <t>12.5.2019</t>
  </si>
  <si>
    <t>הום סנטר</t>
  </si>
  <si>
    <t>20.5.2019</t>
  </si>
  <si>
    <t>חומוס אליהו</t>
  </si>
  <si>
    <t>ביקור שגרירות ארה"ב</t>
  </si>
  <si>
    <t>22.5.2019</t>
  </si>
  <si>
    <t>ענא גל</t>
  </si>
  <si>
    <t>דיסק גיבוי חיצוני</t>
  </si>
  <si>
    <t>13.5.2019</t>
  </si>
  <si>
    <t>14.5.2019</t>
  </si>
  <si>
    <t>15.5.2019</t>
  </si>
  <si>
    <t>23.5.2019</t>
  </si>
  <si>
    <t>28.5.2019</t>
  </si>
  <si>
    <t>משביר לחקלאי</t>
  </si>
  <si>
    <t>26.5.2019</t>
  </si>
  <si>
    <t>מעבדות מיטל</t>
  </si>
  <si>
    <t>זחלים למחקר</t>
  </si>
  <si>
    <t>21.4.2019</t>
  </si>
  <si>
    <t>5.5.2019</t>
  </si>
  <si>
    <t>צמיגי כרסנטי</t>
  </si>
  <si>
    <t>צמיג</t>
  </si>
  <si>
    <t>1192-421468</t>
  </si>
  <si>
    <t>27.4.2019</t>
  </si>
  <si>
    <t>הסטוק</t>
  </si>
  <si>
    <t>כרית לסגור פתח לתיבות של תנשמות</t>
  </si>
  <si>
    <t>16.5.2019</t>
  </si>
  <si>
    <t>ל.כ.</t>
  </si>
  <si>
    <t>קסדה לעבודה בגובה</t>
  </si>
  <si>
    <t>17.5.2019</t>
  </si>
  <si>
    <t>אורי קלין</t>
  </si>
  <si>
    <t>שקיות לצניפות של תנשמות</t>
  </si>
  <si>
    <t>נמרוד</t>
  </si>
  <si>
    <t>כלי עבודה לתיבות</t>
  </si>
  <si>
    <t>ריית קציר בע"מ</t>
  </si>
  <si>
    <t>כיבוד - שגרירות ארה"ב</t>
  </si>
  <si>
    <t>So Good</t>
  </si>
  <si>
    <t>מים - שגרירות ארה"ב</t>
  </si>
  <si>
    <t>2019/2242</t>
  </si>
  <si>
    <t>19.3.2019</t>
  </si>
  <si>
    <t>חומר לפרוייקט</t>
  </si>
  <si>
    <t>2019/1589</t>
  </si>
  <si>
    <t>29.5.2019</t>
  </si>
  <si>
    <t>המעבדה 18</t>
  </si>
  <si>
    <t>כרטיס SD</t>
  </si>
  <si>
    <t>0008-00800001</t>
  </si>
  <si>
    <t>ציוד וחומרים למחקר</t>
  </si>
  <si>
    <t>ליוגב</t>
  </si>
  <si>
    <t>דבק ציאנואקרילט - ציוד למחקר</t>
  </si>
  <si>
    <t>שם המחקר:</t>
  </si>
  <si>
    <t>מספר מחקר:</t>
  </si>
  <si>
    <t>שנה נוכחית: (ג)</t>
  </si>
  <si>
    <t>משכורת</t>
  </si>
  <si>
    <t>דו"ח תקציבי למחקר משרד החקלאות</t>
  </si>
  <si>
    <t>נזקי נברנים</t>
  </si>
  <si>
    <t>60-02-0003</t>
  </si>
  <si>
    <t>ציוד מתכלה</t>
  </si>
  <si>
    <t>תפעול ותחזוקה</t>
  </si>
  <si>
    <t>תקורה</t>
  </si>
  <si>
    <t>תקציב 150,000 לכל שנה</t>
  </si>
  <si>
    <t>5.6.2019</t>
  </si>
  <si>
    <t>כדורי קלקר + טוש</t>
  </si>
  <si>
    <t>מלחם מקצועי</t>
  </si>
  <si>
    <t>4.6.2019</t>
  </si>
  <si>
    <t>ריתמה וציוד נלווה</t>
  </si>
  <si>
    <t>הגרעין</t>
  </si>
  <si>
    <t>חוט סימון - ציוד למחקר</t>
  </si>
  <si>
    <t>SI196000074</t>
  </si>
  <si>
    <t>נסיעות מוטי 5/19</t>
  </si>
  <si>
    <t>משכורת אורי מרגלית</t>
  </si>
  <si>
    <t>משכורת חן לוי</t>
  </si>
  <si>
    <t>2019/2332</t>
  </si>
  <si>
    <t>2019/2823</t>
  </si>
  <si>
    <t>12.6.2019</t>
  </si>
  <si>
    <t>01-017616</t>
  </si>
  <si>
    <t>6.6.2019</t>
  </si>
  <si>
    <t>אביסק בע"מ</t>
  </si>
  <si>
    <t>מצלמת צינור</t>
  </si>
  <si>
    <t>01/108039</t>
  </si>
  <si>
    <t>01/017688</t>
  </si>
  <si>
    <t>18.6.2019</t>
  </si>
  <si>
    <t>01/108048</t>
  </si>
  <si>
    <t>16.6.2019</t>
  </si>
  <si>
    <t>בורגים + כבל</t>
  </si>
  <si>
    <t>19.6.2019</t>
  </si>
  <si>
    <t>המנעולן</t>
  </si>
  <si>
    <t>מפתחות</t>
  </si>
  <si>
    <t>קרביץ</t>
  </si>
  <si>
    <t>כרטיס זכרון</t>
  </si>
  <si>
    <t>זיו מחסני חשמל</t>
  </si>
  <si>
    <t>כבל + ראשים</t>
  </si>
  <si>
    <t>25.6.2019</t>
  </si>
  <si>
    <t>אתר אינטרנט</t>
  </si>
  <si>
    <t>20.6.2019</t>
  </si>
  <si>
    <t>25.6.2049</t>
  </si>
  <si>
    <t>אפיק מ.ל.ה.</t>
  </si>
  <si>
    <t>פנלים סולארי</t>
  </si>
  <si>
    <t>ל-3 שנים</t>
  </si>
  <si>
    <t>26.6.2019</t>
  </si>
  <si>
    <t>איציק בליטי</t>
  </si>
  <si>
    <t>חיבור חשמל למחסן</t>
  </si>
  <si>
    <t>1/2 מחיר על חשבון מכון מדעיות</t>
  </si>
  <si>
    <t>ברגים ומסמרים</t>
  </si>
  <si>
    <t>23.6.2019</t>
  </si>
  <si>
    <t>29.6.2019</t>
  </si>
  <si>
    <t>אגרת מעבר גבול ישראל-ירדן</t>
  </si>
  <si>
    <t>ויזה - כניסה לירדן</t>
  </si>
  <si>
    <t>1.7.2019</t>
  </si>
  <si>
    <t>אגרת מעבר גבול ירדן-ישראל</t>
  </si>
  <si>
    <t>גלגלים</t>
  </si>
  <si>
    <t>10.6.2019</t>
  </si>
  <si>
    <t>אבי דניאל ובניו</t>
  </si>
  <si>
    <t>תיקונים עקב עבודת שטח</t>
  </si>
  <si>
    <t>22.6.2019</t>
  </si>
  <si>
    <t>ספא לרכב</t>
  </si>
  <si>
    <t>שטיפת רכב שכור אחרי שטח</t>
  </si>
  <si>
    <t>proof reading services</t>
  </si>
  <si>
    <t>הגהה מאמר מדעי</t>
  </si>
  <si>
    <t>כנס בירדן - החזר הוצאות</t>
  </si>
  <si>
    <t>קק"ל</t>
  </si>
  <si>
    <t>להסתכל 2019 שונות</t>
  </si>
  <si>
    <t>27.6.2019</t>
  </si>
  <si>
    <t>יורם סונדק</t>
  </si>
  <si>
    <t>תושבת לספוג</t>
  </si>
  <si>
    <t>01/006459</t>
  </si>
  <si>
    <t>site 123</t>
  </si>
  <si>
    <t>מצבר + טעינה סולארית</t>
  </si>
  <si>
    <t>7.7.2019</t>
  </si>
  <si>
    <t>אחזקת רכב מוטי 6/19</t>
  </si>
  <si>
    <t>נסיעות מוטי 6/19</t>
  </si>
  <si>
    <t>משכורת אורי מרגלית 6/19</t>
  </si>
  <si>
    <t>משכורת חן לוי 6/19</t>
  </si>
  <si>
    <t>משכורת דניאל סיילר 6/19</t>
  </si>
  <si>
    <t>צ'ק</t>
  </si>
  <si>
    <t>01/006419</t>
  </si>
  <si>
    <t>החזר</t>
  </si>
  <si>
    <t>10.7.2019</t>
  </si>
  <si>
    <t>כרטיס זכרון 128GB</t>
  </si>
  <si>
    <t>Interrex-rings</t>
  </si>
  <si>
    <t>טבעות למחקר תנשמות</t>
  </si>
  <si>
    <t>אירו 720 - העברה בנקאית לפולין</t>
  </si>
  <si>
    <t>2019/3433</t>
  </si>
  <si>
    <t>טבעות GG לסימון ציפורים</t>
  </si>
  <si>
    <t>14.7.2019</t>
  </si>
  <si>
    <t>שימוש ברחפנים - חשבון סופי</t>
  </si>
  <si>
    <t>עשו סיכום מחקר וזה הח-ן הסופי</t>
  </si>
  <si>
    <t>תשלום שלישי (סופי)</t>
  </si>
  <si>
    <t>15.7.2019</t>
  </si>
  <si>
    <t>תקורה חצי שנתית</t>
  </si>
  <si>
    <t>מכון שמיר למחקר ע"ר</t>
  </si>
  <si>
    <t>18.7.2019</t>
  </si>
  <si>
    <t>ציוד עבודה כללי (2.7-18.7 2019)</t>
  </si>
  <si>
    <t>01/006479</t>
  </si>
  <si>
    <t>17.7.2019</t>
  </si>
  <si>
    <t>פלאגים לחיבור חשמל</t>
  </si>
  <si>
    <t>5363/2</t>
  </si>
  <si>
    <t>התקבל 30/6/2019</t>
  </si>
  <si>
    <t>23.7.2019</t>
  </si>
  <si>
    <t>לול טי וי</t>
  </si>
  <si>
    <t>החלפת מצלמה P4</t>
  </si>
  <si>
    <t>כלי עבודה</t>
  </si>
  <si>
    <t>01/017815</t>
  </si>
  <si>
    <t>דבק</t>
  </si>
  <si>
    <t>01/002593</t>
  </si>
  <si>
    <t>25.7.2019</t>
  </si>
  <si>
    <t>קורא כרטיס זכרון</t>
  </si>
  <si>
    <t>01/006514</t>
  </si>
  <si>
    <t>28.7.2019</t>
  </si>
  <si>
    <t>ציוד עבודה כללי (22.7-28.7 2019)</t>
  </si>
  <si>
    <t>15.6.2019</t>
  </si>
  <si>
    <t>16.7.2019</t>
  </si>
  <si>
    <t>סוללות לאיפדים</t>
  </si>
  <si>
    <t>113-5215341-2491415</t>
  </si>
  <si>
    <t>פאנל סולארי</t>
  </si>
  <si>
    <t>111-8878453-0457065</t>
  </si>
  <si>
    <t>זול פעמי</t>
  </si>
  <si>
    <t>ציוד לצניפות</t>
  </si>
  <si>
    <t>21.7.2019</t>
  </si>
  <si>
    <t>נסיעה לירושלים</t>
  </si>
  <si>
    <t>1195-025718</t>
  </si>
  <si>
    <t>24.7.2019</t>
  </si>
  <si>
    <t>DHL Express</t>
  </si>
  <si>
    <t>מכס/מע"מ עבור הטבעות לתנשמות</t>
  </si>
  <si>
    <t>עמלה להעברת כספים לפולין</t>
  </si>
  <si>
    <t>4.8.2019</t>
  </si>
  <si>
    <t>dropbox</t>
  </si>
  <si>
    <t>VJJM4RWNBHYB</t>
  </si>
  <si>
    <t>SI196000932</t>
  </si>
  <si>
    <t>5.8.2019</t>
  </si>
  <si>
    <t>נסיעות מוטי 7/2019</t>
  </si>
  <si>
    <t>משכורת אורי מרגלית 7/2019</t>
  </si>
  <si>
    <t>משכורת חן לוי 7/19</t>
  </si>
  <si>
    <t>משכורת דניאל סיילר 7/19</t>
  </si>
  <si>
    <t>1.8.2019</t>
  </si>
  <si>
    <t>בורגים</t>
  </si>
  <si>
    <t>מתאם VGA ל HDMI</t>
  </si>
  <si>
    <t>12.8.2019</t>
  </si>
  <si>
    <t>31.7.2019</t>
  </si>
  <si>
    <t>2019/3983</t>
  </si>
  <si>
    <t>13.8.2019</t>
  </si>
  <si>
    <t>14.8.2019</t>
  </si>
  <si>
    <t>אלוף הברזנטים</t>
  </si>
  <si>
    <t>6.8.2019</t>
  </si>
  <si>
    <t>18.8.2019</t>
  </si>
  <si>
    <t>א.י.י. תיירות</t>
  </si>
  <si>
    <t>טיפול בקלאבקאר</t>
  </si>
  <si>
    <t>החזר הוצאות מוטי צרטר</t>
  </si>
  <si>
    <t>קבלה מתל-חי</t>
  </si>
  <si>
    <t>29.7.2019</t>
  </si>
  <si>
    <t>ציוד אזיל למחקר</t>
  </si>
  <si>
    <t>01/017932</t>
  </si>
  <si>
    <t>20.8.2019</t>
  </si>
  <si>
    <t>כרטיסי זכרון</t>
  </si>
  <si>
    <t>677+312+843</t>
  </si>
  <si>
    <t>מ 2018</t>
  </si>
  <si>
    <t>26.8.2019</t>
  </si>
  <si>
    <t>גומיות</t>
  </si>
  <si>
    <t>29.8.2019</t>
  </si>
  <si>
    <t>תשלום 2/2 שנה ראשונה מתוך 3</t>
  </si>
  <si>
    <t>תשלום 1/2 שנה שנייה מתוך 3</t>
  </si>
  <si>
    <t>28.8.2019</t>
  </si>
  <si>
    <t>מגן גימבל לפנטום</t>
  </si>
  <si>
    <t>01/002670</t>
  </si>
  <si>
    <t>2.9.2019</t>
  </si>
  <si>
    <t>התקבל 2.9.2019</t>
  </si>
  <si>
    <t>4.9.2019</t>
  </si>
  <si>
    <t>3.9.2019</t>
  </si>
  <si>
    <t>כלים אזיל למחקר</t>
  </si>
  <si>
    <t>כיסויים לעגלה ולארגז למחקר</t>
  </si>
  <si>
    <t>נסיעות מוטי 8/2019</t>
  </si>
  <si>
    <t>משכורת אורי מרגלית 8/2019</t>
  </si>
  <si>
    <t>משכורת דניאל סיילר 8/2019</t>
  </si>
  <si>
    <t>רחפן ועבודת מפעיל</t>
  </si>
  <si>
    <t>קבלה מספר</t>
  </si>
  <si>
    <t>SI196001184</t>
  </si>
  <si>
    <t>SI196001183</t>
  </si>
  <si>
    <t>5.8.2022</t>
  </si>
  <si>
    <t>אבני דרך:</t>
  </si>
  <si>
    <t>תיאור</t>
  </si>
  <si>
    <t xml:space="preserve">תאריך </t>
  </si>
  <si>
    <t>ה.ח.</t>
  </si>
  <si>
    <t>סכום כולל תקורה 100%</t>
  </si>
  <si>
    <t>תקורה 15%</t>
  </si>
  <si>
    <t>סכום ללא תקורה 85%</t>
  </si>
  <si>
    <t>אבן דרך 1</t>
  </si>
  <si>
    <t>אבן דרך 2</t>
  </si>
  <si>
    <t>דיווחים:</t>
  </si>
  <si>
    <t>תקציב ברוטו</t>
  </si>
  <si>
    <t>סוג</t>
  </si>
  <si>
    <t>מועד</t>
  </si>
  <si>
    <t>תקציב נטו</t>
  </si>
  <si>
    <t>מדעי סופי</t>
  </si>
  <si>
    <t>כספי שנתי</t>
  </si>
  <si>
    <t>שולם 8.9.2019</t>
  </si>
  <si>
    <t>9.9.2019</t>
  </si>
  <si>
    <t>צבע אטום</t>
  </si>
  <si>
    <t>8.9.2019</t>
  </si>
  <si>
    <t>שמואל אביטל</t>
  </si>
  <si>
    <t>עגלה לקלאב קאר</t>
  </si>
  <si>
    <t>החזר הוצאות דניאל סיילר</t>
  </si>
  <si>
    <t>ח-ן 45685, פתח תקוה חלפים, ציוד אזיל למחקר</t>
  </si>
  <si>
    <t>15.9.2019</t>
  </si>
  <si>
    <t>הוביז בע"מ</t>
  </si>
  <si>
    <t>רחפן פנטום + סוללות</t>
  </si>
  <si>
    <t>16.9.2019</t>
  </si>
  <si>
    <t>אביסק</t>
  </si>
  <si>
    <t>01/108172</t>
  </si>
  <si>
    <t>01/001866</t>
  </si>
  <si>
    <t>MAX</t>
  </si>
  <si>
    <t>כבל מאריך לשטח</t>
  </si>
  <si>
    <t>בולים</t>
  </si>
  <si>
    <t>נידן תקשורת</t>
  </si>
  <si>
    <t>מגן זכוכית לאייפד</t>
  </si>
  <si>
    <t>נסיעות לתיקון רחפן ואירוע שגרירות אמירקאית</t>
  </si>
  <si>
    <t>1195-521385</t>
  </si>
  <si>
    <t>22.8.2019</t>
  </si>
  <si>
    <t>תקשורת ל 2 אייפדים</t>
  </si>
  <si>
    <t>1340/2</t>
  </si>
  <si>
    <t>30.4.2020</t>
  </si>
  <si>
    <t>בקשת המשך למשרד המדע</t>
  </si>
  <si>
    <t>דו"ח תקציבי למחקר משרד המדע</t>
  </si>
  <si>
    <t>31.10.2020</t>
  </si>
  <si>
    <t>דו"ח כספי שנתי</t>
  </si>
  <si>
    <t>המחקר לשנתיים</t>
  </si>
  <si>
    <t>30.9.2021</t>
  </si>
  <si>
    <t>דו"ח מדעי מסכם</t>
  </si>
  <si>
    <t>100,000 כל שנה</t>
  </si>
  <si>
    <t>31.8.2021</t>
  </si>
  <si>
    <t>דו"ח כספי מסכם</t>
  </si>
  <si>
    <t>שנה נוכחית: (א)</t>
  </si>
  <si>
    <t>30.6.2021</t>
  </si>
  <si>
    <t>נציג המשרד</t>
  </si>
  <si>
    <t>דר משה בן-ששון</t>
  </si>
  <si>
    <t>תאריך נשלח</t>
  </si>
  <si>
    <t>תאריך התקבל</t>
  </si>
  <si>
    <t>סיום שנה א</t>
  </si>
  <si>
    <t>תחילת שנה ב</t>
  </si>
  <si>
    <t>סיום שנה ב</t>
  </si>
  <si>
    <t>כספי חצי שנתי</t>
  </si>
  <si>
    <t>מדעי מקוצר</t>
  </si>
  <si>
    <t>כספי מסכם</t>
  </si>
  <si>
    <t>3-16055</t>
  </si>
  <si>
    <t>שימוש בירגזים מצויים (Parus major) כמדבירים ביולוגיים של עש התפוח (Cydia pomonella) לצורך הפחתת הנזקים במטעי התפוח ברמת הגולן</t>
  </si>
  <si>
    <t>דיווח</t>
  </si>
  <si>
    <t>פרסומים</t>
  </si>
  <si>
    <t>מפסק ביניים</t>
  </si>
  <si>
    <t>30.8.2019</t>
  </si>
  <si>
    <t>ירמי מכון העתקות</t>
  </si>
  <si>
    <t>מדבקות לתיבות</t>
  </si>
  <si>
    <t>מהדק ביטים</t>
  </si>
  <si>
    <t>22.9.2019</t>
  </si>
  <si>
    <t>נסיעות לפגישות</t>
  </si>
  <si>
    <t>1196-248684</t>
  </si>
  <si>
    <t>30.9.2019</t>
  </si>
  <si>
    <t>ח-ן 2019/5142, מחסני השוק, ציוד אזיל למחקר</t>
  </si>
  <si>
    <t>2.10.2019</t>
  </si>
  <si>
    <t>7.10.2019</t>
  </si>
  <si>
    <t>בדיקת תיבות</t>
  </si>
  <si>
    <t>6.10.2019</t>
  </si>
  <si>
    <t>נסיעות מוטי 9/2019</t>
  </si>
  <si>
    <t>משכורת חודשי 9/2019 - נטלי גבה</t>
  </si>
  <si>
    <t>יתרות</t>
  </si>
  <si>
    <t>העברה לאוני' חיפה</t>
  </si>
  <si>
    <t>צפי להעברה</t>
  </si>
  <si>
    <t>העברה לאוני' חיפה תשלום ראשון</t>
  </si>
  <si>
    <t>העברה לאוני' חיפה תשלום שני</t>
  </si>
  <si>
    <t>תזכורות</t>
  </si>
  <si>
    <t>דוחו"ת</t>
  </si>
  <si>
    <t>ה.חיוב</t>
  </si>
  <si>
    <t>10שעות ע"ח המכון ליום המשפחה</t>
  </si>
  <si>
    <t>SI196001519</t>
  </si>
  <si>
    <t>27.9.2019</t>
  </si>
  <si>
    <t>פנקסים לרשום דברים למחקר</t>
  </si>
  <si>
    <t>01/018142</t>
  </si>
  <si>
    <t>1.9.2019</t>
  </si>
  <si>
    <t>ברגים + ספריי אפור</t>
  </si>
  <si>
    <t>ח-ן 30215, ביג, ציוד אזיל למחקר</t>
  </si>
  <si>
    <t>ח-ן 30054, ביג, ציוד אזיל למחקר</t>
  </si>
  <si>
    <t>17.10.2019</t>
  </si>
  <si>
    <t>22.10.2019</t>
  </si>
  <si>
    <t>23.10.2019</t>
  </si>
  <si>
    <t>אישור התחלת ביצוע עבודה</t>
  </si>
  <si>
    <t>דו"ח מדעי שנתי</t>
  </si>
  <si>
    <t>5.8.2020 &amp; 5.8.2021</t>
  </si>
  <si>
    <t>5.9.2020 &amp; 5.9.2021</t>
  </si>
  <si>
    <t>משרד המדע - ירגזים כמדבירים</t>
  </si>
  <si>
    <t>דיווחים</t>
  </si>
  <si>
    <t>תרומות</t>
  </si>
  <si>
    <t>דו"ח מדעי</t>
  </si>
  <si>
    <t>דו"ח כספי</t>
  </si>
  <si>
    <t>אישור להמשך המחקר</t>
  </si>
  <si>
    <t>הערות:</t>
  </si>
  <si>
    <t>משכורת חודשי 9/2019 - דניאל סיילר - חלקי</t>
  </si>
  <si>
    <t>לברר באקסל - חסר סכום</t>
  </si>
  <si>
    <t>מיג"ל</t>
  </si>
  <si>
    <t>ח-ן 01/006661, אפיק מ.ל.ה., פנל סולארי</t>
  </si>
  <si>
    <t>27.10.2019</t>
  </si>
  <si>
    <t>ענאגל, ציוד אזיל למחקר</t>
  </si>
  <si>
    <t>ביג, ציוד אזיל למחקר</t>
  </si>
  <si>
    <t>ח-ן 2019/5794, מחסני השוק, ציוד אזיל למחקר</t>
  </si>
  <si>
    <t>כח אדם</t>
  </si>
  <si>
    <t>תקציב 80,000 לכל שנה</t>
  </si>
  <si>
    <t>ציוד</t>
  </si>
  <si>
    <t>31.12.2020</t>
  </si>
  <si>
    <t>31.1.2020 &amp; 31.1.2021</t>
  </si>
  <si>
    <t>סופי</t>
  </si>
  <si>
    <t>4.11.2019</t>
  </si>
  <si>
    <t>דו"ח תקציבי לקק"ל</t>
  </si>
  <si>
    <t>השפעת כמות הבאת הטרף על-ידי תנשמות ושכיחות החלפת קנים של פרחונים על הצלחת הרבייה של התנשמות כחלק ממיזם ההדברה הביולוגית באמצעות תנשמות בישראל</t>
  </si>
  <si>
    <t>60-26-649-18</t>
  </si>
  <si>
    <t>שימוש בכלים של חישה מרחוק לצורך הערכת מספר והשפעת העגורים על החקלאות בעמק החולה</t>
  </si>
  <si>
    <t>21-07-0003</t>
  </si>
  <si>
    <t>תקציב 50,000 לשנה א</t>
  </si>
  <si>
    <t>תקציב 40,000 לשנה ב</t>
  </si>
  <si>
    <t>נסיעות מוטי 10/2019</t>
  </si>
  <si>
    <t xml:space="preserve">משכורת חודשי 10/2019 - דניאל סיילר </t>
  </si>
  <si>
    <t>משכורת חודשי 10/2019 - נועה זאבי</t>
  </si>
  <si>
    <t>7.11.2019</t>
  </si>
  <si>
    <t>משרד החקלאות - נזקי נברנים - שנה א</t>
  </si>
  <si>
    <t>משרד החקלאות - נזקי נברנים - שנה ב</t>
  </si>
  <si>
    <t>משרד החקלאות - נזקי נברנים - שנה ג</t>
  </si>
  <si>
    <t>10.11.2019</t>
  </si>
  <si>
    <t>12.11.2019</t>
  </si>
  <si>
    <t>ח-ן 3220857, ל.כ. בע"מ, ציוד אזיל למחקר</t>
  </si>
  <si>
    <t>ח-ן 01/018238, לילי, ציוד אזיל למחקר</t>
  </si>
  <si>
    <t>ח-ן 30789, ביג, ציוד אזיל למחקר</t>
  </si>
  <si>
    <t>17.11.2019</t>
  </si>
  <si>
    <t>ח-ן 48259, שטרן את כהן, ציוד אזיל למחקר</t>
  </si>
  <si>
    <t>19.11.2019</t>
  </si>
  <si>
    <t>20.11.2019</t>
  </si>
  <si>
    <t>24.11.2019</t>
  </si>
  <si>
    <t>ח-ן 01/108244, אביסק, ציוד אזיל למחקר</t>
  </si>
  <si>
    <t>ח-ן 01/116726, אפיק מ.ל.ה בע"מ, מצברים RFID</t>
  </si>
  <si>
    <t>ח-ן 01/006725, אפיק מ.ל.ה., פנל סולארי</t>
  </si>
  <si>
    <t>27.11.2019</t>
  </si>
  <si>
    <t>18.11.2019</t>
  </si>
  <si>
    <t>1.12.2019</t>
  </si>
  <si>
    <t>20.10.2019</t>
  </si>
  <si>
    <t>ח-ן 1197-408734, כביש 6, נסיעות לפגישות</t>
  </si>
  <si>
    <t>ח-ן 1198-170147, כביש 6, נסיעות לפגישות</t>
  </si>
  <si>
    <t>ח-ן 368/6, ספא לרכב, שטיפה אחרי העברת תיבות</t>
  </si>
  <si>
    <t>13.11.2019</t>
  </si>
  <si>
    <t>ח-ן 121/3690/211, חניון צים, לפגישה</t>
  </si>
  <si>
    <t>ח-ן 2230, מ.מ. אספקה טכנית וחקלאית, ציוד אזיל למחקר</t>
  </si>
  <si>
    <t>28.11.2019</t>
  </si>
  <si>
    <t>ח-ן 17873042, $965.30, Datalogger למחקר</t>
  </si>
  <si>
    <t>ח-ן 42496609, גולן, ציוד אזיל למחקר</t>
  </si>
  <si>
    <t>15.11.2019</t>
  </si>
  <si>
    <t>ח-ן 42719872, גולן, ציוד אזיל למחקר</t>
  </si>
  <si>
    <t>25.11.2019</t>
  </si>
  <si>
    <t>3.12.2019</t>
  </si>
  <si>
    <t>ח-ן 48385, שטרן את כהן, ציוד אזיל למחקר</t>
  </si>
  <si>
    <t>4.12.2019</t>
  </si>
  <si>
    <t>נסיעות מוטי 11/2019</t>
  </si>
  <si>
    <t>משכורת חודשי 11/19 - דניאל סיילר</t>
  </si>
  <si>
    <t>משכורת חודשי 11/2019 - נועה זאבי</t>
  </si>
  <si>
    <t>משכורת חודשי 11/19 - אורי מרגלית</t>
  </si>
  <si>
    <t>משכורת חודשי 9/19 - אורי מרגלית</t>
  </si>
  <si>
    <t>שכר חודשי אלה אבידור 11/2019 - חלקי</t>
  </si>
  <si>
    <t>ח-ן 01/002832, לול טי וי, ציוד אזיל</t>
  </si>
  <si>
    <t>5.12.2019</t>
  </si>
  <si>
    <t>12.12.2019</t>
  </si>
  <si>
    <t>ח-ן 3211345, ל.כ. כלים וציוד, ציוד אזיל למחקר</t>
  </si>
  <si>
    <t xml:space="preserve">שנה נוכחית: (א) </t>
  </si>
  <si>
    <t>31.12.2021</t>
  </si>
  <si>
    <t>בקשת המשך</t>
  </si>
  <si>
    <t>31.3.2021</t>
  </si>
  <si>
    <t>31.3.2022</t>
  </si>
  <si>
    <t>30.4.2021</t>
  </si>
  <si>
    <t>30.4.2022</t>
  </si>
  <si>
    <t>19.12.2019</t>
  </si>
  <si>
    <t>נשלח</t>
  </si>
  <si>
    <t>משרד המדע - שימוש בתגי PIT - שנה ב</t>
  </si>
  <si>
    <t>משרד המדע - שימוש בתגי PIT - שנה א</t>
  </si>
  <si>
    <t>משרד המדע - ירגזים כמדבירים - שנה ב</t>
  </si>
  <si>
    <t>18.12.2019</t>
  </si>
  <si>
    <t>נעליים מיוחדות לשטח</t>
  </si>
  <si>
    <t>23.12.2019</t>
  </si>
  <si>
    <t>נשלח 23.12.2019</t>
  </si>
  <si>
    <t>15.12.2019</t>
  </si>
  <si>
    <t>ח-ן 191210421, גשר גולן, השכרת רכב לשטח המחקר</t>
  </si>
  <si>
    <t>ח-ן 13611184978, דלק-מנטה, נסיעות לשטח המחקר</t>
  </si>
  <si>
    <t>16.12.2019</t>
  </si>
  <si>
    <t>שולם בצ'ק</t>
  </si>
  <si>
    <t>ח-ן 19-0955043270-049397, בולים - דואר ישראל</t>
  </si>
  <si>
    <t>ח-ן 31369, ביג, ציוד אזיל למחקר</t>
  </si>
  <si>
    <t>22.12.2019</t>
  </si>
  <si>
    <t>ח-ן 48581, שטרן מחסן עצים, ציוד אזיל למחקר</t>
  </si>
  <si>
    <t>ח-ן 01/018326, לילי, ציוד אזיל למחקר</t>
  </si>
  <si>
    <t>השימוש בתגי PIT לבחינת שימוש תנשמות בתיבות קינון, הבאת טרף, ומחליפי קנים על שיעור איכלוס והצלחת רבייה כחלק מפרוייקט הדברה ביולוגית של מכרסמים מזיקים בחקלאות</t>
  </si>
  <si>
    <t>3-16800</t>
  </si>
  <si>
    <t>התקבל 29.12.2019</t>
  </si>
  <si>
    <t>הסתיים</t>
  </si>
  <si>
    <t>30.12.2019</t>
  </si>
  <si>
    <t>1.1.2020</t>
  </si>
  <si>
    <t>פסטל, ציוד אזיל למחקר</t>
  </si>
  <si>
    <t>שולם</t>
  </si>
  <si>
    <t xml:space="preserve"> </t>
  </si>
  <si>
    <t>6.12.2019</t>
  </si>
  <si>
    <t>ח-ן 7989801, amazon, ציוד אזיל למחקר</t>
  </si>
  <si>
    <t>7.12.2019</t>
  </si>
  <si>
    <t>ח-ן 1004206, amazon, ציוד אזיל למחקר</t>
  </si>
  <si>
    <t>ח-ן 2821047, amazon, ציוד אזיל למחקר</t>
  </si>
  <si>
    <t>ח-ן 9994602, amazon, ציוד אזיל למחקר</t>
  </si>
  <si>
    <t>ח-ן 9803439, amazon, ציוד אזיל למחקר</t>
  </si>
  <si>
    <t>ח-ן 43241437, גולן, ציוד אזיל למחקר</t>
  </si>
  <si>
    <t>ח-ן 1012102831, max, ציוד אזיל למחקר</t>
  </si>
  <si>
    <t>ח-ן 6695427, amazon, ציוד אזיל למחקר</t>
  </si>
  <si>
    <t>ח-ן 18831, גלבוע טיירסנטר, תיקון פנצ'ר</t>
  </si>
  <si>
    <t>27.12.2019</t>
  </si>
  <si>
    <t>29.12.2019</t>
  </si>
  <si>
    <t>ח-ן 1144335, ענני מרשמלו, סורק ל RFID</t>
  </si>
  <si>
    <t>ח-ן 8245002, amazon, סורק ל RFID</t>
  </si>
  <si>
    <t>5.1.2020</t>
  </si>
  <si>
    <t>שכר חודשי אלה אבידור 12/2019 - חלקי</t>
  </si>
  <si>
    <t>נסיעות מוטי צ'רטר 12/2019</t>
  </si>
  <si>
    <t>משכורת חודשי 12/19 - דניאל סיילר</t>
  </si>
  <si>
    <t>משכורת חודשי 12/2019 - נועה זאבי</t>
  </si>
  <si>
    <t>ח-ן 2019/7162, מחסני השוק, ציוד אזיל למחקר</t>
  </si>
  <si>
    <t>ח-ן 2019/7162, קואופ שופ, ציוד אזיל למחקר</t>
  </si>
  <si>
    <t>ח-ן 48640, שטרן את כהן, ציוד אזיל למחקר</t>
  </si>
  <si>
    <t>ח-ן 3210016, ל.כ. כלים וציוד, ציוד אזיל למחקר</t>
  </si>
  <si>
    <t>6.1.2020</t>
  </si>
  <si>
    <t>מים + בורקס</t>
  </si>
  <si>
    <t>ח-ן 31949, ביג, ציוד אזיל למחקר</t>
  </si>
  <si>
    <t>20.1.2020</t>
  </si>
  <si>
    <t>14.1.2020</t>
  </si>
  <si>
    <t>13.1.2020</t>
  </si>
  <si>
    <t>שטרן את כהן, ציוד אזיל למחקר</t>
  </si>
  <si>
    <t>3.1.2020</t>
  </si>
  <si>
    <t>ח-ן 111-2784046-5354601, Amazon, ציוד אזיל למחקר</t>
  </si>
  <si>
    <t>ח-ן 111-6272780-2513038, Amazon, ציוד אזיל למחקר</t>
  </si>
  <si>
    <t>4.1.2020</t>
  </si>
  <si>
    <t>ח-ן 111-5044121-6103435, Amazon, ציוד אזיל למחקר</t>
  </si>
  <si>
    <t>10.1.2020</t>
  </si>
  <si>
    <t>ח-ן 111-9208451-1773812, Amazon, ציוד אזיל למחקר</t>
  </si>
  <si>
    <t>18.1.2020</t>
  </si>
  <si>
    <t>ח-ן 111-1986723-2310655, Amazon, ציוד אזיל למחקר</t>
  </si>
  <si>
    <t>ח-ן 111-6036007-7916462, Amazon, ציוד אזיל למחקר</t>
  </si>
  <si>
    <t>23.1.2020</t>
  </si>
  <si>
    <t>ח-ן 111-6997372-2650657, Amazon, ציוד אזיל למחקר</t>
  </si>
  <si>
    <t>24.1.2020</t>
  </si>
  <si>
    <t>ח-ן 111-2288272-9428229, Amazon, ציוד אזיל למחקר</t>
  </si>
  <si>
    <t>25.1.2020</t>
  </si>
  <si>
    <t>ח-ן 111-3134762-6818608, Amazon, ציוד אזיל למחקר</t>
  </si>
  <si>
    <t>27.1.2020</t>
  </si>
  <si>
    <t>ח-ן 17329, פסטל, ציוד אזיל למחקר</t>
  </si>
  <si>
    <t>9.1.2020</t>
  </si>
  <si>
    <t>ח-ן 393262, ליוגב, ציוד אזיל למחקר</t>
  </si>
  <si>
    <t>ח-ן 393263, ליוגב, ציוד אזיל למחקר</t>
  </si>
  <si>
    <t>21.1.2020</t>
  </si>
  <si>
    <t>30.1.2020</t>
  </si>
  <si>
    <t>ח-ן 8374, מיטל מעבדות, ציוד אזיל למחקר</t>
  </si>
  <si>
    <t>15.1.2020</t>
  </si>
  <si>
    <t>ח-ן 11703, חי פרזול לעץ, ציוד אזיל למחקר</t>
  </si>
  <si>
    <t>החזר הוצאות נעם זומרפלד</t>
  </si>
  <si>
    <t>ח-ן 1-37917, סמארטפיקס, ציוד אזיל למחקר</t>
  </si>
  <si>
    <t>ח-ן 2020/575, מחסני השוק, ציוד אזיל למחקר</t>
  </si>
  <si>
    <t>2020/575</t>
  </si>
  <si>
    <t>2.2.2020</t>
  </si>
  <si>
    <t>ח-ן 4247, ווב טו סי, מצלמה+מיקרופון</t>
  </si>
  <si>
    <t>ח-ן 1361, שי גבעוני א.י.י.תיירות, ציוד למחקר</t>
  </si>
  <si>
    <t>16.1.2020</t>
  </si>
  <si>
    <t>ח-ן 48745, שטרן את כהן, ציוד אזיל למחקר</t>
  </si>
  <si>
    <t>29.1.2020</t>
  </si>
  <si>
    <t>ח-ן 48831, שטרן את כהן, ציוד אזיל למחקר</t>
  </si>
  <si>
    <t>5.2.2020</t>
  </si>
  <si>
    <t>ח-ן 32523, ביג, ציוד אזיל למחקר</t>
  </si>
  <si>
    <t>6.2.2020</t>
  </si>
  <si>
    <t>ח-ן 3220108, ל.כ. כלים וציוד, ציוד אזיל למחקר</t>
  </si>
  <si>
    <t>מצלמות</t>
  </si>
  <si>
    <t>4.2.2020</t>
  </si>
  <si>
    <t>שכר חודשי אלה אבידור 1/2020 - חלקי</t>
  </si>
  <si>
    <t>נסיעות מוטי צ'רטר 1/2020</t>
  </si>
  <si>
    <t>משכורת חודשי 1/2020 - נועה זאבי</t>
  </si>
  <si>
    <t>משכורת חודשי 1/2020 - דניאל סיילר</t>
  </si>
  <si>
    <t>16.2.2020</t>
  </si>
  <si>
    <t>ח-ן 200210464, גשר גולן, נסיעות למחקר</t>
  </si>
  <si>
    <t>20.2.2020</t>
  </si>
  <si>
    <t>17.2.2020</t>
  </si>
  <si>
    <t>Web2See</t>
  </si>
  <si>
    <t>2-3 מצלמות לשטח ל - live feed</t>
  </si>
  <si>
    <t>18.2.2020</t>
  </si>
  <si>
    <t>ח-ן 013699497731, דלק מנטה, נסיעות למחקר</t>
  </si>
  <si>
    <t>ח-ן 01/018570, לילי, ציוד אזיל למחקר</t>
  </si>
  <si>
    <t>13.2.2020</t>
  </si>
  <si>
    <t>24.2.2020</t>
  </si>
  <si>
    <t>14.2.2020</t>
  </si>
  <si>
    <t>ח-ן 15830, מ.ע. אזולאי חומרי בניין, ציוד אזיל למחקר</t>
  </si>
  <si>
    <t>ח-ן 15830/6, מ.ע. אזולאי חומרי בנין, ציוד אזיל למחקר</t>
  </si>
  <si>
    <t>ח-ן 24107, קשת סולרי, ציוד אזיל למחקר</t>
  </si>
  <si>
    <t>1.3.2020</t>
  </si>
  <si>
    <t>ח-ן 3825/1, למטייל, ציוד אזיל למחקר</t>
  </si>
  <si>
    <t>החזר הוצאות אלה אבידור</t>
  </si>
  <si>
    <t>ח-ן חלקי עם דן מלקינסון</t>
  </si>
  <si>
    <t>28.1.2020</t>
  </si>
  <si>
    <t>ח-ן 2294, שמעון צוקרמן, טיפל בנחש באגמון החולה</t>
  </si>
  <si>
    <t>22.1.2020</t>
  </si>
  <si>
    <t>ח-ן 2020-0021-000150204, גולן טלקום, גלישה ל2 אייפדים</t>
  </si>
  <si>
    <t>3.2.2020</t>
  </si>
  <si>
    <t>ח-ן 465/3, ספא לרכב, שטיפה לרכב אחרי נסיעה לשטח</t>
  </si>
  <si>
    <t>החזר הוצאות מוטי</t>
  </si>
  <si>
    <t>ח-ן 111-5319509-7861850, אמאזון, ביטים ותיק לשטח</t>
  </si>
  <si>
    <t>7.2.2020</t>
  </si>
  <si>
    <t>ח-ן 2713, מ.מ. אספקה, אבן לחיתוך נירוסטה</t>
  </si>
  <si>
    <t>12.2.2020</t>
  </si>
  <si>
    <t>ח-ן 2062445730, istock, תמונה לאתר</t>
  </si>
  <si>
    <t>15.2.2020</t>
  </si>
  <si>
    <t>ח-ן 111-2120819-6276202, אמאזון, מגן לאייפד בשטח</t>
  </si>
  <si>
    <t>ח-ן 111-62990386194649, אמאזון, מגן לאייפד בשטח</t>
  </si>
  <si>
    <t>22.2.2020</t>
  </si>
  <si>
    <t>ח-ן 2020-0021-000582594, גולן טלקום, גלישה ל2 אייפדים</t>
  </si>
  <si>
    <t>החזר הוצאות למוטי</t>
  </si>
  <si>
    <t>21.2.2020</t>
  </si>
  <si>
    <t>ח-ן 2004070, נדין תקשורת, שתי מגנים מסך לאייפד</t>
  </si>
  <si>
    <t>ח-ן 1200-976064, כביש 6, נסיעות לבית ספר האמריקאית והשתלמות במכון ויזמן</t>
  </si>
  <si>
    <t>ח-ן 20-0955051148, דואר ישראל, בולים</t>
  </si>
  <si>
    <t>25.2.2020</t>
  </si>
  <si>
    <t>ח-ן 20-0798077177-009607, דואר ישראל, בולים</t>
  </si>
  <si>
    <t>ח-ן 30302, נט פארם, ציוד אזיל למחקר</t>
  </si>
  <si>
    <t>webcam.io</t>
  </si>
  <si>
    <t>שידור מצלמה לאינטרנט</t>
  </si>
  <si>
    <t>Amazon</t>
  </si>
  <si>
    <t>כבלים ומיקרופון</t>
  </si>
  <si>
    <t>אי.או.ג'י תעשיות</t>
  </si>
  <si>
    <t>אוכל לציפורים</t>
  </si>
  <si>
    <t>מתקני אוכל לציפורים</t>
  </si>
  <si>
    <t>קופסאות אוכל לציפורים</t>
  </si>
  <si>
    <t>קבוצת אלקטרו קובי</t>
  </si>
  <si>
    <t>2טלויזיות למצלמות בשידור חי</t>
  </si>
  <si>
    <t>מצלמה לקנים בשידור חי</t>
  </si>
  <si>
    <t>27.2.2020</t>
  </si>
  <si>
    <t>Cam Streamer</t>
  </si>
  <si>
    <t xml:space="preserve">  למצלמה בשידור חיAPP </t>
  </si>
  <si>
    <t>קיי אס פי מחשבים</t>
  </si>
  <si>
    <t>נתב סולארי</t>
  </si>
  <si>
    <t>חצובות למצלמות בשידור חי</t>
  </si>
  <si>
    <t>111-0790215-3099442</t>
  </si>
  <si>
    <t>11664429-8360552</t>
  </si>
  <si>
    <t>111-0069918-8281843</t>
  </si>
  <si>
    <t>11-0347550-9269035</t>
  </si>
  <si>
    <t>01/108386</t>
  </si>
  <si>
    <t>2J962741TA359812C</t>
  </si>
  <si>
    <t>4.3.2020</t>
  </si>
  <si>
    <t>שכר חודשי אלה אבידור 2/2020 - חלקי</t>
  </si>
  <si>
    <t>נסיעות מוטי צ'רטר 2/2020</t>
  </si>
  <si>
    <t>משכורת חודשי 2/2020 - נעם זומרפלד</t>
  </si>
  <si>
    <t>משכורת חודשי 1/2020 - נעם זומרפלד</t>
  </si>
  <si>
    <t>משכורת חודשי 2/2020 - גבריאל רוזמן</t>
  </si>
  <si>
    <t>5.3.2020</t>
  </si>
  <si>
    <t>8.3.2020</t>
  </si>
  <si>
    <t>7.3.2020</t>
  </si>
  <si>
    <t>ח-ן 111-3354840-8703422, amazon, מתקני אכילה לציפורים</t>
  </si>
  <si>
    <t>ח-ן 292292, אי או גי, אוכל לציפורים</t>
  </si>
  <si>
    <t>24.3.2020</t>
  </si>
  <si>
    <t>ח-ן 292635, אי או גי, אוכל לציפורים</t>
  </si>
  <si>
    <t>20.3.2020</t>
  </si>
  <si>
    <t>ח-ן 0804/0615/00615, חניוני נתב"ג, חניה</t>
  </si>
  <si>
    <t>ח-ן 1201-675891, כביש 6, נסיעות</t>
  </si>
  <si>
    <t>9.3.2020</t>
  </si>
  <si>
    <t>ח-ן 2902, מ. מ. אספקת טכנית, ציוד אזיל למחקר</t>
  </si>
  <si>
    <t>ח-ן 5478/3, צילום +פלוס, ציוד אזיל למחקר</t>
  </si>
  <si>
    <t>6.3.2020</t>
  </si>
  <si>
    <t>ח-ן 111-9216276-4757858, Amazon, כבלים, מגןמסך, מתקן אכילה</t>
  </si>
  <si>
    <t>17.3.2020</t>
  </si>
  <si>
    <t>ח-ן 120655, KSP, laptop cooler</t>
  </si>
  <si>
    <t>19.3.2020</t>
  </si>
  <si>
    <t>ח-ן 10057946, אל.פי.סי, קורא כרטיסים</t>
  </si>
  <si>
    <t>ח-ן 111-2302157-7530618, Amazon, מגן מסך וכבלים</t>
  </si>
  <si>
    <t>21.3.2020</t>
  </si>
  <si>
    <t>ח-ן 111-3521627-4506608, Amazon, סורק RFID</t>
  </si>
  <si>
    <t>15.3.2020</t>
  </si>
  <si>
    <t>ח-ן 2020-0021-000857478, גולן טלקום, 2 אייפון לשטח</t>
  </si>
  <si>
    <t>11664429-8360553</t>
  </si>
  <si>
    <t>10.3.2020</t>
  </si>
  <si>
    <t>KSP</t>
  </si>
  <si>
    <t>3נתבים למצלמות בשידור חי</t>
  </si>
  <si>
    <t>פלאפון</t>
  </si>
  <si>
    <t>13.3.2020</t>
  </si>
  <si>
    <t>ישראעץ</t>
  </si>
  <si>
    <t>עץ למצלמה</t>
  </si>
  <si>
    <t>QV205000781</t>
  </si>
  <si>
    <t>22.3.2020</t>
  </si>
  <si>
    <t>APP למצלמה בשידור חי</t>
  </si>
  <si>
    <t>63N820498U304121E</t>
  </si>
  <si>
    <t>12.3.2020</t>
  </si>
  <si>
    <t>ח-ן 49166, שטרן את כהן מחסן עצים, ציוד אזיל למחקר</t>
  </si>
  <si>
    <t>25.3.2020</t>
  </si>
  <si>
    <t>26.2.2020</t>
  </si>
  <si>
    <t>ח-ן 01/018670, לילי, ציוד אזיל למחקר</t>
  </si>
  <si>
    <t>2.4.2020</t>
  </si>
  <si>
    <t>שכר חודשי אלה אבידור 3/2020 - חלקי</t>
  </si>
  <si>
    <t>נסיעות מוטי צ'רטר 3/2020</t>
  </si>
  <si>
    <t>משכורת חודשי 3/2020 - גבריאל רוזמן</t>
  </si>
  <si>
    <t>משכורת חודשי 3/2020 - מאי אברהמי</t>
  </si>
  <si>
    <t>משכורת חודשי 3/2020 - נעם זומרפלד</t>
  </si>
  <si>
    <t>משכורת חודשי 3/2020 - אביחי ביטון</t>
  </si>
  <si>
    <t>5.4.2020</t>
  </si>
  <si>
    <t>1.4.2020</t>
  </si>
  <si>
    <t>web 2 see</t>
  </si>
  <si>
    <t>ח-ן SI206001022, ענאגל, ציוד אזיל למחקר</t>
  </si>
  <si>
    <t>21.4.2020</t>
  </si>
  <si>
    <t>19.4.2020</t>
  </si>
  <si>
    <t>ח-ן 200110209, גשר גולן, נסיעות עבור מחקר</t>
  </si>
  <si>
    <t>20.4.2020</t>
  </si>
  <si>
    <t>ח-ן 013699501338, מנטה, דלק לנסיעות למחקר</t>
  </si>
  <si>
    <t>23.4.2020</t>
  </si>
  <si>
    <t>ח-ן 50295, ארז DVD, ציוד אזיל למחקר</t>
  </si>
  <si>
    <t>ח-ן 140862154, המשביר לחקלאי, ציוד אזיל למחקר</t>
  </si>
  <si>
    <t>9.2.2020</t>
  </si>
  <si>
    <t>ח-ן 33093, ביג, ציוד אזיל למחקר</t>
  </si>
  <si>
    <t>ח-ן 33093ביג, ציוד אזיל למחקר</t>
  </si>
  <si>
    <t>ח-ן 33093,ביג, ציוד אזיל למחקר</t>
  </si>
  <si>
    <t>24.4.2020</t>
  </si>
  <si>
    <t>ח-ן 8397, מיטל מעבדות, ציוד אזיל למחקר</t>
  </si>
  <si>
    <t>ח-ן 16548, מ.מ.אספקה, ציוד אזיל למחקר</t>
  </si>
  <si>
    <t>26.4.2020</t>
  </si>
  <si>
    <t>ח-ן 591, מתפרת הגליל, ציוד אזיל למחקר</t>
  </si>
  <si>
    <t>1.5.2020</t>
  </si>
  <si>
    <t>בתוכנה שידור למצלמה</t>
  </si>
  <si>
    <t>3PC32082TN704442W</t>
  </si>
  <si>
    <t>4 תוכנות גלישה למצלמות בשידור חי</t>
  </si>
  <si>
    <t>3 תוכנות גלישה למצלמות בשידור חי</t>
  </si>
  <si>
    <t>ח-ן 3245, פיצוחי שני, ציוד אזיל למחקר</t>
  </si>
  <si>
    <t>ח-ן 205001066QV, ישראעץ, ציוד אזיל למחקר</t>
  </si>
  <si>
    <t>7.4.2020</t>
  </si>
  <si>
    <t>paddle.com</t>
  </si>
  <si>
    <t>5ST80623GF299773A</t>
  </si>
  <si>
    <t>ח-ן 6119, ACE, כסא למחשב, מסכות ואלכוהול</t>
  </si>
  <si>
    <t>22.4.2020</t>
  </si>
  <si>
    <t>ח-ן 2020-0021-001288345, גולן טלקום, גלישה ל2 אייפדים</t>
  </si>
  <si>
    <t>ח-ן 3003853133240612, אליאקספרס, משאבת מים למתקן אכילה</t>
  </si>
  <si>
    <t>ח-ן 293179, אי או גי, אוכל לציפורים</t>
  </si>
  <si>
    <t>5.5.2020</t>
  </si>
  <si>
    <t>משכורת חודשי 4/2020 - גבריאל רוזמן</t>
  </si>
  <si>
    <t>משכורת חודשי 4/2020 - נעם זומרפלד</t>
  </si>
  <si>
    <t>משכורת חודשי 4/2020 - אביחי ביטון</t>
  </si>
  <si>
    <t>משכורת חודשי 4/2020 - מאי אברהמי</t>
  </si>
  <si>
    <t>נסיעות מוטי צ'רטר 4/2020</t>
  </si>
  <si>
    <t>שכר חודשי אלה אבידור 4/2020 - חלקי</t>
  </si>
  <si>
    <t>ח-ן 33623, ביג, ציוד אזיל למחקר</t>
  </si>
  <si>
    <t>כרגע שלחו רק 2 - מזמינים משהו במקום כי אין במלאי</t>
  </si>
  <si>
    <t>17.5.2020</t>
  </si>
  <si>
    <t>ציוד בשביל המצלמות</t>
  </si>
  <si>
    <t>ח-ן 4399, כימולב, ציוד אזיל למחקר</t>
  </si>
  <si>
    <t>ח-ן מחולקת עם תיבת נח (אייל קורצבאום)</t>
  </si>
  <si>
    <t>ח-ן 34406, ביג, ציוד אזיל למחקר</t>
  </si>
  <si>
    <t>19.5.2020</t>
  </si>
  <si>
    <t>12.5.2020</t>
  </si>
  <si>
    <t>ח-ן 49573, שטרן את כהן, ציוד אזיל למחקר</t>
  </si>
  <si>
    <t>ח-ן 394946, ליוגב, ציוד אזיל למחקר</t>
  </si>
  <si>
    <t>ח-ן 395288, ליוגב, ציוד אזיל למחקר</t>
  </si>
  <si>
    <t>24.5.2020</t>
  </si>
  <si>
    <t>שכירת רכב שטח למחקר</t>
  </si>
  <si>
    <t>נשלח 24.5.2020</t>
  </si>
  <si>
    <t>ח-ן 0008404, מיטל מעבדות, ציוד אזיל למחקר</t>
  </si>
  <si>
    <t>21.5.2020</t>
  </si>
  <si>
    <t>ח-ן 50585, דולפין בטיחות, הדרכת עבודה בגובה - דניאל סיילר</t>
  </si>
  <si>
    <t>ח-ן 50679, דולפין בטיחות, הדרכת עבודה בגובה - נעם זומרפלד + גבריאל רוזמן</t>
  </si>
  <si>
    <t>14.5.2020</t>
  </si>
  <si>
    <t>31.5.2020</t>
  </si>
  <si>
    <t>ח-ן 17027, מ.מ. אספקה, ציוד אזיל למחקר</t>
  </si>
  <si>
    <t>7.5.2020</t>
  </si>
  <si>
    <t>11.5.2020</t>
  </si>
  <si>
    <t>ח-ן AFU20OV0681, חשמל ישיר, ציוד לתחנות RFID</t>
  </si>
  <si>
    <t>15.5.2020</t>
  </si>
  <si>
    <t>ח-ן AFU20OV6358, חשמל ישיר, ציוד לתחנות RFID</t>
  </si>
  <si>
    <t>27.5.2020</t>
  </si>
  <si>
    <t>גלישה ל 7 מצלמות בשידור חי</t>
  </si>
  <si>
    <t>28.5.2020</t>
  </si>
  <si>
    <t>פולר</t>
  </si>
  <si>
    <t>פנס IR למצלמות</t>
  </si>
  <si>
    <t>22.5.2020</t>
  </si>
  <si>
    <t>ח-ן 2020-0021-001713904, גולן טלקום, גלישה ל 2 אייפד</t>
  </si>
  <si>
    <t>עזריאלי</t>
  </si>
  <si>
    <t>פנס IR למצלמות - 2 יחידות</t>
  </si>
  <si>
    <t>ח-ן 3028190815, פלאפון, כרטיס סים למצלמה</t>
  </si>
  <si>
    <t>ח-ן 3028190813, פלאפון, כרטיס סים למצלמה</t>
  </si>
  <si>
    <t>0-4X1310726F296942S</t>
  </si>
  <si>
    <t>7.6.2020</t>
  </si>
  <si>
    <t>שכר חודשי אלה אבידור 5/2020 - חלקי</t>
  </si>
  <si>
    <t>משכורת חודשי 5/2020 - ריטה מונדר</t>
  </si>
  <si>
    <t>משכורת חודשי 5/2020 - מאי אברהמי</t>
  </si>
  <si>
    <t>משכורת חודשי 5/2020 - גבריאל רוזמן</t>
  </si>
  <si>
    <t>משכורת חודשי 5/2020 - נעם זומרפלד</t>
  </si>
  <si>
    <t>משכורת חודשי 5/2020 - אביחי ביטון</t>
  </si>
  <si>
    <t>נסיעות 5/2020 - מוטי צ'רטר</t>
  </si>
  <si>
    <t>9.6.2020</t>
  </si>
  <si>
    <t>14.6.2020</t>
  </si>
  <si>
    <t>10.6.2020</t>
  </si>
  <si>
    <t>11.6.2020</t>
  </si>
  <si>
    <t>שולם 15/6/2020</t>
  </si>
  <si>
    <t>ח-ן 20100302, יזהר הלוי מערכת השקיה ובקרה, מערכת אנרגיה</t>
  </si>
  <si>
    <t>ח-ן 20100243, יזהר הלוי מערכת השקיה ובקרה, מערכת אנרגיה</t>
  </si>
  <si>
    <t>ח-ן 34620, ביג, ציוד אזיל למחקר</t>
  </si>
  <si>
    <t>20.5.2020</t>
  </si>
  <si>
    <t>יזהר הלוי</t>
  </si>
  <si>
    <t>מערכת אנרגיה</t>
  </si>
  <si>
    <t>ח-ן 17608, פסטל, הדפסת תעודות</t>
  </si>
  <si>
    <t>29.6.2020</t>
  </si>
  <si>
    <t>שולם 30.6.2020</t>
  </si>
  <si>
    <t>19.6.2020</t>
  </si>
  <si>
    <t>ח-ן AFU20OV08379, חשמל ישיר, ציוד אזיל למחקר</t>
  </si>
  <si>
    <t>18.6.2020</t>
  </si>
  <si>
    <t>ח-ן 590003846, ויקטורי, ציוד אזיל למחקר</t>
  </si>
  <si>
    <t>ח-ן AFU20OV08375, חשמל ישיר, ציוד אזיל למחקר</t>
  </si>
  <si>
    <t>24.6.2020</t>
  </si>
  <si>
    <t>למה לא - Paypal</t>
  </si>
  <si>
    <t>מגן לאייפון</t>
  </si>
  <si>
    <t>1.7.2020</t>
  </si>
  <si>
    <t>28.6.2020</t>
  </si>
  <si>
    <t>ח-ן 0008416, מיטל מעבדות, ציוד אזיל למחקר</t>
  </si>
  <si>
    <t>30.6.2020</t>
  </si>
  <si>
    <t>ח-ן 17491, מ.מ. אספקה, ציוד אזיל למחקר</t>
  </si>
  <si>
    <t>17.6.2020</t>
  </si>
  <si>
    <t>ח-ן 01/018942, לילי, ציוד אזיל למחקר</t>
  </si>
  <si>
    <t>איי דיגיטל סטור</t>
  </si>
  <si>
    <t>iPhone</t>
  </si>
  <si>
    <t>PI20NZ000001</t>
  </si>
  <si>
    <t>ח-ן SI206002132, ענאגל, ציוד אזיל למחקר</t>
  </si>
  <si>
    <t>6.7.2020</t>
  </si>
  <si>
    <t>נסיעות 6/2020 - מוטי צ'רטר</t>
  </si>
  <si>
    <t>גם רשיון וגם ביטוח רכב</t>
  </si>
  <si>
    <t>שכר חודשי אלה אבידור 6/2020</t>
  </si>
  <si>
    <t>שכר חודשי אביחי ביטון 6/2020</t>
  </si>
  <si>
    <t>משכורת חודשי 6/2020 - גבריאל רוזמן</t>
  </si>
  <si>
    <t>משכורת חודשי 6/2020 - נעם זומרפלד</t>
  </si>
  <si>
    <t>משכורת חודשי 6/2020 - מאי אברהמי</t>
  </si>
  <si>
    <t>משכורת חודשי 6/2020 - ריטה מונדר</t>
  </si>
  <si>
    <t>משכורת חודשי 6/2020 - אמיר עזר</t>
  </si>
  <si>
    <t>משכורת חודשי 6/2020 - איילת ברש - חלקי</t>
  </si>
  <si>
    <t>ח-ן 3210497, ל.כ. כלים, ציוד אזיל למחקר</t>
  </si>
  <si>
    <t>ח-ן 35202, ביג, ציוד אזיל למחקר</t>
  </si>
  <si>
    <t>20.7.2020</t>
  </si>
  <si>
    <t>ח-ן 3230212, ל.כ. כלים, ציוד אזיל למחקר</t>
  </si>
  <si>
    <t>15.7.2020</t>
  </si>
  <si>
    <t>ח-ן 1399, א.י.י. תיירות, ציוד ותחזוקה</t>
  </si>
  <si>
    <t>14.7.2020</t>
  </si>
  <si>
    <t>ח-ן 3220473, ל.כ. כלים, ציוד אזיל למחקר</t>
  </si>
  <si>
    <t>21.6.2020</t>
  </si>
  <si>
    <t>31.7.2020</t>
  </si>
  <si>
    <t>ח-ן 17945, מ.מ. אספקה, ציוד אזיל למחקר</t>
  </si>
  <si>
    <t xml:space="preserve">ח-ן 2020/4059, מחסני </t>
  </si>
  <si>
    <t>ח-ן 1107322, פאוור קלין, שטיפת רכב</t>
  </si>
  <si>
    <t>11.7.2020</t>
  </si>
  <si>
    <t>תוכנת שידור למצלמות</t>
  </si>
  <si>
    <t>7LD49586TL1441706</t>
  </si>
  <si>
    <t>22.7.2020</t>
  </si>
  <si>
    <t>גלישה ל 2 אייפדים + iphone</t>
  </si>
  <si>
    <t>2020-0031-000019315</t>
  </si>
  <si>
    <t>27.7.2020</t>
  </si>
  <si>
    <t>13.7.2020</t>
  </si>
  <si>
    <t>ח-ן 30130018, שבו מכשירי כתיבה, ציוד אזיל למחקר</t>
  </si>
  <si>
    <t>ח-ן 455517, זול סטוק, ציוד אזיל למחקר</t>
  </si>
  <si>
    <t>ח-ן 20241020, זול פעמי, ציוד אזיל למחקר</t>
  </si>
  <si>
    <t>ח-ן 3005085892130612, אליאקספרס, מתקן אכילה</t>
  </si>
  <si>
    <t>ח-ן 68436, חומוס, ארוחה ל 4 אנשים</t>
  </si>
  <si>
    <t>5.8.2020</t>
  </si>
  <si>
    <t>שכר חודשי ריטה מונדר 7/2020 - חלקי</t>
  </si>
  <si>
    <t>משכורת חודשי 7/2020 - גבריאל רוזמן</t>
  </si>
  <si>
    <t>משכורת חודשי 7/2020 - אביחי ביטון</t>
  </si>
  <si>
    <t>משכורת חודשי 7/2020 - מאי אברהמי</t>
  </si>
  <si>
    <t>משכורת חודשי 7/2020 - אמיר עזר</t>
  </si>
  <si>
    <t>משכורת חודשי 7/2020 - דניאל נגד</t>
  </si>
  <si>
    <t>נסיעות 7/2020 - מוטי</t>
  </si>
  <si>
    <t>משכורת חודשי 7/2020 - אלה אבידור</t>
  </si>
  <si>
    <t>9.8.2020</t>
  </si>
  <si>
    <t>ask for money</t>
  </si>
  <si>
    <t xml:space="preserve"> - monthly charges</t>
  </si>
  <si>
    <t xml:space="preserve"> - Facebook</t>
  </si>
  <si>
    <t>ח-ן 396900, ליוגב, ציוד אזיל למחקר</t>
  </si>
  <si>
    <r>
      <t>1.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Arial"/>
        <family val="2"/>
      </rPr>
      <t> 7920 ש''ח ב20/12/20 עבוד עבודה בפייסבוק</t>
    </r>
  </si>
  <si>
    <r>
      <t>2.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Arial"/>
        <family val="2"/>
      </rPr>
      <t xml:space="preserve">ב22/2/21 עוד 1500 ש''ח </t>
    </r>
    <r>
      <rPr>
        <sz val="11"/>
        <color rgb="FF1F497D"/>
        <rFont val="Calibri"/>
        <family val="2"/>
      </rPr>
      <t>X</t>
    </r>
    <r>
      <rPr>
        <sz val="11"/>
        <color rgb="FF1F497D"/>
        <rFont val="Arial"/>
        <family val="2"/>
      </rPr>
      <t xml:space="preserve">  12 חודשים לגלישה באינטרנט =  18,000 ש''ח למצלמות בשידור חי</t>
    </r>
  </si>
  <si>
    <t>ח-ן 35772, ביג, ציוד אזיל למחקר</t>
  </si>
  <si>
    <t>1.10.2020</t>
  </si>
  <si>
    <t>אוניברסיטת חיפה, מילגה</t>
  </si>
  <si>
    <t>גם שנה הבאה</t>
  </si>
  <si>
    <t>5.9.2020 &amp;5.9.2021 &amp; 5.9.2022</t>
  </si>
  <si>
    <t>5.9.2020 &amp; 5.9.2021 &amp; 5.9.2022</t>
  </si>
  <si>
    <t>30.8.2021</t>
  </si>
  <si>
    <t>להעביר מתרומות</t>
  </si>
  <si>
    <t>American School</t>
  </si>
  <si>
    <t>27.8.2020</t>
  </si>
  <si>
    <t>ווב טו סי</t>
  </si>
  <si>
    <t>2מצלמות</t>
  </si>
  <si>
    <t>31.8.2020</t>
  </si>
  <si>
    <t>ח-ן 18391, מ.מ. אספקה, ציוד אזיל למחקר</t>
  </si>
  <si>
    <t>16.8.2020</t>
  </si>
  <si>
    <t>ח-ן IN20018733, מ.נ. מערכות, פאנל סולרי</t>
  </si>
  <si>
    <t xml:space="preserve">291948חשבונית </t>
  </si>
  <si>
    <t>11-0347550-9269035חשבונית</t>
  </si>
  <si>
    <t>להעביר למוטי קק"ל</t>
  </si>
  <si>
    <t>הועבר ממ. החקלאות נזקי נברנים</t>
  </si>
  <si>
    <t>6.9.2020</t>
  </si>
  <si>
    <t>משכורת חודשי 8/2020 - גבריאל רוזמן - חלקי</t>
  </si>
  <si>
    <t>שכר חודשי מאי אברהמי - 8/2020 - חלקי</t>
  </si>
  <si>
    <t>שכר חודשי 8/2020 - מאי אברהמי - חלקי</t>
  </si>
  <si>
    <t>שכר חודשי 8/2020 - אביחי ביטון</t>
  </si>
  <si>
    <t>קק"ל - שנה ג</t>
  </si>
  <si>
    <t>חלקי עם קק"ל</t>
  </si>
  <si>
    <t>חלקי עם מוטי שונות 2019</t>
  </si>
  <si>
    <t>קק"ל - שנה ב</t>
  </si>
  <si>
    <t>שונות</t>
  </si>
  <si>
    <t>מיג"ל - שנה ב</t>
  </si>
  <si>
    <t>add</t>
  </si>
  <si>
    <t xml:space="preserve">33,000 מילגה </t>
  </si>
  <si>
    <t>1.9.2020</t>
  </si>
  <si>
    <t>העברה - אוניברסיטת חיפה</t>
  </si>
  <si>
    <t>נסיעות 8/2020 - מוטי</t>
  </si>
  <si>
    <t>משכורת חודשי 8/2020 - אלה אבידור - חלקי</t>
  </si>
  <si>
    <t>בני משה ביטון</t>
  </si>
  <si>
    <t>תיקון תקר</t>
  </si>
  <si>
    <t>11.8.2020</t>
  </si>
  <si>
    <t>ח-ן 02370003, קוגן, ציוד אזיל למחקר</t>
  </si>
  <si>
    <t>12.8.2020</t>
  </si>
  <si>
    <t>אי דיגיטל</t>
  </si>
  <si>
    <t>מגן מסך</t>
  </si>
  <si>
    <t>ONZ2009165</t>
  </si>
  <si>
    <t>21.8.2020</t>
  </si>
  <si>
    <t>אמאזון</t>
  </si>
  <si>
    <t>כבלים וציוד</t>
  </si>
  <si>
    <t>111-8957260-8754638</t>
  </si>
  <si>
    <t>22.8.2020</t>
  </si>
  <si>
    <t>גלישה ל 2 אייפדים</t>
  </si>
  <si>
    <t>2020-031-000463225</t>
  </si>
  <si>
    <t>תכנית סלולר של מוטי</t>
  </si>
  <si>
    <t>ציוד לאייפון</t>
  </si>
  <si>
    <t>111-7729196-5859463</t>
  </si>
  <si>
    <t>111-0595439-4831437</t>
  </si>
  <si>
    <t>26.8.2020</t>
  </si>
  <si>
    <t>שטיפת רכב</t>
  </si>
  <si>
    <t>863/1</t>
  </si>
  <si>
    <t>ספיד מחשבים</t>
  </si>
  <si>
    <t>רמקולים</t>
  </si>
  <si>
    <t>2bb26415v48250404</t>
  </si>
  <si>
    <t>28.8.2020</t>
  </si>
  <si>
    <t>סוללות</t>
  </si>
  <si>
    <t>111-2884740-1573811</t>
  </si>
  <si>
    <t>111-9078000-0169042</t>
  </si>
  <si>
    <t>29.8.2020</t>
  </si>
  <si>
    <t>7OR9236Y3618435C</t>
  </si>
  <si>
    <t>3.9.2020</t>
  </si>
  <si>
    <t>2.8.2020</t>
  </si>
  <si>
    <t>3.8.2020</t>
  </si>
  <si>
    <t>10.8.2020</t>
  </si>
  <si>
    <t>25.8.2020</t>
  </si>
  <si>
    <t>ח-ן 36371, ביג, ציוד אזיל למחקר</t>
  </si>
  <si>
    <t>10.9.2020</t>
  </si>
  <si>
    <t xml:space="preserve">28.8.2020 </t>
  </si>
  <si>
    <t>111-0335055-7837861</t>
  </si>
  <si>
    <t xml:space="preserve">עוד לא הגיע. </t>
  </si>
  <si>
    <t>23.9.2020</t>
  </si>
  <si>
    <t>אלה אבידור</t>
  </si>
  <si>
    <t>זה שולם ע"י נזקי נברנים</t>
  </si>
  <si>
    <t>842.80 ₪ ביג, ציוד אזיל למחקר</t>
  </si>
  <si>
    <t>שמואל חן, ציוד אזיל למחקר</t>
  </si>
  <si>
    <t>רשום בנזקי נברנים</t>
  </si>
  <si>
    <t>העברה ממכון מדעיות (דליה)</t>
  </si>
  <si>
    <t>21.9.2020</t>
  </si>
  <si>
    <t>דודו כהן</t>
  </si>
  <si>
    <t>סוללה למחשב</t>
  </si>
  <si>
    <t>01/003107</t>
  </si>
  <si>
    <t>ד</t>
  </si>
  <si>
    <t>29.9.2020</t>
  </si>
  <si>
    <t>ח-ן 205721, משתלת נופר, ציוד אזיל למחקר</t>
  </si>
  <si>
    <t>17.9.2020</t>
  </si>
  <si>
    <t>ח-ן 89383, י. שדו, ציוד אזיל למחקר</t>
  </si>
  <si>
    <t>ח-ן 111-0018205-1188212, אמאזון, ציוד אזיל למחקר</t>
  </si>
  <si>
    <t>ח-ן 1XF27604LM7319255, Agawa, ציוד אזיל למחקר</t>
  </si>
  <si>
    <t>4.9.2020</t>
  </si>
  <si>
    <t>12.9.2020</t>
  </si>
  <si>
    <t>מתקני אוכל לציפורים + שעון</t>
  </si>
  <si>
    <t>111-3968481-1239459</t>
  </si>
  <si>
    <t>111-2072236-3801014</t>
  </si>
  <si>
    <t>15.9.2020</t>
  </si>
  <si>
    <t>גלישה ל2 טלפון שטח</t>
  </si>
  <si>
    <t>2020-0031-000926064</t>
  </si>
  <si>
    <t>טלפון של מוטי</t>
  </si>
  <si>
    <t>30.9.2020</t>
  </si>
  <si>
    <t>ח-ן 18795, מ.מ. אספקה, ציוד אזיל למחקר</t>
  </si>
  <si>
    <t>שכר חודשי 9/2020 - אלה אבידור</t>
  </si>
  <si>
    <t>שכר חודשי 9/2020 - אמיר עזר</t>
  </si>
  <si>
    <t>שכר חודשי 9/2020 -אביחי ביטון</t>
  </si>
  <si>
    <t>שכר חודשי 9/2020 - מאי אברהמי</t>
  </si>
  <si>
    <t>שכר חודשי 9/2020 - גבריאל רוזמן</t>
  </si>
  <si>
    <t>שכר חודשי 9/2020 - אורי פלג</t>
  </si>
  <si>
    <t>שכר חודשי 9/2020 - איתן דולדנר</t>
  </si>
  <si>
    <t>נסיעות 9/2020 - מוטי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</si>
</sst>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_(* #,##0_);_(* \(#,##0\);_(* &quot;-&quot;??_);_(@_)"/>
  </numFmts>
  <fonts count="35" x14ac:knownFonts="1">
    <font>
      <sz val="11"/>
      <color theme="1"/>
      <name val="Arial"/>
      <family val="2"/>
      <charset val="177"/>
      <scheme val="minor"/>
    </font>
    <font>
      <b/>
      <sz val="18"/>
      <color rgb="FFFF000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  <scheme val="minor"/>
    </font>
    <font>
      <b/>
      <u val="singleAccounting"/>
      <sz val="11"/>
      <color theme="1"/>
      <name val="Arial"/>
      <family val="2"/>
      <scheme val="minor"/>
    </font>
    <font>
      <u/>
      <sz val="12"/>
      <name val="Arial"/>
      <family val="2"/>
    </font>
    <font>
      <b/>
      <sz val="9"/>
      <color rgb="FFFF000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  <scheme val="minor"/>
    </font>
    <font>
      <b/>
      <sz val="14"/>
      <color rgb="FFFF0000"/>
      <name val="Arial"/>
      <family val="2"/>
    </font>
    <font>
      <b/>
      <sz val="9"/>
      <name val="Arial"/>
      <family val="2"/>
    </font>
    <font>
      <sz val="10"/>
      <name val="Arial"/>
      <family val="2"/>
      <charset val="177"/>
    </font>
    <font>
      <sz val="10"/>
      <color theme="1"/>
      <name val="Arial"/>
      <family val="2"/>
      <charset val="177"/>
    </font>
    <font>
      <sz val="11"/>
      <color theme="1"/>
      <name val="Arial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1"/>
      <color rgb="FF1F497D"/>
      <name val="Calibri"/>
      <family val="2"/>
    </font>
    <font>
      <sz val="7"/>
      <color rgb="FF1F497D"/>
      <name val="Times New Roman"/>
      <family val="1"/>
    </font>
    <font>
      <sz val="11"/>
      <color rgb="FF1F497D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7" fillId="10" borderId="0" applyNumberFormat="0" applyBorder="0" applyAlignment="0" applyProtection="0"/>
    <xf numFmtId="0" fontId="3" fillId="0" borderId="0"/>
  </cellStyleXfs>
  <cellXfs count="3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14" fontId="4" fillId="2" borderId="0" xfId="0" applyNumberFormat="1" applyFont="1" applyFill="1" applyBorder="1" applyAlignment="1">
      <alignment horizontal="right"/>
    </xf>
    <xf numFmtId="0" fontId="4" fillId="3" borderId="1" xfId="0" applyFont="1" applyFill="1" applyBorder="1"/>
    <xf numFmtId="0" fontId="4" fillId="4" borderId="1" xfId="0" applyFont="1" applyFill="1" applyBorder="1"/>
    <xf numFmtId="14" fontId="0" fillId="5" borderId="1" xfId="0" applyNumberFormat="1" applyFill="1" applyBorder="1" applyAlignment="1">
      <alignment horizontal="right"/>
    </xf>
    <xf numFmtId="0" fontId="0" fillId="0" borderId="1" xfId="0" applyBorder="1"/>
    <xf numFmtId="0" fontId="0" fillId="5" borderId="1" xfId="0" applyFill="1" applyBorder="1"/>
    <xf numFmtId="0" fontId="3" fillId="5" borderId="1" xfId="0" applyFont="1" applyFill="1" applyBorder="1"/>
    <xf numFmtId="0" fontId="0" fillId="5" borderId="1" xfId="0" applyFill="1" applyBorder="1" applyAlignment="1">
      <alignment horizontal="right"/>
    </xf>
    <xf numFmtId="3" fontId="0" fillId="5" borderId="1" xfId="0" applyNumberFormat="1" applyFill="1" applyBorder="1"/>
    <xf numFmtId="14" fontId="3" fillId="5" borderId="1" xfId="0" applyNumberFormat="1" applyFont="1" applyFill="1" applyBorder="1" applyAlignment="1">
      <alignment horizontal="right"/>
    </xf>
    <xf numFmtId="0" fontId="0" fillId="6" borderId="1" xfId="0" applyFill="1" applyBorder="1"/>
    <xf numFmtId="3" fontId="0" fillId="7" borderId="1" xfId="0" applyNumberFormat="1" applyFill="1" applyBorder="1"/>
    <xf numFmtId="14" fontId="0" fillId="0" borderId="0" xfId="0" applyNumberFormat="1" applyBorder="1" applyAlignment="1">
      <alignment horizontal="right"/>
    </xf>
    <xf numFmtId="0" fontId="0" fillId="0" borderId="0" xfId="0" applyBorder="1"/>
    <xf numFmtId="0" fontId="5" fillId="0" borderId="0" xfId="0" applyFont="1" applyBorder="1"/>
    <xf numFmtId="0" fontId="3" fillId="0" borderId="1" xfId="0" applyFont="1" applyBorder="1"/>
    <xf numFmtId="0" fontId="0" fillId="5" borderId="0" xfId="0" applyFill="1"/>
    <xf numFmtId="0" fontId="5" fillId="6" borderId="1" xfId="0" applyFont="1" applyFill="1" applyBorder="1" applyAlignment="1">
      <alignment horizontal="right"/>
    </xf>
    <xf numFmtId="0" fontId="5" fillId="6" borderId="1" xfId="0" applyFont="1" applyFill="1" applyBorder="1"/>
    <xf numFmtId="0" fontId="4" fillId="6" borderId="1" xfId="0" applyFont="1" applyFill="1" applyBorder="1"/>
    <xf numFmtId="0" fontId="4" fillId="0" borderId="0" xfId="0" applyFont="1" applyBorder="1"/>
    <xf numFmtId="3" fontId="0" fillId="0" borderId="1" xfId="0" applyNumberFormat="1" applyBorder="1"/>
    <xf numFmtId="0" fontId="0" fillId="8" borderId="1" xfId="0" applyFill="1" applyBorder="1"/>
    <xf numFmtId="0" fontId="3" fillId="0" borderId="0" xfId="0" applyFont="1" applyBorder="1"/>
    <xf numFmtId="0" fontId="2" fillId="9" borderId="1" xfId="0" applyFont="1" applyFill="1" applyBorder="1"/>
    <xf numFmtId="0" fontId="3" fillId="5" borderId="1" xfId="0" applyFont="1" applyFill="1" applyBorder="1" applyAlignment="1">
      <alignment readingOrder="2"/>
    </xf>
    <xf numFmtId="0" fontId="0" fillId="5" borderId="1" xfId="0" applyFill="1" applyBorder="1" applyAlignment="1">
      <alignment readingOrder="2"/>
    </xf>
    <xf numFmtId="0" fontId="3" fillId="11" borderId="1" xfId="0" applyFont="1" applyFill="1" applyBorder="1"/>
    <xf numFmtId="14" fontId="0" fillId="11" borderId="1" xfId="0" applyNumberFormat="1" applyFill="1" applyBorder="1" applyAlignment="1">
      <alignment horizontal="right"/>
    </xf>
    <xf numFmtId="0" fontId="0" fillId="11" borderId="1" xfId="0" applyFill="1" applyBorder="1"/>
    <xf numFmtId="0" fontId="3" fillId="11" borderId="1" xfId="0" applyFont="1" applyFill="1" applyBorder="1" applyAlignment="1">
      <alignment horizontal="right" readingOrder="2"/>
    </xf>
    <xf numFmtId="3" fontId="0" fillId="11" borderId="1" xfId="0" applyNumberFormat="1" applyFill="1" applyBorder="1"/>
    <xf numFmtId="0" fontId="0" fillId="0" borderId="4" xfId="0" applyBorder="1"/>
    <xf numFmtId="164" fontId="0" fillId="0" borderId="5" xfId="1" applyNumberFormat="1" applyFont="1" applyBorder="1"/>
    <xf numFmtId="0" fontId="0" fillId="0" borderId="4" xfId="0" applyBorder="1" applyAlignment="1">
      <alignment horizontal="right" readingOrder="2"/>
    </xf>
    <xf numFmtId="14" fontId="0" fillId="0" borderId="5" xfId="0" applyNumberFormat="1" applyBorder="1"/>
    <xf numFmtId="0" fontId="0" fillId="0" borderId="8" xfId="0" applyBorder="1"/>
    <xf numFmtId="0" fontId="0" fillId="0" borderId="7" xfId="0" applyBorder="1"/>
    <xf numFmtId="0" fontId="0" fillId="0" borderId="6" xfId="0" applyBorder="1" applyAlignment="1">
      <alignment horizontal="center" readingOrder="2"/>
    </xf>
    <xf numFmtId="0" fontId="0" fillId="0" borderId="9" xfId="0" applyBorder="1"/>
    <xf numFmtId="164" fontId="0" fillId="0" borderId="11" xfId="0" applyNumberFormat="1" applyBorder="1"/>
    <xf numFmtId="0" fontId="4" fillId="5" borderId="0" xfId="3" applyFont="1" applyFill="1" applyAlignment="1">
      <alignment horizontal="right"/>
    </xf>
    <xf numFmtId="0" fontId="4" fillId="3" borderId="1" xfId="3" applyFont="1" applyFill="1" applyBorder="1"/>
    <xf numFmtId="0" fontId="4" fillId="3" borderId="1" xfId="3" applyFont="1" applyFill="1" applyBorder="1" applyAlignment="1">
      <alignment horizontal="right"/>
    </xf>
    <xf numFmtId="14" fontId="4" fillId="5" borderId="1" xfId="3" applyNumberFormat="1" applyFont="1" applyFill="1" applyBorder="1" applyAlignment="1">
      <alignment horizontal="right"/>
    </xf>
    <xf numFmtId="0" fontId="9" fillId="5" borderId="12" xfId="0" applyFont="1" applyFill="1" applyBorder="1"/>
    <xf numFmtId="164" fontId="8" fillId="5" borderId="1" xfId="1" applyNumberFormat="1" applyFont="1" applyFill="1" applyBorder="1" applyAlignment="1">
      <alignment horizontal="right"/>
    </xf>
    <xf numFmtId="0" fontId="4" fillId="5" borderId="1" xfId="3" applyFont="1" applyFill="1" applyBorder="1"/>
    <xf numFmtId="0" fontId="4" fillId="5" borderId="1" xfId="3" applyFont="1" applyFill="1" applyBorder="1" applyAlignment="1">
      <alignment horizontal="right"/>
    </xf>
    <xf numFmtId="0" fontId="9" fillId="5" borderId="1" xfId="0" applyFont="1" applyFill="1" applyBorder="1"/>
    <xf numFmtId="14" fontId="4" fillId="12" borderId="1" xfId="3" applyNumberFormat="1" applyFont="1" applyFill="1" applyBorder="1"/>
    <xf numFmtId="0" fontId="4" fillId="12" borderId="1" xfId="3" applyFont="1" applyFill="1" applyBorder="1"/>
    <xf numFmtId="164" fontId="4" fillId="12" borderId="1" xfId="3" applyNumberFormat="1" applyFont="1" applyFill="1" applyBorder="1" applyAlignment="1">
      <alignment horizontal="right"/>
    </xf>
    <xf numFmtId="0" fontId="4" fillId="6" borderId="1" xfId="3" applyFont="1" applyFill="1" applyBorder="1"/>
    <xf numFmtId="0" fontId="10" fillId="6" borderId="1" xfId="3" applyFont="1" applyFill="1" applyBorder="1"/>
    <xf numFmtId="164" fontId="8" fillId="6" borderId="1" xfId="1" applyNumberFormat="1" applyFont="1" applyFill="1" applyBorder="1"/>
    <xf numFmtId="164" fontId="8" fillId="6" borderId="1" xfId="1" applyNumberFormat="1" applyFont="1" applyFill="1" applyBorder="1" applyAlignment="1">
      <alignment horizontal="right"/>
    </xf>
    <xf numFmtId="164" fontId="8" fillId="0" borderId="1" xfId="1" applyNumberFormat="1" applyFont="1" applyFill="1" applyBorder="1"/>
    <xf numFmtId="164" fontId="8" fillId="13" borderId="1" xfId="1" applyNumberFormat="1" applyFont="1" applyFill="1" applyBorder="1"/>
    <xf numFmtId="164" fontId="8" fillId="13" borderId="1" xfId="1" applyNumberFormat="1" applyFont="1" applyFill="1" applyBorder="1" applyAlignment="1">
      <alignment horizontal="right"/>
    </xf>
    <xf numFmtId="164" fontId="8" fillId="0" borderId="1" xfId="1" applyNumberFormat="1" applyFont="1" applyBorder="1"/>
    <xf numFmtId="0" fontId="2" fillId="14" borderId="0" xfId="0" applyFont="1" applyFill="1"/>
    <xf numFmtId="0" fontId="0" fillId="14" borderId="0" xfId="0" applyFill="1"/>
    <xf numFmtId="0" fontId="3" fillId="14" borderId="0" xfId="0" applyFont="1" applyFill="1"/>
    <xf numFmtId="0" fontId="4" fillId="14" borderId="0" xfId="3" applyFont="1" applyFill="1"/>
    <xf numFmtId="0" fontId="0" fillId="14" borderId="0" xfId="0" applyFill="1" applyAlignment="1">
      <alignment horizontal="right" readingOrder="2"/>
    </xf>
    <xf numFmtId="0" fontId="4" fillId="14" borderId="0" xfId="0" applyFont="1" applyFill="1"/>
    <xf numFmtId="0" fontId="0" fillId="14" borderId="0" xfId="0" applyFill="1" applyAlignment="1">
      <alignment horizontal="right"/>
    </xf>
    <xf numFmtId="0" fontId="1" fillId="0" borderId="0" xfId="0" applyFont="1" applyAlignment="1"/>
    <xf numFmtId="0" fontId="4" fillId="13" borderId="13" xfId="3" applyFont="1" applyFill="1" applyBorder="1"/>
    <xf numFmtId="0" fontId="7" fillId="10" borderId="13" xfId="2" applyBorder="1"/>
    <xf numFmtId="0" fontId="10" fillId="14" borderId="9" xfId="0" applyFont="1" applyFill="1" applyBorder="1"/>
    <xf numFmtId="164" fontId="10" fillId="14" borderId="11" xfId="0" applyNumberFormat="1" applyFont="1" applyFill="1" applyBorder="1"/>
    <xf numFmtId="0" fontId="4" fillId="5" borderId="1" xfId="3" applyFont="1" applyFill="1" applyBorder="1" applyAlignment="1">
      <alignment horizontal="right" readingOrder="2"/>
    </xf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4" fontId="4" fillId="12" borderId="1" xfId="3" applyNumberFormat="1" applyFont="1" applyFill="1" applyBorder="1"/>
    <xf numFmtId="0" fontId="4" fillId="0" borderId="0" xfId="0" applyFont="1" applyAlignment="1"/>
    <xf numFmtId="0" fontId="0" fillId="11" borderId="2" xfId="0" applyFill="1" applyBorder="1"/>
    <xf numFmtId="3" fontId="0" fillId="11" borderId="3" xfId="0" applyNumberFormat="1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3" fontId="0" fillId="11" borderId="7" xfId="0" applyNumberFormat="1" applyFill="1" applyBorder="1"/>
    <xf numFmtId="0" fontId="4" fillId="5" borderId="1" xfId="3" applyFont="1" applyFill="1" applyBorder="1" applyAlignment="1">
      <alignment readingOrder="2"/>
    </xf>
    <xf numFmtId="0" fontId="0" fillId="0" borderId="0" xfId="0" applyBorder="1" applyAlignment="1">
      <alignment horizontal="center" readingOrder="2"/>
    </xf>
    <xf numFmtId="164" fontId="0" fillId="0" borderId="0" xfId="1" applyNumberFormat="1" applyFont="1" applyBorder="1"/>
    <xf numFmtId="164" fontId="0" fillId="0" borderId="10" xfId="0" applyNumberFormat="1" applyBorder="1"/>
    <xf numFmtId="164" fontId="0" fillId="11" borderId="0" xfId="1" applyNumberFormat="1" applyFont="1" applyFill="1" applyBorder="1"/>
    <xf numFmtId="0" fontId="0" fillId="0" borderId="14" xfId="0" applyBorder="1" applyAlignment="1">
      <alignment horizontal="right" readingOrder="2"/>
    </xf>
    <xf numFmtId="0" fontId="0" fillId="11" borderId="15" xfId="0" applyFill="1" applyBorder="1" applyAlignment="1">
      <alignment horizontal="right" readingOrder="2"/>
    </xf>
    <xf numFmtId="0" fontId="0" fillId="0" borderId="15" xfId="0" applyBorder="1" applyAlignment="1">
      <alignment horizontal="right" readingOrder="2"/>
    </xf>
    <xf numFmtId="0" fontId="0" fillId="0" borderId="16" xfId="0" applyBorder="1" applyAlignment="1">
      <alignment horizontal="right" readingOrder="2"/>
    </xf>
    <xf numFmtId="0" fontId="11" fillId="15" borderId="0" xfId="0" applyFont="1" applyFill="1"/>
    <xf numFmtId="3" fontId="0" fillId="0" borderId="0" xfId="0" applyNumberFormat="1"/>
    <xf numFmtId="164" fontId="8" fillId="16" borderId="1" xfId="1" applyNumberFormat="1" applyFont="1" applyFill="1" applyBorder="1" applyAlignment="1">
      <alignment horizontal="right"/>
    </xf>
    <xf numFmtId="164" fontId="0" fillId="0" borderId="0" xfId="0" applyNumberFormat="1"/>
    <xf numFmtId="0" fontId="3" fillId="16" borderId="1" xfId="0" applyFont="1" applyFill="1" applyBorder="1"/>
    <xf numFmtId="3" fontId="9" fillId="16" borderId="12" xfId="0" applyNumberFormat="1" applyFont="1" applyFill="1" applyBorder="1"/>
    <xf numFmtId="0" fontId="4" fillId="3" borderId="17" xfId="0" applyFont="1" applyFill="1" applyBorder="1"/>
    <xf numFmtId="0" fontId="11" fillId="5" borderId="0" xfId="0" applyFont="1" applyFill="1"/>
    <xf numFmtId="0" fontId="12" fillId="5" borderId="12" xfId="0" applyFont="1" applyFill="1" applyBorder="1"/>
    <xf numFmtId="3" fontId="2" fillId="9" borderId="1" xfId="0" applyNumberFormat="1" applyFont="1" applyFill="1" applyBorder="1"/>
    <xf numFmtId="0" fontId="10" fillId="5" borderId="0" xfId="0" applyFont="1" applyFill="1" applyBorder="1"/>
    <xf numFmtId="164" fontId="10" fillId="5" borderId="0" xfId="0" applyNumberFormat="1" applyFont="1" applyFill="1" applyBorder="1"/>
    <xf numFmtId="3" fontId="0" fillId="5" borderId="0" xfId="0" applyNumberFormat="1" applyFill="1"/>
    <xf numFmtId="164" fontId="0" fillId="5" borderId="0" xfId="0" applyNumberFormat="1" applyFill="1"/>
    <xf numFmtId="164" fontId="0" fillId="0" borderId="0" xfId="0" applyNumberFormat="1" applyBorder="1"/>
    <xf numFmtId="0" fontId="3" fillId="5" borderId="1" xfId="0" applyFont="1" applyFill="1" applyBorder="1" applyAlignment="1">
      <alignment horizontal="right" readingOrder="2"/>
    </xf>
    <xf numFmtId="3" fontId="9" fillId="5" borderId="12" xfId="0" applyNumberFormat="1" applyFont="1" applyFill="1" applyBorder="1"/>
    <xf numFmtId="0" fontId="0" fillId="5" borderId="4" xfId="0" applyFill="1" applyBorder="1"/>
    <xf numFmtId="164" fontId="0" fillId="5" borderId="0" xfId="1" applyNumberFormat="1" applyFont="1" applyFill="1" applyBorder="1"/>
    <xf numFmtId="0" fontId="0" fillId="5" borderId="15" xfId="0" applyFill="1" applyBorder="1" applyAlignment="1">
      <alignment horizontal="right" readingOrder="2"/>
    </xf>
    <xf numFmtId="0" fontId="3" fillId="5" borderId="1" xfId="3" applyFont="1" applyFill="1" applyBorder="1"/>
    <xf numFmtId="0" fontId="13" fillId="5" borderId="12" xfId="0" applyFont="1" applyFill="1" applyBorder="1"/>
    <xf numFmtId="3" fontId="14" fillId="0" borderId="0" xfId="0" applyNumberFormat="1" applyFont="1"/>
    <xf numFmtId="0" fontId="14" fillId="0" borderId="0" xfId="0" applyFont="1"/>
    <xf numFmtId="164" fontId="15" fillId="0" borderId="0" xfId="0" applyNumberFormat="1" applyFont="1"/>
    <xf numFmtId="0" fontId="3" fillId="12" borderId="1" xfId="0" applyFont="1" applyFill="1" applyBorder="1"/>
    <xf numFmtId="0" fontId="12" fillId="15" borderId="12" xfId="0" applyFont="1" applyFill="1" applyBorder="1"/>
    <xf numFmtId="16" fontId="3" fillId="5" borderId="1" xfId="0" applyNumberFormat="1" applyFont="1" applyFill="1" applyBorder="1"/>
    <xf numFmtId="0" fontId="3" fillId="5" borderId="12" xfId="0" applyFont="1" applyFill="1" applyBorder="1"/>
    <xf numFmtId="3" fontId="3" fillId="5" borderId="1" xfId="0" applyNumberFormat="1" applyFont="1" applyFill="1" applyBorder="1"/>
    <xf numFmtId="3" fontId="12" fillId="5" borderId="12" xfId="0" applyNumberFormat="1" applyFont="1" applyFill="1" applyBorder="1"/>
    <xf numFmtId="3" fontId="4" fillId="6" borderId="1" xfId="0" applyNumberFormat="1" applyFont="1" applyFill="1" applyBorder="1"/>
    <xf numFmtId="3" fontId="12" fillId="15" borderId="12" xfId="0" applyNumberFormat="1" applyFont="1" applyFill="1" applyBorder="1"/>
    <xf numFmtId="0" fontId="3" fillId="5" borderId="0" xfId="3" applyFill="1"/>
    <xf numFmtId="14" fontId="4" fillId="6" borderId="1" xfId="3" applyNumberFormat="1" applyFont="1" applyFill="1" applyBorder="1"/>
    <xf numFmtId="0" fontId="18" fillId="0" borderId="0" xfId="0" applyFont="1" applyBorder="1"/>
    <xf numFmtId="0" fontId="18" fillId="0" borderId="0" xfId="0" applyFont="1" applyFill="1" applyBorder="1"/>
    <xf numFmtId="0" fontId="4" fillId="16" borderId="1" xfId="3" applyFont="1" applyFill="1" applyBorder="1"/>
    <xf numFmtId="0" fontId="10" fillId="16" borderId="1" xfId="3" applyFont="1" applyFill="1" applyBorder="1"/>
    <xf numFmtId="3" fontId="8" fillId="16" borderId="1" xfId="3" applyNumberFormat="1" applyFont="1" applyFill="1" applyBorder="1"/>
    <xf numFmtId="0" fontId="8" fillId="16" borderId="1" xfId="3" applyFont="1" applyFill="1" applyBorder="1"/>
    <xf numFmtId="0" fontId="4" fillId="6" borderId="13" xfId="3" applyFont="1" applyFill="1" applyBorder="1"/>
    <xf numFmtId="0" fontId="10" fillId="6" borderId="13" xfId="3" applyFont="1" applyFill="1" applyBorder="1"/>
    <xf numFmtId="3" fontId="8" fillId="6" borderId="1" xfId="3" applyNumberFormat="1" applyFont="1" applyFill="1" applyBorder="1"/>
    <xf numFmtId="0" fontId="19" fillId="6" borderId="1" xfId="3" applyFont="1" applyFill="1" applyBorder="1"/>
    <xf numFmtId="0" fontId="4" fillId="11" borderId="9" xfId="3" applyFont="1" applyFill="1" applyBorder="1"/>
    <xf numFmtId="3" fontId="10" fillId="11" borderId="18" xfId="3" applyNumberFormat="1" applyFont="1" applyFill="1" applyBorder="1"/>
    <xf numFmtId="0" fontId="20" fillId="5" borderId="0" xfId="3" applyFont="1" applyFill="1"/>
    <xf numFmtId="0" fontId="10" fillId="0" borderId="0" xfId="0" applyFont="1"/>
    <xf numFmtId="3" fontId="10" fillId="0" borderId="0" xfId="0" applyNumberFormat="1" applyFont="1"/>
    <xf numFmtId="0" fontId="3" fillId="14" borderId="0" xfId="3" applyFill="1"/>
    <xf numFmtId="0" fontId="16" fillId="14" borderId="0" xfId="3" applyFont="1" applyFill="1"/>
    <xf numFmtId="0" fontId="3" fillId="14" borderId="0" xfId="3" applyFont="1" applyFill="1"/>
    <xf numFmtId="14" fontId="3" fillId="14" borderId="0" xfId="3" applyNumberFormat="1" applyFill="1" applyAlignment="1">
      <alignment horizontal="right"/>
    </xf>
    <xf numFmtId="14" fontId="3" fillId="14" borderId="0" xfId="3" applyNumberFormat="1" applyFill="1"/>
    <xf numFmtId="0" fontId="17" fillId="14" borderId="0" xfId="3" applyFont="1" applyFill="1"/>
    <xf numFmtId="0" fontId="11" fillId="0" borderId="1" xfId="0" applyFont="1" applyBorder="1"/>
    <xf numFmtId="3" fontId="12" fillId="17" borderId="12" xfId="0" applyNumberFormat="1" applyFont="1" applyFill="1" applyBorder="1"/>
    <xf numFmtId="3" fontId="0" fillId="8" borderId="1" xfId="0" applyNumberFormat="1" applyFill="1" applyBorder="1"/>
    <xf numFmtId="3" fontId="3" fillId="18" borderId="1" xfId="0" applyNumberFormat="1" applyFont="1" applyFill="1" applyBorder="1"/>
    <xf numFmtId="3" fontId="12" fillId="18" borderId="12" xfId="0" applyNumberFormat="1" applyFont="1" applyFill="1" applyBorder="1"/>
    <xf numFmtId="3" fontId="0" fillId="18" borderId="1" xfId="0" applyNumberFormat="1" applyFill="1" applyBorder="1"/>
    <xf numFmtId="3" fontId="11" fillId="18" borderId="1" xfId="0" applyNumberFormat="1" applyFont="1" applyFill="1" applyBorder="1"/>
    <xf numFmtId="3" fontId="11" fillId="5" borderId="1" xfId="0" applyNumberFormat="1" applyFont="1" applyFill="1" applyBorder="1"/>
    <xf numFmtId="0" fontId="11" fillId="5" borderId="1" xfId="0" applyFont="1" applyFill="1" applyBorder="1"/>
    <xf numFmtId="0" fontId="4" fillId="15" borderId="19" xfId="3" applyFont="1" applyFill="1" applyBorder="1" applyAlignment="1">
      <alignment horizontal="center"/>
    </xf>
    <xf numFmtId="0" fontId="4" fillId="15" borderId="20" xfId="3" applyFont="1" applyFill="1" applyBorder="1" applyAlignment="1">
      <alignment horizontal="center"/>
    </xf>
    <xf numFmtId="0" fontId="4" fillId="15" borderId="12" xfId="3" applyFont="1" applyFill="1" applyBorder="1" applyAlignment="1">
      <alignment horizontal="center"/>
    </xf>
    <xf numFmtId="0" fontId="3" fillId="15" borderId="1" xfId="3" applyFont="1" applyFill="1" applyBorder="1"/>
    <xf numFmtId="0" fontId="4" fillId="0" borderId="1" xfId="3" applyFont="1" applyBorder="1" applyAlignment="1">
      <alignment vertical="top" wrapText="1"/>
    </xf>
    <xf numFmtId="0" fontId="4" fillId="0" borderId="1" xfId="3" applyFont="1" applyBorder="1"/>
    <xf numFmtId="0" fontId="3" fillId="5" borderId="1" xfId="3" applyFont="1" applyFill="1" applyBorder="1" applyAlignment="1">
      <alignment horizontal="right"/>
    </xf>
    <xf numFmtId="164" fontId="3" fillId="5" borderId="1" xfId="1" applyNumberFormat="1" applyFont="1" applyFill="1" applyBorder="1"/>
    <xf numFmtId="0" fontId="4" fillId="9" borderId="1" xfId="3" applyFont="1" applyFill="1" applyBorder="1"/>
    <xf numFmtId="164" fontId="4" fillId="4" borderId="1" xfId="1" applyNumberFormat="1" applyFont="1" applyFill="1" applyBorder="1"/>
    <xf numFmtId="164" fontId="4" fillId="9" borderId="1" xfId="1" applyNumberFormat="1" applyFont="1" applyFill="1" applyBorder="1"/>
    <xf numFmtId="0" fontId="3" fillId="0" borderId="1" xfId="3" applyFont="1" applyBorder="1"/>
    <xf numFmtId="0" fontId="3" fillId="0" borderId="0" xfId="3" applyFont="1"/>
    <xf numFmtId="0" fontId="3" fillId="0" borderId="0" xfId="3"/>
    <xf numFmtId="0" fontId="4" fillId="15" borderId="1" xfId="3" applyFont="1" applyFill="1" applyBorder="1" applyAlignment="1">
      <alignment horizontal="center"/>
    </xf>
    <xf numFmtId="0" fontId="21" fillId="0" borderId="1" xfId="3" applyFont="1" applyBorder="1" applyAlignment="1">
      <alignment vertical="top" wrapText="1"/>
    </xf>
    <xf numFmtId="3" fontId="4" fillId="4" borderId="1" xfId="3" applyNumberFormat="1" applyFont="1" applyFill="1" applyBorder="1"/>
    <xf numFmtId="0" fontId="4" fillId="0" borderId="1" xfId="3" applyFont="1" applyFill="1" applyBorder="1" applyAlignment="1">
      <alignment vertical="top" wrapText="1"/>
    </xf>
    <xf numFmtId="3" fontId="4" fillId="0" borderId="1" xfId="3" applyNumberFormat="1" applyFont="1" applyBorder="1"/>
    <xf numFmtId="0" fontId="19" fillId="0" borderId="0" xfId="0" applyFont="1"/>
    <xf numFmtId="3" fontId="4" fillId="6" borderId="1" xfId="3" applyNumberFormat="1" applyFont="1" applyFill="1" applyBorder="1"/>
    <xf numFmtId="0" fontId="19" fillId="0" borderId="1" xfId="0" applyFont="1" applyBorder="1"/>
    <xf numFmtId="3" fontId="19" fillId="0" borderId="1" xfId="0" applyNumberFormat="1" applyFont="1" applyBorder="1"/>
    <xf numFmtId="0" fontId="11" fillId="5" borderId="0" xfId="3" applyFont="1" applyFill="1"/>
    <xf numFmtId="3" fontId="4" fillId="5" borderId="1" xfId="3" applyNumberFormat="1" applyFont="1" applyFill="1" applyBorder="1"/>
    <xf numFmtId="0" fontId="4" fillId="5" borderId="0" xfId="3" applyFont="1" applyFill="1"/>
    <xf numFmtId="3" fontId="3" fillId="5" borderId="0" xfId="3" applyNumberFormat="1" applyFill="1" applyBorder="1"/>
    <xf numFmtId="4" fontId="3" fillId="5" borderId="0" xfId="3" applyNumberFormat="1" applyFill="1" applyBorder="1"/>
    <xf numFmtId="0" fontId="4" fillId="19" borderId="19" xfId="3" applyFont="1" applyFill="1" applyBorder="1" applyAlignment="1">
      <alignment horizontal="center"/>
    </xf>
    <xf numFmtId="0" fontId="4" fillId="19" borderId="20" xfId="3" applyFont="1" applyFill="1" applyBorder="1" applyAlignment="1">
      <alignment horizontal="center"/>
    </xf>
    <xf numFmtId="0" fontId="4" fillId="19" borderId="12" xfId="3" applyFont="1" applyFill="1" applyBorder="1" applyAlignment="1">
      <alignment horizontal="center"/>
    </xf>
    <xf numFmtId="0" fontId="3" fillId="19" borderId="1" xfId="3" applyFont="1" applyFill="1" applyBorder="1"/>
    <xf numFmtId="0" fontId="4" fillId="15" borderId="1" xfId="3" applyFont="1" applyFill="1" applyBorder="1" applyAlignment="1">
      <alignment vertical="top" wrapText="1"/>
    </xf>
    <xf numFmtId="0" fontId="4" fillId="15" borderId="1" xfId="3" applyFont="1" applyFill="1" applyBorder="1"/>
    <xf numFmtId="0" fontId="4" fillId="5" borderId="1" xfId="3" applyFont="1" applyFill="1" applyBorder="1" applyAlignment="1">
      <alignment horizontal="center"/>
    </xf>
    <xf numFmtId="0" fontId="3" fillId="5" borderId="0" xfId="3" applyFont="1" applyFill="1"/>
    <xf numFmtId="0" fontId="21" fillId="5" borderId="1" xfId="3" applyFont="1" applyFill="1" applyBorder="1" applyAlignment="1">
      <alignment vertical="top" wrapText="1"/>
    </xf>
    <xf numFmtId="0" fontId="4" fillId="5" borderId="1" xfId="3" applyFont="1" applyFill="1" applyBorder="1" applyAlignment="1">
      <alignment vertical="top" wrapText="1"/>
    </xf>
    <xf numFmtId="0" fontId="3" fillId="5" borderId="1" xfId="3" applyFill="1" applyBorder="1"/>
    <xf numFmtId="0" fontId="11" fillId="0" borderId="0" xfId="0" applyFont="1"/>
    <xf numFmtId="0" fontId="22" fillId="0" borderId="0" xfId="0" applyFont="1"/>
    <xf numFmtId="0" fontId="4" fillId="11" borderId="1" xfId="3" applyFont="1" applyFill="1" applyBorder="1"/>
    <xf numFmtId="14" fontId="4" fillId="11" borderId="1" xfId="3" applyNumberFormat="1" applyFont="1" applyFill="1" applyBorder="1"/>
    <xf numFmtId="3" fontId="4" fillId="11" borderId="1" xfId="3" applyNumberFormat="1" applyFont="1" applyFill="1" applyBorder="1"/>
    <xf numFmtId="0" fontId="4" fillId="11" borderId="13" xfId="3" applyFont="1" applyFill="1" applyBorder="1"/>
    <xf numFmtId="0" fontId="10" fillId="11" borderId="13" xfId="3" applyFont="1" applyFill="1" applyBorder="1"/>
    <xf numFmtId="3" fontId="8" fillId="11" borderId="1" xfId="3" applyNumberFormat="1" applyFont="1" applyFill="1" applyBorder="1"/>
    <xf numFmtId="0" fontId="19" fillId="11" borderId="1" xfId="3" applyFont="1" applyFill="1" applyBorder="1"/>
    <xf numFmtId="0" fontId="4" fillId="7" borderId="9" xfId="3" applyFont="1" applyFill="1" applyBorder="1"/>
    <xf numFmtId="3" fontId="10" fillId="7" borderId="18" xfId="3" applyNumberFormat="1" applyFont="1" applyFill="1" applyBorder="1"/>
    <xf numFmtId="0" fontId="23" fillId="5" borderId="12" xfId="0" applyFont="1" applyFill="1" applyBorder="1"/>
    <xf numFmtId="3" fontId="23" fillId="5" borderId="12" xfId="0" applyNumberFormat="1" applyFont="1" applyFill="1" applyBorder="1"/>
    <xf numFmtId="0" fontId="22" fillId="5" borderId="1" xfId="3" applyFont="1" applyFill="1" applyBorder="1"/>
    <xf numFmtId="14" fontId="3" fillId="5" borderId="1" xfId="3" applyNumberFormat="1" applyFont="1" applyFill="1" applyBorder="1" applyAlignment="1">
      <alignment horizontal="right"/>
    </xf>
    <xf numFmtId="3" fontId="3" fillId="5" borderId="1" xfId="3" applyNumberFormat="1" applyFont="1" applyFill="1" applyBorder="1"/>
    <xf numFmtId="0" fontId="0" fillId="0" borderId="23" xfId="0" applyBorder="1"/>
    <xf numFmtId="3" fontId="0" fillId="0" borderId="23" xfId="0" applyNumberFormat="1" applyBorder="1"/>
    <xf numFmtId="0" fontId="0" fillId="20" borderId="22" xfId="0" applyFill="1" applyBorder="1" applyAlignment="1">
      <alignment horizontal="center"/>
    </xf>
    <xf numFmtId="0" fontId="0" fillId="17" borderId="24" xfId="0" applyFill="1" applyBorder="1" applyAlignment="1">
      <alignment horizontal="center"/>
    </xf>
    <xf numFmtId="0" fontId="0" fillId="14" borderId="24" xfId="0" applyFill="1" applyBorder="1"/>
    <xf numFmtId="0" fontId="0" fillId="20" borderId="24" xfId="0" applyFill="1" applyBorder="1" applyAlignment="1">
      <alignment horizontal="center"/>
    </xf>
    <xf numFmtId="1" fontId="4" fillId="11" borderId="1" xfId="3" applyNumberFormat="1" applyFont="1" applyFill="1" applyBorder="1"/>
    <xf numFmtId="1" fontId="19" fillId="0" borderId="1" xfId="0" applyNumberFormat="1" applyFont="1" applyBorder="1"/>
    <xf numFmtId="1" fontId="3" fillId="5" borderId="1" xfId="3" applyNumberFormat="1" applyFont="1" applyFill="1" applyBorder="1"/>
    <xf numFmtId="0" fontId="24" fillId="0" borderId="0" xfId="0" applyFont="1"/>
    <xf numFmtId="0" fontId="10" fillId="0" borderId="1" xfId="0" applyFont="1" applyBorder="1"/>
    <xf numFmtId="3" fontId="10" fillId="0" borderId="1" xfId="0" applyNumberFormat="1" applyFont="1" applyBorder="1"/>
    <xf numFmtId="0" fontId="8" fillId="0" borderId="1" xfId="0" applyFont="1" applyBorder="1"/>
    <xf numFmtId="0" fontId="3" fillId="5" borderId="0" xfId="3" applyFont="1" applyFill="1" applyBorder="1"/>
    <xf numFmtId="0" fontId="3" fillId="19" borderId="0" xfId="3" applyFont="1" applyFill="1" applyBorder="1"/>
    <xf numFmtId="0" fontId="4" fillId="15" borderId="0" xfId="3" applyFont="1" applyFill="1" applyBorder="1"/>
    <xf numFmtId="3" fontId="12" fillId="21" borderId="12" xfId="0" applyNumberFormat="1" applyFont="1" applyFill="1" applyBorder="1"/>
    <xf numFmtId="3" fontId="0" fillId="21" borderId="1" xfId="0" applyNumberFormat="1" applyFill="1" applyBorder="1"/>
    <xf numFmtId="3" fontId="23" fillId="21" borderId="12" xfId="0" applyNumberFormat="1" applyFont="1" applyFill="1" applyBorder="1"/>
    <xf numFmtId="3" fontId="11" fillId="21" borderId="1" xfId="0" applyNumberFormat="1" applyFont="1" applyFill="1" applyBorder="1"/>
    <xf numFmtId="3" fontId="3" fillId="21" borderId="1" xfId="0" applyNumberFormat="1" applyFont="1" applyFill="1" applyBorder="1"/>
    <xf numFmtId="3" fontId="19" fillId="21" borderId="1" xfId="0" applyNumberFormat="1" applyFont="1" applyFill="1" applyBorder="1"/>
    <xf numFmtId="3" fontId="3" fillId="5" borderId="21" xfId="0" applyNumberFormat="1" applyFont="1" applyFill="1" applyBorder="1"/>
    <xf numFmtId="14" fontId="0" fillId="0" borderId="1" xfId="0" applyNumberFormat="1" applyBorder="1"/>
    <xf numFmtId="0" fontId="4" fillId="22" borderId="0" xfId="3" applyFont="1" applyFill="1"/>
    <xf numFmtId="0" fontId="0" fillId="22" borderId="0" xfId="3" applyFont="1" applyFill="1"/>
    <xf numFmtId="0" fontId="3" fillId="22" borderId="0" xfId="3" applyFill="1"/>
    <xf numFmtId="0" fontId="6" fillId="22" borderId="0" xfId="3" applyFont="1" applyFill="1"/>
    <xf numFmtId="0" fontId="3" fillId="22" borderId="0" xfId="3" applyFont="1" applyFill="1"/>
    <xf numFmtId="14" fontId="6" fillId="22" borderId="0" xfId="3" applyNumberFormat="1" applyFont="1" applyFill="1" applyAlignment="1">
      <alignment horizontal="right"/>
    </xf>
    <xf numFmtId="14" fontId="6" fillId="22" borderId="0" xfId="3" applyNumberFormat="1" applyFont="1" applyFill="1"/>
    <xf numFmtId="14" fontId="17" fillId="0" borderId="0" xfId="3" applyNumberFormat="1" applyFont="1"/>
    <xf numFmtId="0" fontId="17" fillId="0" borderId="0" xfId="3" applyFont="1"/>
    <xf numFmtId="0" fontId="12" fillId="5" borderId="1" xfId="0" applyFont="1" applyFill="1" applyBorder="1"/>
    <xf numFmtId="3" fontId="3" fillId="5" borderId="1" xfId="3" applyNumberFormat="1" applyFill="1" applyBorder="1"/>
    <xf numFmtId="3" fontId="4" fillId="12" borderId="1" xfId="3" applyNumberFormat="1" applyFont="1" applyFill="1" applyBorder="1"/>
    <xf numFmtId="164" fontId="8" fillId="6" borderId="25" xfId="1" applyNumberFormat="1" applyFont="1" applyFill="1" applyBorder="1"/>
    <xf numFmtId="0" fontId="4" fillId="13" borderId="1" xfId="3" applyFont="1" applyFill="1" applyBorder="1"/>
    <xf numFmtId="0" fontId="10" fillId="0" borderId="1" xfId="3" applyFont="1" applyFill="1" applyBorder="1"/>
    <xf numFmtId="0" fontId="4" fillId="23" borderId="0" xfId="3" applyFont="1" applyFill="1"/>
    <xf numFmtId="165" fontId="4" fillId="23" borderId="0" xfId="1" applyNumberFormat="1" applyFont="1" applyFill="1"/>
    <xf numFmtId="0" fontId="27" fillId="0" borderId="0" xfId="3" applyFont="1"/>
    <xf numFmtId="0" fontId="20" fillId="0" borderId="0" xfId="3" applyFont="1"/>
    <xf numFmtId="4" fontId="3" fillId="0" borderId="0" xfId="3" applyNumberFormat="1" applyBorder="1"/>
    <xf numFmtId="0" fontId="0" fillId="17" borderId="24" xfId="0" applyFill="1" applyBorder="1" applyAlignment="1">
      <alignment horizontal="center" wrapText="1"/>
    </xf>
    <xf numFmtId="3" fontId="19" fillId="5" borderId="1" xfId="3" applyNumberFormat="1" applyFont="1" applyFill="1" applyBorder="1"/>
    <xf numFmtId="3" fontId="12" fillId="5" borderId="1" xfId="0" applyNumberFormat="1" applyFont="1" applyFill="1" applyBorder="1"/>
    <xf numFmtId="14" fontId="0" fillId="15" borderId="1" xfId="0" applyNumberFormat="1" applyFill="1" applyBorder="1"/>
    <xf numFmtId="0" fontId="30" fillId="0" borderId="0" xfId="0" applyFont="1"/>
    <xf numFmtId="14" fontId="0" fillId="0" borderId="0" xfId="0" applyNumberFormat="1"/>
    <xf numFmtId="3" fontId="8" fillId="2" borderId="1" xfId="3" applyNumberFormat="1" applyFont="1" applyFill="1" applyBorder="1"/>
    <xf numFmtId="3" fontId="19" fillId="24" borderId="1" xfId="3" applyNumberFormat="1" applyFont="1" applyFill="1" applyBorder="1"/>
    <xf numFmtId="3" fontId="12" fillId="24" borderId="1" xfId="0" applyNumberFormat="1" applyFont="1" applyFill="1" applyBorder="1"/>
    <xf numFmtId="164" fontId="3" fillId="24" borderId="1" xfId="1" applyNumberFormat="1" applyFont="1" applyFill="1" applyBorder="1"/>
    <xf numFmtId="3" fontId="0" fillId="24" borderId="1" xfId="0" applyNumberFormat="1" applyFill="1" applyBorder="1"/>
    <xf numFmtId="3" fontId="12" fillId="24" borderId="12" xfId="0" applyNumberFormat="1" applyFont="1" applyFill="1" applyBorder="1"/>
    <xf numFmtId="0" fontId="11" fillId="24" borderId="1" xfId="0" applyFont="1" applyFill="1" applyBorder="1"/>
    <xf numFmtId="3" fontId="19" fillId="24" borderId="1" xfId="0" applyNumberFormat="1" applyFont="1" applyFill="1" applyBorder="1"/>
    <xf numFmtId="3" fontId="23" fillId="24" borderId="12" xfId="0" applyNumberFormat="1" applyFont="1" applyFill="1" applyBorder="1"/>
    <xf numFmtId="3" fontId="11" fillId="24" borderId="1" xfId="0" applyNumberFormat="1" applyFont="1" applyFill="1" applyBorder="1"/>
    <xf numFmtId="14" fontId="11" fillId="5" borderId="1" xfId="0" applyNumberFormat="1" applyFont="1" applyFill="1" applyBorder="1" applyAlignment="1">
      <alignment horizontal="right"/>
    </xf>
    <xf numFmtId="0" fontId="22" fillId="5" borderId="1" xfId="0" applyFont="1" applyFill="1" applyBorder="1"/>
    <xf numFmtId="0" fontId="11" fillId="5" borderId="1" xfId="0" applyFont="1" applyFill="1" applyBorder="1" applyAlignment="1">
      <alignment horizontal="right"/>
    </xf>
    <xf numFmtId="16" fontId="22" fillId="5" borderId="1" xfId="0" applyNumberFormat="1" applyFont="1" applyFill="1" applyBorder="1"/>
    <xf numFmtId="3" fontId="3" fillId="24" borderId="1" xfId="3" applyNumberFormat="1" applyFont="1" applyFill="1" applyBorder="1"/>
    <xf numFmtId="3" fontId="4" fillId="24" borderId="1" xfId="3" applyNumberFormat="1" applyFont="1" applyFill="1" applyBorder="1"/>
    <xf numFmtId="3" fontId="19" fillId="5" borderId="1" xfId="0" applyNumberFormat="1" applyFont="1" applyFill="1" applyBorder="1"/>
    <xf numFmtId="0" fontId="31" fillId="24" borderId="0" xfId="0" applyFont="1" applyFill="1"/>
    <xf numFmtId="0" fontId="0" fillId="25" borderId="0" xfId="0" applyFill="1"/>
    <xf numFmtId="0" fontId="32" fillId="25" borderId="0" xfId="0" applyFont="1" applyFill="1" applyAlignment="1">
      <alignment horizontal="right" vertical="center" readingOrder="2"/>
    </xf>
    <xf numFmtId="14" fontId="0" fillId="5" borderId="1" xfId="0" applyNumberFormat="1" applyFill="1" applyBorder="1"/>
    <xf numFmtId="3" fontId="3" fillId="0" borderId="1" xfId="0" applyNumberFormat="1" applyFont="1" applyFill="1" applyBorder="1"/>
    <xf numFmtId="3" fontId="3" fillId="0" borderId="1" xfId="3" applyNumberFormat="1" applyFont="1" applyFill="1" applyBorder="1"/>
    <xf numFmtId="3" fontId="3" fillId="15" borderId="1" xfId="3" applyNumberFormat="1" applyFont="1" applyFill="1" applyBorder="1"/>
    <xf numFmtId="3" fontId="3" fillId="26" borderId="1" xfId="0" applyNumberFormat="1" applyFont="1" applyFill="1" applyBorder="1"/>
    <xf numFmtId="3" fontId="3" fillId="26" borderId="1" xfId="3" applyNumberFormat="1" applyFont="1" applyFill="1" applyBorder="1"/>
    <xf numFmtId="3" fontId="19" fillId="15" borderId="1" xfId="0" applyNumberFormat="1" applyFont="1" applyFill="1" applyBorder="1"/>
    <xf numFmtId="3" fontId="18" fillId="0" borderId="0" xfId="0" applyNumberFormat="1" applyFont="1" applyBorder="1"/>
    <xf numFmtId="3" fontId="19" fillId="2" borderId="1" xfId="0" applyNumberFormat="1" applyFont="1" applyFill="1" applyBorder="1"/>
    <xf numFmtId="0" fontId="0" fillId="2" borderId="0" xfId="0" applyFill="1"/>
    <xf numFmtId="0" fontId="0" fillId="9" borderId="0" xfId="0" applyFill="1"/>
    <xf numFmtId="0" fontId="0" fillId="9" borderId="26" xfId="0" applyFill="1" applyBorder="1" applyAlignment="1">
      <alignment horizontal="center"/>
    </xf>
    <xf numFmtId="0" fontId="19" fillId="2" borderId="1" xfId="0" applyFont="1" applyFill="1" applyBorder="1"/>
    <xf numFmtId="1" fontId="19" fillId="2" borderId="1" xfId="0" applyNumberFormat="1" applyFont="1" applyFill="1" applyBorder="1"/>
    <xf numFmtId="0" fontId="19" fillId="2" borderId="0" xfId="0" applyFont="1" applyFill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">
    <cellStyle name="Comma" xfId="1" builtinId="3"/>
    <cellStyle name="Normal" xfId="0" builtinId="0"/>
    <cellStyle name="Normal 2" xfId="3"/>
    <cellStyle name="טוב" xfId="2" builtinId="26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3"/>
  <sheetViews>
    <sheetView rightToLeft="1" workbookViewId="0">
      <selection activeCell="A5" sqref="A5"/>
    </sheetView>
  </sheetViews>
  <sheetFormatPr defaultRowHeight="14.25" x14ac:dyDescent="0.2"/>
  <cols>
    <col min="1" max="1" width="30.125" customWidth="1"/>
    <col min="2" max="4" width="17.125" customWidth="1"/>
    <col min="6" max="6" width="11.875" bestFit="1" customWidth="1"/>
    <col min="10" max="10" width="2.25" customWidth="1"/>
    <col min="12" max="12" width="14.125" customWidth="1"/>
    <col min="13" max="13" width="12.375" customWidth="1"/>
    <col min="14" max="14" width="12.5" customWidth="1"/>
    <col min="15" max="15" width="12" customWidth="1"/>
    <col min="19" max="19" width="16.375" customWidth="1"/>
  </cols>
  <sheetData>
    <row r="3" spans="1:19" ht="15" thickBot="1" x14ac:dyDescent="0.25">
      <c r="S3" s="268">
        <f ca="1">TODAY()</f>
        <v>44115</v>
      </c>
    </row>
    <row r="4" spans="1:19" ht="29.25" thickBot="1" x14ac:dyDescent="0.25">
      <c r="A4" s="221" t="s">
        <v>658</v>
      </c>
      <c r="B4" s="221" t="s">
        <v>67</v>
      </c>
      <c r="C4" s="221" t="s">
        <v>47</v>
      </c>
      <c r="D4" s="221" t="s">
        <v>265</v>
      </c>
      <c r="E4" s="221" t="s">
        <v>49</v>
      </c>
      <c r="F4" s="221" t="s">
        <v>394</v>
      </c>
      <c r="G4" s="221" t="s">
        <v>683</v>
      </c>
      <c r="H4" s="221" t="s">
        <v>641</v>
      </c>
      <c r="I4" s="224" t="s">
        <v>87</v>
      </c>
      <c r="K4" s="224" t="s">
        <v>65</v>
      </c>
      <c r="L4" s="300" t="s">
        <v>1201</v>
      </c>
      <c r="M4" s="263" t="s">
        <v>687</v>
      </c>
      <c r="N4" s="222" t="s">
        <v>685</v>
      </c>
      <c r="O4" s="222" t="s">
        <v>686</v>
      </c>
      <c r="Q4" s="223" t="s">
        <v>688</v>
      </c>
    </row>
    <row r="5" spans="1:19" x14ac:dyDescent="0.2">
      <c r="A5" s="219" t="s">
        <v>682</v>
      </c>
      <c r="B5" s="220">
        <f>'מ. המדע - ירגזים כמדבירים'!C100</f>
        <v>9.9999999998544808E-2</v>
      </c>
      <c r="C5" s="220">
        <f>'מ. המדע - ירגזים כמדבירים'!D100</f>
        <v>20.854999999999563</v>
      </c>
      <c r="D5" s="220">
        <f>'מ. המדע - ירגזים כמדבירים'!E100</f>
        <v>1753</v>
      </c>
      <c r="E5" s="220">
        <f>'מ. המדע - ירגזים כמדבירים'!F100</f>
        <v>-1974.7800000000007</v>
      </c>
      <c r="F5" s="219"/>
      <c r="G5" s="219">
        <f>'מ. המדע - ירגזים כמדבירים'!G99</f>
        <v>500</v>
      </c>
      <c r="H5" s="220">
        <f>'מ. המדע - ירגזים כמדבירים'!H99</f>
        <v>457</v>
      </c>
      <c r="I5" s="27"/>
      <c r="K5" s="27">
        <f>SUM(B5:H5)</f>
        <v>756.17499999999745</v>
      </c>
      <c r="M5" s="242">
        <v>43951</v>
      </c>
      <c r="N5" s="266">
        <v>44104</v>
      </c>
      <c r="O5" s="242">
        <v>44135</v>
      </c>
      <c r="Q5" s="10"/>
      <c r="S5" s="268"/>
    </row>
    <row r="6" spans="1:19" x14ac:dyDescent="0.2">
      <c r="A6" s="219" t="s">
        <v>771</v>
      </c>
      <c r="B6" s="220">
        <f>'מ. המדע - ירגזים כמדבירים'!C27</f>
        <v>162.44999999999709</v>
      </c>
      <c r="C6" s="220">
        <f>'מ. המדע - ירגזים כמדבירים'!D27</f>
        <v>-759.95000000000073</v>
      </c>
      <c r="D6" s="220">
        <f>'מ. המדע - ירגזים כמדבירים'!E27</f>
        <v>4000</v>
      </c>
      <c r="E6" s="220">
        <f>'מ. המדע - ירגזים כמדבירים'!F27</f>
        <v>19538.7</v>
      </c>
      <c r="F6" s="219"/>
      <c r="G6" s="219"/>
      <c r="H6" s="220"/>
      <c r="I6" s="27"/>
      <c r="K6" s="27">
        <f>SUM(B6:H6)</f>
        <v>22941.199999999997</v>
      </c>
      <c r="M6" s="242"/>
      <c r="N6" s="242">
        <v>44469</v>
      </c>
      <c r="O6" s="242">
        <v>44439</v>
      </c>
      <c r="Q6" s="10"/>
    </row>
    <row r="7" spans="1:19" x14ac:dyDescent="0.2">
      <c r="A7" s="10" t="s">
        <v>715</v>
      </c>
      <c r="B7" s="27">
        <f>'מ. החקלאות - נזקי נברנים'!C99</f>
        <v>-625.34000000000378</v>
      </c>
      <c r="C7" s="27">
        <f>'מ. החקלאות - נזקי נברנים'!D99</f>
        <v>-374.14249999999993</v>
      </c>
      <c r="D7" s="10"/>
      <c r="E7" s="27">
        <f>'מ. החקלאות - נזקי נברנים'!E99</f>
        <v>34.56000000000131</v>
      </c>
      <c r="F7" s="27">
        <f>'מ. החקלאות - נזקי נברנים'!F99</f>
        <v>316</v>
      </c>
      <c r="G7" s="10"/>
      <c r="H7" s="10"/>
      <c r="I7" s="10">
        <v>52000</v>
      </c>
      <c r="K7" s="27">
        <f>SUM(B7:H7)</f>
        <v>-648.9225000000024</v>
      </c>
      <c r="M7" s="242">
        <v>44048</v>
      </c>
      <c r="N7" s="266">
        <v>44108</v>
      </c>
      <c r="O7" s="242">
        <v>44108</v>
      </c>
      <c r="Q7" s="10"/>
    </row>
    <row r="8" spans="1:19" x14ac:dyDescent="0.2">
      <c r="A8" s="10" t="s">
        <v>716</v>
      </c>
      <c r="B8" s="27">
        <f>'מ. החקלאות - נזקי נברנים'!C21</f>
        <v>-292.65000000000146</v>
      </c>
      <c r="C8" s="27">
        <f>'מ. החקלאות - נזקי נברנים'!D21</f>
        <v>0</v>
      </c>
      <c r="D8" s="10"/>
      <c r="E8" s="27">
        <f>'מ. החקלאות - נזקי נברנים'!E20</f>
        <v>19957</v>
      </c>
      <c r="F8" s="27">
        <f>'מ. החקלאות - נזקי נברנים'!F21</f>
        <v>2000</v>
      </c>
      <c r="G8" s="10"/>
      <c r="H8" s="10"/>
      <c r="I8" s="10">
        <v>52000</v>
      </c>
      <c r="K8" s="27">
        <f>SUM(B8:H8)</f>
        <v>21664.35</v>
      </c>
      <c r="M8" s="242">
        <v>44413</v>
      </c>
      <c r="N8" s="242">
        <v>44473</v>
      </c>
      <c r="O8" s="242">
        <v>44473</v>
      </c>
      <c r="Q8" s="10"/>
    </row>
    <row r="9" spans="1:19" x14ac:dyDescent="0.2">
      <c r="A9" s="10" t="s">
        <v>717</v>
      </c>
      <c r="B9" s="27"/>
      <c r="C9" s="27"/>
      <c r="D9" s="10"/>
      <c r="E9" s="27"/>
      <c r="F9" s="27"/>
      <c r="G9" s="10"/>
      <c r="H9" s="10"/>
      <c r="I9" s="10">
        <v>52000</v>
      </c>
      <c r="K9" s="27"/>
      <c r="M9" s="10"/>
      <c r="N9" s="242">
        <v>44838</v>
      </c>
      <c r="O9" s="242">
        <v>44838</v>
      </c>
      <c r="Q9" s="10"/>
    </row>
    <row r="10" spans="1:19" x14ac:dyDescent="0.2">
      <c r="A10" s="10" t="s">
        <v>1198</v>
      </c>
      <c r="B10" s="27">
        <f>'קקל - תנשמות בישראל'!C117</f>
        <v>886.63000000000466</v>
      </c>
      <c r="C10" s="27">
        <f>'קקל - תנשמות בישראל'!F117</f>
        <v>-244.1200000000008</v>
      </c>
      <c r="D10" s="27">
        <f>'קקל - תנשמות בישראל'!D117</f>
        <v>15</v>
      </c>
      <c r="E10" s="27">
        <f>'קקל - תנשמות בישראל'!E117</f>
        <v>-641.44999999999982</v>
      </c>
      <c r="F10" s="10"/>
      <c r="G10" s="10"/>
      <c r="H10" s="10"/>
      <c r="I10" s="10"/>
      <c r="K10" s="27">
        <f>SUM(B10:H10)</f>
        <v>16.060000000004038</v>
      </c>
      <c r="M10" s="10"/>
      <c r="N10" s="289">
        <v>43861</v>
      </c>
      <c r="O10" s="242">
        <v>43921</v>
      </c>
      <c r="Q10" s="10"/>
    </row>
    <row r="11" spans="1:19" x14ac:dyDescent="0.2">
      <c r="A11" s="10" t="s">
        <v>1195</v>
      </c>
      <c r="B11" s="27">
        <f>'קקל - תנשמות בישראל'!C76</f>
        <v>-334.98999999999796</v>
      </c>
      <c r="C11" s="27">
        <f>'קקל - תנשמות בישראל'!F76</f>
        <v>-250.81999999999971</v>
      </c>
      <c r="D11" s="27">
        <f>'קקל - תנשמות בישראל'!D76</f>
        <v>-1606.5400000000009</v>
      </c>
      <c r="E11" s="27">
        <f>'קקל - תנשמות בישראל'!E76</f>
        <v>-134.44999999999982</v>
      </c>
      <c r="F11" s="10"/>
      <c r="G11" s="10"/>
      <c r="H11" s="10"/>
      <c r="I11" s="10"/>
      <c r="K11" s="27">
        <f>SUM(B11:H11)</f>
        <v>-2326.7999999999984</v>
      </c>
      <c r="M11" s="10"/>
      <c r="N11" s="242">
        <v>44227</v>
      </c>
      <c r="O11" s="242">
        <v>44286</v>
      </c>
      <c r="Q11" s="10"/>
    </row>
    <row r="12" spans="1:19" x14ac:dyDescent="0.2">
      <c r="A12" s="10" t="s">
        <v>691</v>
      </c>
      <c r="B12" s="27">
        <f>'מ. החקלאות - מיגל'!C80</f>
        <v>0.23749999999563443</v>
      </c>
      <c r="C12" s="27">
        <f>'מ. החקלאות - מיגל'!D80</f>
        <v>-6.25E-2</v>
      </c>
      <c r="D12" s="10"/>
      <c r="E12" s="27">
        <f>'מ. החקלאות - מיגל'!E80</f>
        <v>-4.0399999999972351</v>
      </c>
      <c r="F12" s="10"/>
      <c r="G12" s="10"/>
      <c r="H12" s="10"/>
      <c r="I12" s="10"/>
      <c r="K12" s="27">
        <f>SUM(B12:H12)</f>
        <v>-3.8650000000016007</v>
      </c>
      <c r="M12" s="10"/>
      <c r="N12" s="266">
        <v>44104</v>
      </c>
      <c r="O12" s="242">
        <v>44135</v>
      </c>
      <c r="Q12" s="10"/>
    </row>
    <row r="13" spans="1:19" x14ac:dyDescent="0.2">
      <c r="A13" s="10" t="s">
        <v>1200</v>
      </c>
      <c r="B13" s="27">
        <f>'מ. החקלאות - מיגל'!C21</f>
        <v>17810.53</v>
      </c>
      <c r="C13" s="27">
        <f>'מ. החקלאות - מיגל'!D21</f>
        <v>4000</v>
      </c>
      <c r="D13" s="10"/>
      <c r="E13" s="27">
        <f>'מ. החקלאות - מיגל'!E21</f>
        <v>7783</v>
      </c>
      <c r="F13" s="10"/>
      <c r="G13" s="10"/>
      <c r="H13" s="10"/>
      <c r="I13" s="10"/>
      <c r="K13" s="27">
        <f>SUM(B13:H13)</f>
        <v>29593.53</v>
      </c>
      <c r="M13" s="10"/>
      <c r="N13" s="289">
        <v>44469</v>
      </c>
      <c r="O13" s="242">
        <v>44500</v>
      </c>
      <c r="Q13" s="10"/>
    </row>
    <row r="14" spans="1:19" x14ac:dyDescent="0.2">
      <c r="A14" s="10" t="s">
        <v>770</v>
      </c>
      <c r="B14" s="10">
        <f>'מ. המדע - שימוש בתגי PIT'!C33</f>
        <v>-0.35000000000582077</v>
      </c>
      <c r="C14" s="10">
        <f>'מ. המדע - שימוש בתגי PIT'!D33</f>
        <v>0</v>
      </c>
      <c r="D14" s="10"/>
      <c r="E14" s="10">
        <f>'מ. המדע - שימוש בתגי PIT'!E33</f>
        <v>15772.94</v>
      </c>
      <c r="F14" s="10"/>
      <c r="G14" s="10"/>
      <c r="H14" s="10"/>
      <c r="I14" s="10"/>
      <c r="K14" s="27">
        <f>SUM(B14:H14)</f>
        <v>15772.589999999995</v>
      </c>
      <c r="M14" s="242">
        <v>44135</v>
      </c>
      <c r="N14" s="242">
        <v>44286</v>
      </c>
      <c r="O14" s="242">
        <v>44316</v>
      </c>
      <c r="Q14" s="10"/>
    </row>
    <row r="15" spans="1:19" x14ac:dyDescent="0.2">
      <c r="A15" s="10" t="s">
        <v>769</v>
      </c>
      <c r="B15" s="10"/>
      <c r="C15" s="10"/>
      <c r="D15" s="10"/>
      <c r="E15" s="10"/>
      <c r="F15" s="10"/>
      <c r="G15" s="10"/>
      <c r="H15" s="10"/>
      <c r="I15" s="10"/>
      <c r="K15" s="10"/>
      <c r="L15" s="299" t="s">
        <v>1202</v>
      </c>
      <c r="M15" s="10"/>
      <c r="N15" s="242">
        <v>44651</v>
      </c>
      <c r="O15" s="242">
        <v>44681</v>
      </c>
      <c r="Q15" s="10"/>
    </row>
    <row r="16" spans="1:19" x14ac:dyDescent="0.2">
      <c r="A16" s="10" t="s">
        <v>684</v>
      </c>
      <c r="B16" s="10"/>
      <c r="C16" s="10"/>
      <c r="D16" s="10"/>
      <c r="E16" s="10"/>
      <c r="F16" s="10"/>
      <c r="G16" s="10"/>
      <c r="H16" s="10"/>
      <c r="I16" s="10"/>
      <c r="K16" s="27">
        <f>תרומות!C109</f>
        <v>26467.5</v>
      </c>
      <c r="M16" s="10"/>
      <c r="N16" s="10"/>
      <c r="O16" s="10"/>
      <c r="Q16" s="10"/>
    </row>
    <row r="17" spans="1:17" x14ac:dyDescent="0.2">
      <c r="A17" s="10" t="s">
        <v>139</v>
      </c>
      <c r="B17" s="10"/>
      <c r="C17" s="10"/>
      <c r="D17" s="10"/>
      <c r="E17" s="10"/>
      <c r="F17" s="10"/>
      <c r="G17" s="10"/>
      <c r="H17" s="10"/>
      <c r="I17" s="10"/>
      <c r="K17" s="10"/>
      <c r="M17" s="10"/>
      <c r="N17" s="10"/>
      <c r="O17" s="10"/>
      <c r="Q17" s="10" t="s">
        <v>789</v>
      </c>
    </row>
    <row r="18" spans="1:17" x14ac:dyDescent="0.2">
      <c r="A18" s="10" t="s">
        <v>1199</v>
      </c>
      <c r="B18" s="10"/>
      <c r="C18" s="10"/>
      <c r="D18" s="10"/>
      <c r="E18" s="10"/>
      <c r="F18" s="10"/>
      <c r="G18" s="10"/>
      <c r="H18" s="10"/>
      <c r="I18" s="10"/>
      <c r="K18" s="27">
        <f>'מוטי שונות 2020'!C34</f>
        <v>46899.360000000008</v>
      </c>
      <c r="M18" s="10"/>
      <c r="N18" s="10"/>
      <c r="O18" s="10"/>
      <c r="Q18" s="10"/>
    </row>
    <row r="19" spans="1:17" x14ac:dyDescent="0.2">
      <c r="A19" s="10"/>
      <c r="B19" s="10"/>
      <c r="C19" s="10"/>
      <c r="D19" s="10"/>
      <c r="E19" s="10"/>
      <c r="F19" s="10"/>
      <c r="G19" s="10"/>
      <c r="H19" s="10"/>
      <c r="I19" s="10"/>
      <c r="K19" s="10"/>
      <c r="M19" s="10"/>
      <c r="N19" s="10"/>
      <c r="O19" s="10"/>
      <c r="Q19" s="10"/>
    </row>
    <row r="21" spans="1:17" x14ac:dyDescent="0.2">
      <c r="A21" t="s">
        <v>663</v>
      </c>
    </row>
    <row r="22" spans="1:17" x14ac:dyDescent="0.2">
      <c r="A22" t="s">
        <v>664</v>
      </c>
    </row>
    <row r="23" spans="1:17" x14ac:dyDescent="0.2">
      <c r="A23" t="s">
        <v>665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37"/>
  <sheetViews>
    <sheetView rightToLeft="1" workbookViewId="0">
      <pane ySplit="8" topLeftCell="A49" activePane="bottomLeft" state="frozen"/>
      <selection pane="bottomLeft" activeCell="A42" sqref="A42"/>
    </sheetView>
  </sheetViews>
  <sheetFormatPr defaultRowHeight="14.25" x14ac:dyDescent="0.2"/>
  <cols>
    <col min="5" max="5" width="10.5" bestFit="1" customWidth="1"/>
    <col min="10" max="10" width="21.875" customWidth="1"/>
  </cols>
  <sheetData>
    <row r="1" spans="1:19" ht="15" x14ac:dyDescent="0.2">
      <c r="A1" s="149"/>
      <c r="B1" s="150" t="s">
        <v>704</v>
      </c>
      <c r="C1" s="149"/>
      <c r="D1" s="149"/>
      <c r="E1" s="149"/>
      <c r="F1" s="149"/>
      <c r="O1" t="s">
        <v>698</v>
      </c>
    </row>
    <row r="2" spans="1:19" x14ac:dyDescent="0.2">
      <c r="A2" s="149"/>
      <c r="B2" s="149"/>
      <c r="C2" s="149"/>
      <c r="D2" s="149"/>
      <c r="E2" s="149"/>
      <c r="F2" s="149"/>
      <c r="O2" t="s">
        <v>434</v>
      </c>
    </row>
    <row r="3" spans="1:19" x14ac:dyDescent="0.2">
      <c r="A3" s="70" t="s">
        <v>386</v>
      </c>
      <c r="B3" s="149" t="s">
        <v>705</v>
      </c>
      <c r="C3" s="149"/>
      <c r="D3" s="149" t="s">
        <v>387</v>
      </c>
      <c r="E3" s="149" t="s">
        <v>706</v>
      </c>
      <c r="F3" s="149"/>
      <c r="O3" s="203"/>
      <c r="R3" t="s">
        <v>141</v>
      </c>
      <c r="S3" t="s">
        <v>702</v>
      </c>
    </row>
    <row r="4" spans="1:19" x14ac:dyDescent="0.2">
      <c r="A4" s="70" t="s">
        <v>76</v>
      </c>
      <c r="B4" s="151"/>
      <c r="C4" s="149"/>
      <c r="D4" s="149"/>
      <c r="E4" s="149"/>
      <c r="F4" s="149"/>
      <c r="O4" s="203" t="s">
        <v>701</v>
      </c>
      <c r="P4" t="s">
        <v>679</v>
      </c>
      <c r="R4" s="100">
        <v>32000</v>
      </c>
      <c r="S4" s="100">
        <v>48000</v>
      </c>
    </row>
    <row r="5" spans="1:19" x14ac:dyDescent="0.2">
      <c r="A5" s="70" t="s">
        <v>388</v>
      </c>
      <c r="B5" s="70" t="s">
        <v>1</v>
      </c>
      <c r="C5" s="152" t="s">
        <v>40</v>
      </c>
      <c r="D5" s="70" t="s">
        <v>2</v>
      </c>
      <c r="E5" s="153" t="s">
        <v>700</v>
      </c>
      <c r="F5" s="154"/>
      <c r="O5" s="203" t="s">
        <v>681</v>
      </c>
      <c r="P5" t="s">
        <v>619</v>
      </c>
    </row>
    <row r="8" spans="1:19" x14ac:dyDescent="0.2">
      <c r="A8" s="59" t="s">
        <v>4</v>
      </c>
      <c r="B8" s="59" t="s">
        <v>5</v>
      </c>
      <c r="C8" s="59" t="s">
        <v>697</v>
      </c>
      <c r="D8" s="59" t="s">
        <v>699</v>
      </c>
      <c r="E8" s="59" t="s">
        <v>393</v>
      </c>
      <c r="F8" s="59" t="s">
        <v>47</v>
      </c>
      <c r="G8" s="59"/>
      <c r="H8" s="59" t="s">
        <v>16</v>
      </c>
      <c r="I8" s="59" t="s">
        <v>51</v>
      </c>
      <c r="J8" s="59" t="s">
        <v>660</v>
      </c>
    </row>
    <row r="9" spans="1:19" x14ac:dyDescent="0.2">
      <c r="A9" s="155" t="s">
        <v>810</v>
      </c>
      <c r="B9" s="155"/>
      <c r="C9" s="155"/>
      <c r="D9" s="155"/>
      <c r="E9" s="275">
        <v>-146</v>
      </c>
      <c r="F9" s="155"/>
      <c r="G9" s="155"/>
      <c r="H9" s="155">
        <v>85021</v>
      </c>
      <c r="I9" s="155" t="s">
        <v>817</v>
      </c>
      <c r="J9" s="155"/>
      <c r="K9" s="203"/>
    </row>
    <row r="10" spans="1:19" x14ac:dyDescent="0.2">
      <c r="A10" s="155" t="s">
        <v>810</v>
      </c>
      <c r="B10" s="155"/>
      <c r="C10" s="155"/>
      <c r="D10" s="155"/>
      <c r="E10" s="275">
        <v>-294.83999999999997</v>
      </c>
      <c r="F10" s="155"/>
      <c r="G10" s="155"/>
      <c r="H10" s="155">
        <v>85021</v>
      </c>
      <c r="I10" s="155" t="s">
        <v>818</v>
      </c>
      <c r="J10" s="155"/>
      <c r="K10" s="203"/>
    </row>
    <row r="11" spans="1:19" x14ac:dyDescent="0.2">
      <c r="A11" s="155" t="s">
        <v>819</v>
      </c>
      <c r="B11" s="155"/>
      <c r="C11" s="155"/>
      <c r="D11" s="155"/>
      <c r="E11" s="275">
        <f>-14.4-12</f>
        <v>-26.4</v>
      </c>
      <c r="F11" s="155"/>
      <c r="G11" s="155"/>
      <c r="H11" s="155">
        <v>103252</v>
      </c>
      <c r="I11" s="155" t="s">
        <v>864</v>
      </c>
      <c r="J11" s="155"/>
      <c r="K11" s="203"/>
    </row>
    <row r="12" spans="1:19" x14ac:dyDescent="0.2">
      <c r="A12" s="155" t="s">
        <v>824</v>
      </c>
      <c r="B12" s="155"/>
      <c r="C12" s="155"/>
      <c r="D12" s="155"/>
      <c r="E12" s="155">
        <v>-1097</v>
      </c>
      <c r="F12" s="155"/>
      <c r="G12" s="155"/>
      <c r="H12" s="155"/>
      <c r="I12" s="155" t="s">
        <v>825</v>
      </c>
      <c r="J12" s="155"/>
      <c r="K12" s="203"/>
    </row>
    <row r="13" spans="1:19" x14ac:dyDescent="0.2">
      <c r="A13" s="155" t="s">
        <v>894</v>
      </c>
      <c r="B13" s="155"/>
      <c r="C13" s="155"/>
      <c r="D13" s="155"/>
      <c r="E13" s="275">
        <v>-58</v>
      </c>
      <c r="F13" s="155"/>
      <c r="G13" s="155"/>
      <c r="H13" s="155">
        <v>103143</v>
      </c>
      <c r="I13" s="155" t="s">
        <v>895</v>
      </c>
      <c r="J13" s="155"/>
      <c r="K13" s="203" t="s">
        <v>898</v>
      </c>
    </row>
    <row r="14" spans="1:19" x14ac:dyDescent="0.2">
      <c r="A14" s="155" t="s">
        <v>840</v>
      </c>
      <c r="B14" s="155"/>
      <c r="C14" s="155"/>
      <c r="D14" s="155"/>
      <c r="E14" s="275">
        <v>-262.2</v>
      </c>
      <c r="F14" s="155"/>
      <c r="G14" s="155"/>
      <c r="H14" s="155">
        <v>84387</v>
      </c>
      <c r="I14" s="155" t="s">
        <v>841</v>
      </c>
      <c r="J14" s="155"/>
      <c r="K14" s="203"/>
    </row>
    <row r="15" spans="1:19" x14ac:dyDescent="0.2">
      <c r="A15" s="155" t="s">
        <v>892</v>
      </c>
      <c r="B15" s="155"/>
      <c r="C15" s="155"/>
      <c r="D15" s="155"/>
      <c r="E15" s="275">
        <v>-650</v>
      </c>
      <c r="F15" s="155"/>
      <c r="G15" s="155"/>
      <c r="H15" s="155">
        <v>103252</v>
      </c>
      <c r="I15" s="155" t="s">
        <v>893</v>
      </c>
      <c r="J15" s="155"/>
      <c r="K15" s="203"/>
    </row>
    <row r="16" spans="1:19" x14ac:dyDescent="0.2">
      <c r="A16" s="155" t="s">
        <v>896</v>
      </c>
      <c r="B16" s="155"/>
      <c r="C16" s="155"/>
      <c r="D16" s="155"/>
      <c r="E16" s="275">
        <v>-35</v>
      </c>
      <c r="F16" s="155"/>
      <c r="G16" s="155"/>
      <c r="H16" s="155">
        <v>103143</v>
      </c>
      <c r="I16" s="155" t="s">
        <v>897</v>
      </c>
      <c r="J16" s="155"/>
      <c r="K16" s="203" t="s">
        <v>898</v>
      </c>
    </row>
    <row r="17" spans="1:11" x14ac:dyDescent="0.2">
      <c r="A17" s="155" t="s">
        <v>868</v>
      </c>
      <c r="B17" s="155"/>
      <c r="C17" s="155"/>
      <c r="D17" s="155"/>
      <c r="E17" s="275">
        <v>-250.51</v>
      </c>
      <c r="F17" s="155"/>
      <c r="G17" s="155"/>
      <c r="H17" s="155">
        <v>103143</v>
      </c>
      <c r="I17" s="155" t="s">
        <v>899</v>
      </c>
      <c r="J17" s="155"/>
      <c r="K17" s="203" t="s">
        <v>898</v>
      </c>
    </row>
    <row r="18" spans="1:11" x14ac:dyDescent="0.2">
      <c r="A18" s="155" t="s">
        <v>868</v>
      </c>
      <c r="B18" s="155"/>
      <c r="C18" s="275">
        <v>-5624.7</v>
      </c>
      <c r="D18" s="155"/>
      <c r="E18" s="155"/>
      <c r="F18" s="155"/>
      <c r="G18" s="155"/>
      <c r="H18" s="155"/>
      <c r="I18" s="155" t="s">
        <v>944</v>
      </c>
      <c r="J18" s="155"/>
      <c r="K18" s="203"/>
    </row>
    <row r="19" spans="1:11" x14ac:dyDescent="0.2">
      <c r="A19" s="155" t="s">
        <v>863</v>
      </c>
      <c r="B19" s="155"/>
      <c r="C19" s="155"/>
      <c r="D19" s="155"/>
      <c r="E19" s="155">
        <v>-46.8</v>
      </c>
      <c r="F19" s="155"/>
      <c r="G19" s="155"/>
      <c r="H19" s="155"/>
      <c r="I19" s="155" t="s">
        <v>695</v>
      </c>
      <c r="J19" s="155"/>
    </row>
    <row r="20" spans="1:11" x14ac:dyDescent="0.2">
      <c r="A20" s="155" t="s">
        <v>865</v>
      </c>
      <c r="B20" s="155"/>
      <c r="C20" s="155"/>
      <c r="D20" s="155"/>
      <c r="E20" s="275">
        <v>-1060</v>
      </c>
      <c r="F20" s="155"/>
      <c r="G20" s="155"/>
      <c r="H20" s="155">
        <v>103252</v>
      </c>
      <c r="I20" s="155" t="s">
        <v>866</v>
      </c>
      <c r="J20" s="155"/>
    </row>
    <row r="21" spans="1:11" x14ac:dyDescent="0.2">
      <c r="A21" s="155" t="s">
        <v>900</v>
      </c>
      <c r="B21" s="155"/>
      <c r="C21" s="155"/>
      <c r="D21" s="155"/>
      <c r="E21" s="275">
        <v>-39</v>
      </c>
      <c r="F21" s="155"/>
      <c r="G21" s="155"/>
      <c r="H21" s="155">
        <v>103143</v>
      </c>
      <c r="I21" s="155" t="s">
        <v>901</v>
      </c>
      <c r="J21" s="155"/>
      <c r="K21" s="203" t="s">
        <v>898</v>
      </c>
    </row>
    <row r="22" spans="1:11" x14ac:dyDescent="0.2">
      <c r="A22" s="155" t="s">
        <v>1006</v>
      </c>
      <c r="B22" s="155"/>
      <c r="C22" s="155"/>
      <c r="D22" s="155"/>
      <c r="E22" s="275">
        <v>-124.4</v>
      </c>
      <c r="F22" s="155"/>
      <c r="G22" s="155"/>
      <c r="H22" s="155">
        <v>23159</v>
      </c>
      <c r="I22" s="155" t="s">
        <v>1007</v>
      </c>
      <c r="J22" s="155"/>
    </row>
    <row r="23" spans="1:11" x14ac:dyDescent="0.2">
      <c r="A23" s="155" t="s">
        <v>902</v>
      </c>
      <c r="B23" s="155"/>
      <c r="C23" s="155"/>
      <c r="D23" s="155"/>
      <c r="E23" s="275">
        <v>-42.1</v>
      </c>
      <c r="F23" s="155"/>
      <c r="G23" s="155"/>
      <c r="H23" s="155">
        <v>103143</v>
      </c>
      <c r="I23" s="155" t="s">
        <v>903</v>
      </c>
      <c r="J23" s="155"/>
      <c r="K23" s="203" t="s">
        <v>898</v>
      </c>
    </row>
    <row r="24" spans="1:11" x14ac:dyDescent="0.2">
      <c r="A24" s="155" t="s">
        <v>904</v>
      </c>
      <c r="B24" s="155"/>
      <c r="C24" s="155"/>
      <c r="D24" s="155"/>
      <c r="E24" s="275">
        <v>-210.47</v>
      </c>
      <c r="F24" s="155"/>
      <c r="G24" s="155"/>
      <c r="H24" s="155">
        <v>103143</v>
      </c>
      <c r="I24" s="155" t="s">
        <v>906</v>
      </c>
      <c r="J24" s="155"/>
      <c r="K24" s="203" t="s">
        <v>898</v>
      </c>
    </row>
    <row r="25" spans="1:11" x14ac:dyDescent="0.2">
      <c r="A25" s="155" t="s">
        <v>904</v>
      </c>
      <c r="B25" s="155"/>
      <c r="C25" s="155"/>
      <c r="D25" s="155"/>
      <c r="E25" s="275">
        <v>-210.53</v>
      </c>
      <c r="F25" s="155"/>
      <c r="G25" s="155"/>
      <c r="H25" s="155">
        <v>103143</v>
      </c>
      <c r="I25" s="155" t="s">
        <v>905</v>
      </c>
      <c r="J25" s="155"/>
      <c r="K25" s="203" t="s">
        <v>898</v>
      </c>
    </row>
    <row r="26" spans="1:11" x14ac:dyDescent="0.2">
      <c r="A26" s="155" t="s">
        <v>879</v>
      </c>
      <c r="B26" s="155"/>
      <c r="C26" s="155"/>
      <c r="D26" s="155"/>
      <c r="E26" s="155"/>
      <c r="F26" s="275">
        <v>-95.91</v>
      </c>
      <c r="G26" s="155"/>
      <c r="H26" s="155">
        <v>103143</v>
      </c>
      <c r="I26" s="155" t="s">
        <v>880</v>
      </c>
      <c r="J26" s="155"/>
    </row>
    <row r="27" spans="1:11" x14ac:dyDescent="0.2">
      <c r="A27" s="155" t="s">
        <v>879</v>
      </c>
      <c r="B27" s="155"/>
      <c r="C27" s="155"/>
      <c r="D27" s="155"/>
      <c r="E27" s="275">
        <v>-103.2</v>
      </c>
      <c r="F27" s="155"/>
      <c r="G27" s="155"/>
      <c r="H27" s="155">
        <v>103143</v>
      </c>
      <c r="I27" s="155" t="s">
        <v>913</v>
      </c>
      <c r="J27" s="155"/>
      <c r="K27" s="203" t="s">
        <v>898</v>
      </c>
    </row>
    <row r="28" spans="1:11" x14ac:dyDescent="0.2">
      <c r="A28" s="155" t="s">
        <v>875</v>
      </c>
      <c r="B28" s="155"/>
      <c r="C28" s="155"/>
      <c r="D28" s="155"/>
      <c r="E28" s="155"/>
      <c r="F28" s="275">
        <v>-62.79</v>
      </c>
      <c r="G28" s="155"/>
      <c r="H28" s="155">
        <v>103143</v>
      </c>
      <c r="I28" s="155" t="s">
        <v>912</v>
      </c>
      <c r="J28" s="155"/>
      <c r="K28" s="203" t="s">
        <v>898</v>
      </c>
    </row>
    <row r="29" spans="1:11" x14ac:dyDescent="0.2">
      <c r="A29" s="155" t="s">
        <v>875</v>
      </c>
      <c r="B29" s="155"/>
      <c r="C29" s="155"/>
      <c r="D29" s="155"/>
      <c r="E29" s="275">
        <v>-320</v>
      </c>
      <c r="F29" s="155"/>
      <c r="G29" s="155"/>
      <c r="H29" s="155">
        <v>103143</v>
      </c>
      <c r="I29" s="155" t="s">
        <v>916</v>
      </c>
      <c r="J29" s="155"/>
      <c r="K29" s="203" t="s">
        <v>898</v>
      </c>
    </row>
    <row r="30" spans="1:11" x14ac:dyDescent="0.2">
      <c r="A30" s="155" t="s">
        <v>910</v>
      </c>
      <c r="B30" s="155"/>
      <c r="C30" s="155"/>
      <c r="D30" s="155"/>
      <c r="E30" s="275">
        <v>-100</v>
      </c>
      <c r="F30" s="155"/>
      <c r="G30" s="155"/>
      <c r="H30" s="155">
        <v>103143</v>
      </c>
      <c r="I30" s="155" t="s">
        <v>911</v>
      </c>
      <c r="J30" s="155"/>
      <c r="K30" s="203" t="s">
        <v>898</v>
      </c>
    </row>
    <row r="31" spans="1:11" x14ac:dyDescent="0.2">
      <c r="A31" s="155" t="s">
        <v>907</v>
      </c>
      <c r="B31" s="155"/>
      <c r="C31" s="155"/>
      <c r="D31" s="155"/>
      <c r="E31" s="275">
        <v>-58</v>
      </c>
      <c r="F31" s="155"/>
      <c r="G31" s="155"/>
      <c r="H31" s="155">
        <v>103143</v>
      </c>
      <c r="I31" s="155" t="s">
        <v>908</v>
      </c>
      <c r="J31" s="155"/>
      <c r="K31" s="203" t="s">
        <v>909</v>
      </c>
    </row>
    <row r="32" spans="1:11" x14ac:dyDescent="0.2">
      <c r="A32" s="155" t="s">
        <v>914</v>
      </c>
      <c r="B32" s="155"/>
      <c r="C32" s="155"/>
      <c r="D32" s="275">
        <v>-177</v>
      </c>
      <c r="E32" s="10"/>
      <c r="F32" s="155"/>
      <c r="G32" s="155"/>
      <c r="H32" s="155">
        <v>103143</v>
      </c>
      <c r="I32" s="155" t="s">
        <v>915</v>
      </c>
      <c r="J32" s="155"/>
      <c r="K32" s="203" t="s">
        <v>898</v>
      </c>
    </row>
    <row r="33" spans="1:11" x14ac:dyDescent="0.2">
      <c r="A33" s="155" t="s">
        <v>985</v>
      </c>
      <c r="B33" s="155"/>
      <c r="C33" s="155"/>
      <c r="D33" s="275">
        <v>-5.8</v>
      </c>
      <c r="E33" s="10"/>
      <c r="F33" s="155"/>
      <c r="G33" s="155"/>
      <c r="H33" s="155">
        <v>23159</v>
      </c>
      <c r="I33" s="155" t="s">
        <v>986</v>
      </c>
      <c r="J33" s="155"/>
      <c r="K33" s="203"/>
    </row>
    <row r="34" spans="1:11" x14ac:dyDescent="0.2">
      <c r="A34" s="155" t="s">
        <v>940</v>
      </c>
      <c r="B34" s="155"/>
      <c r="C34" s="155"/>
      <c r="D34" s="275">
        <v>-55</v>
      </c>
      <c r="E34" s="10"/>
      <c r="F34" s="155"/>
      <c r="G34" s="155"/>
      <c r="H34" s="155">
        <v>23118</v>
      </c>
      <c r="I34" s="155" t="s">
        <v>958</v>
      </c>
      <c r="J34" s="155"/>
      <c r="K34" s="203" t="s">
        <v>898</v>
      </c>
    </row>
    <row r="35" spans="1:11" x14ac:dyDescent="0.2">
      <c r="A35" s="155" t="s">
        <v>959</v>
      </c>
      <c r="B35" s="155"/>
      <c r="C35" s="155"/>
      <c r="D35" s="275">
        <v>-246.66</v>
      </c>
      <c r="E35" s="10"/>
      <c r="F35" s="155"/>
      <c r="G35" s="155"/>
      <c r="H35" s="155">
        <v>23118</v>
      </c>
      <c r="I35" s="155" t="s">
        <v>960</v>
      </c>
      <c r="J35" s="155"/>
      <c r="K35" s="203" t="s">
        <v>898</v>
      </c>
    </row>
    <row r="36" spans="1:11" x14ac:dyDescent="0.2">
      <c r="A36" s="155" t="s">
        <v>968</v>
      </c>
      <c r="B36" s="155"/>
      <c r="C36" s="155"/>
      <c r="D36" s="275">
        <v>-58</v>
      </c>
      <c r="E36" s="10"/>
      <c r="F36" s="155"/>
      <c r="G36" s="155"/>
      <c r="H36" s="155">
        <v>23118</v>
      </c>
      <c r="I36" s="155" t="s">
        <v>969</v>
      </c>
      <c r="J36" s="155"/>
      <c r="K36" s="203" t="s">
        <v>898</v>
      </c>
    </row>
    <row r="37" spans="1:11" x14ac:dyDescent="0.2">
      <c r="A37" s="155" t="s">
        <v>961</v>
      </c>
      <c r="B37" s="155"/>
      <c r="C37" s="155"/>
      <c r="D37" s="275">
        <v>-75</v>
      </c>
      <c r="E37" s="10"/>
      <c r="F37" s="155"/>
      <c r="G37" s="155"/>
      <c r="H37" s="155">
        <v>23118</v>
      </c>
      <c r="I37" s="155" t="s">
        <v>962</v>
      </c>
      <c r="J37" s="155"/>
      <c r="K37" s="203" t="s">
        <v>898</v>
      </c>
    </row>
    <row r="38" spans="1:11" x14ac:dyDescent="0.2">
      <c r="A38" s="155" t="s">
        <v>963</v>
      </c>
      <c r="B38" s="155"/>
      <c r="C38" s="155"/>
      <c r="D38" s="275">
        <v>-69</v>
      </c>
      <c r="E38" s="10"/>
      <c r="F38" s="155"/>
      <c r="G38" s="155"/>
      <c r="H38" s="155">
        <v>23118</v>
      </c>
      <c r="I38" s="155" t="s">
        <v>964</v>
      </c>
      <c r="J38" s="155"/>
      <c r="K38" s="203" t="s">
        <v>898</v>
      </c>
    </row>
    <row r="39" spans="1:11" x14ac:dyDescent="0.2">
      <c r="A39" s="155" t="s">
        <v>963</v>
      </c>
      <c r="B39" s="155"/>
      <c r="C39" s="155"/>
      <c r="D39" s="275">
        <v>-237.03</v>
      </c>
      <c r="E39" s="10"/>
      <c r="F39" s="155"/>
      <c r="G39" s="155"/>
      <c r="H39" s="155">
        <v>23118</v>
      </c>
      <c r="I39" s="155" t="s">
        <v>965</v>
      </c>
      <c r="J39" s="155"/>
      <c r="K39" s="203" t="s">
        <v>898</v>
      </c>
    </row>
    <row r="40" spans="1:11" x14ac:dyDescent="0.2">
      <c r="A40" s="155" t="s">
        <v>966</v>
      </c>
      <c r="B40" s="155"/>
      <c r="C40" s="155"/>
      <c r="D40" s="275">
        <v>-273</v>
      </c>
      <c r="E40" s="10"/>
      <c r="F40" s="155"/>
      <c r="G40" s="155"/>
      <c r="H40" s="155">
        <v>23118</v>
      </c>
      <c r="I40" s="155" t="s">
        <v>967</v>
      </c>
      <c r="J40" s="155"/>
      <c r="K40" s="203" t="s">
        <v>898</v>
      </c>
    </row>
    <row r="41" spans="1:11" x14ac:dyDescent="0.2">
      <c r="A41" s="155" t="s">
        <v>984</v>
      </c>
      <c r="B41" s="155"/>
      <c r="C41" s="155"/>
      <c r="D41" s="275">
        <v>-1310.4000000000001</v>
      </c>
      <c r="E41" s="155"/>
      <c r="F41" s="155"/>
      <c r="G41" s="155"/>
      <c r="H41" s="155">
        <v>35271</v>
      </c>
      <c r="I41" s="155" t="s">
        <v>997</v>
      </c>
      <c r="J41" s="155"/>
      <c r="K41" s="203"/>
    </row>
    <row r="42" spans="1:11" x14ac:dyDescent="0.2">
      <c r="A42" s="155" t="s">
        <v>999</v>
      </c>
      <c r="B42" s="155"/>
      <c r="C42" s="155"/>
      <c r="D42" s="155"/>
      <c r="E42" s="155"/>
      <c r="F42" s="275">
        <v>-410</v>
      </c>
      <c r="G42" s="155"/>
      <c r="H42" s="155">
        <v>35271</v>
      </c>
      <c r="I42" s="155" t="s">
        <v>1000</v>
      </c>
      <c r="J42" s="155"/>
      <c r="K42" s="203"/>
    </row>
    <row r="43" spans="1:11" x14ac:dyDescent="0.2">
      <c r="A43" s="155" t="s">
        <v>1001</v>
      </c>
      <c r="B43" s="155"/>
      <c r="C43" s="155"/>
      <c r="D43" s="155"/>
      <c r="E43" s="155"/>
      <c r="F43" s="275">
        <v>-56.12</v>
      </c>
      <c r="G43" s="155"/>
      <c r="H43" s="155">
        <v>35226</v>
      </c>
      <c r="I43" s="155" t="s">
        <v>1002</v>
      </c>
      <c r="J43" s="155"/>
      <c r="K43" s="203" t="s">
        <v>852</v>
      </c>
    </row>
    <row r="44" spans="1:11" x14ac:dyDescent="0.2">
      <c r="A44" s="155" t="s">
        <v>998</v>
      </c>
      <c r="B44" s="155"/>
      <c r="C44" s="155"/>
      <c r="D44" s="155">
        <v>-529.29</v>
      </c>
      <c r="E44" s="155"/>
      <c r="F44" s="155"/>
      <c r="G44" s="155"/>
      <c r="H44" s="155">
        <v>35226</v>
      </c>
      <c r="I44" s="155" t="s">
        <v>1025</v>
      </c>
      <c r="J44" s="155"/>
      <c r="K44" s="203" t="s">
        <v>543</v>
      </c>
    </row>
    <row r="45" spans="1:11" x14ac:dyDescent="0.2">
      <c r="A45" s="155" t="s">
        <v>1026</v>
      </c>
      <c r="B45" s="155"/>
      <c r="C45" s="155"/>
      <c r="D45" s="155">
        <v>-67.8</v>
      </c>
      <c r="E45" s="155"/>
      <c r="F45" s="155"/>
      <c r="G45" s="155"/>
      <c r="H45" s="155">
        <v>35226</v>
      </c>
      <c r="I45" s="155" t="s">
        <v>1027</v>
      </c>
      <c r="J45" s="155"/>
      <c r="K45" s="203" t="s">
        <v>543</v>
      </c>
    </row>
    <row r="46" spans="1:11" x14ac:dyDescent="0.2">
      <c r="A46" s="155" t="s">
        <v>615</v>
      </c>
      <c r="B46" s="155"/>
      <c r="C46" s="155"/>
      <c r="D46" s="275">
        <v>-3659.76</v>
      </c>
      <c r="E46" s="155"/>
      <c r="F46" s="155"/>
      <c r="G46" s="155"/>
      <c r="H46" s="155">
        <v>83887</v>
      </c>
      <c r="I46" s="155" t="s">
        <v>1089</v>
      </c>
      <c r="J46" s="155"/>
      <c r="K46" s="203"/>
    </row>
    <row r="47" spans="1:11" x14ac:dyDescent="0.2">
      <c r="A47" s="155" t="s">
        <v>615</v>
      </c>
      <c r="B47" s="155"/>
      <c r="C47" s="155"/>
      <c r="D47" s="275">
        <v>-468</v>
      </c>
      <c r="E47" s="155"/>
      <c r="F47" s="155"/>
      <c r="G47" s="155"/>
      <c r="H47" s="155">
        <v>6758</v>
      </c>
      <c r="I47" s="155" t="s">
        <v>1055</v>
      </c>
      <c r="J47" s="155"/>
      <c r="K47" s="203"/>
    </row>
    <row r="48" spans="1:11" x14ac:dyDescent="0.2">
      <c r="A48" s="155" t="s">
        <v>1059</v>
      </c>
      <c r="B48" s="155"/>
      <c r="C48" s="155"/>
      <c r="D48" s="275">
        <v>-9.9</v>
      </c>
      <c r="E48" s="155"/>
      <c r="F48" s="155"/>
      <c r="G48" s="155"/>
      <c r="H48" s="155">
        <v>6722</v>
      </c>
      <c r="I48" s="155" t="s">
        <v>1073</v>
      </c>
      <c r="J48" s="155"/>
      <c r="K48" s="203" t="s">
        <v>543</v>
      </c>
    </row>
    <row r="49" spans="1:16" x14ac:dyDescent="0.2">
      <c r="A49" s="155" t="s">
        <v>1059</v>
      </c>
      <c r="B49" s="155"/>
      <c r="C49" s="155"/>
      <c r="D49" s="275">
        <v>-9.9</v>
      </c>
      <c r="E49" s="155"/>
      <c r="F49" s="155"/>
      <c r="G49" s="155"/>
      <c r="H49" s="155">
        <v>6722</v>
      </c>
      <c r="I49" s="155" t="s">
        <v>1074</v>
      </c>
      <c r="J49" s="155"/>
      <c r="K49" s="203" t="s">
        <v>543</v>
      </c>
    </row>
    <row r="50" spans="1:16" x14ac:dyDescent="0.2">
      <c r="A50" s="155" t="s">
        <v>1060</v>
      </c>
      <c r="B50" s="155"/>
      <c r="C50" s="155"/>
      <c r="D50" s="275">
        <v>-197</v>
      </c>
      <c r="E50" s="155"/>
      <c r="F50" s="155"/>
      <c r="G50" s="155"/>
      <c r="H50" s="155">
        <v>6722</v>
      </c>
      <c r="I50" s="155" t="s">
        <v>1061</v>
      </c>
      <c r="J50" s="155"/>
      <c r="K50" s="203" t="s">
        <v>543</v>
      </c>
    </row>
    <row r="51" spans="1:16" x14ac:dyDescent="0.2">
      <c r="A51" s="155" t="s">
        <v>1045</v>
      </c>
      <c r="B51" s="155"/>
      <c r="C51" s="155"/>
      <c r="D51" s="275">
        <v>-407</v>
      </c>
      <c r="E51" s="155"/>
      <c r="F51" s="155"/>
      <c r="G51" s="155"/>
      <c r="H51" s="155">
        <v>6758</v>
      </c>
      <c r="I51" s="155" t="s">
        <v>1046</v>
      </c>
      <c r="J51" s="155"/>
      <c r="K51" s="203"/>
    </row>
    <row r="52" spans="1:16" x14ac:dyDescent="0.2">
      <c r="A52" s="155" t="s">
        <v>1056</v>
      </c>
      <c r="B52" s="155"/>
      <c r="C52" s="155"/>
      <c r="D52" s="275">
        <v>-2995</v>
      </c>
      <c r="E52" s="155"/>
      <c r="F52" s="155"/>
      <c r="G52" s="155"/>
      <c r="H52" s="155">
        <v>83887</v>
      </c>
      <c r="I52" s="155" t="s">
        <v>1090</v>
      </c>
      <c r="J52" s="155"/>
      <c r="K52" s="203"/>
    </row>
    <row r="53" spans="1:16" x14ac:dyDescent="0.2">
      <c r="A53" s="155" t="s">
        <v>1062</v>
      </c>
      <c r="B53" s="155"/>
      <c r="C53" s="155"/>
      <c r="D53" s="275">
        <v>-214</v>
      </c>
      <c r="E53" s="155"/>
      <c r="F53" s="155"/>
      <c r="G53" s="155"/>
      <c r="H53" s="155">
        <v>6722</v>
      </c>
      <c r="I53" s="155" t="s">
        <v>1063</v>
      </c>
      <c r="J53" s="155"/>
      <c r="K53" s="267" t="s">
        <v>543</v>
      </c>
    </row>
    <row r="54" spans="1:16" x14ac:dyDescent="0.2">
      <c r="A54" s="155" t="s">
        <v>1053</v>
      </c>
      <c r="B54" s="155"/>
      <c r="C54" s="155"/>
      <c r="D54" s="155">
        <v>-234</v>
      </c>
      <c r="E54" s="155"/>
      <c r="F54" s="155"/>
      <c r="G54" s="155"/>
      <c r="H54" s="155">
        <v>6758</v>
      </c>
      <c r="I54" s="155" t="s">
        <v>1054</v>
      </c>
      <c r="J54" s="155"/>
      <c r="K54" s="203"/>
    </row>
    <row r="55" spans="1:16" x14ac:dyDescent="0.2">
      <c r="A55" s="155" t="s">
        <v>1069</v>
      </c>
      <c r="B55" s="155"/>
      <c r="C55" s="155"/>
      <c r="D55" s="275">
        <v>-155</v>
      </c>
      <c r="E55" s="155"/>
      <c r="F55" s="155"/>
      <c r="G55" s="155"/>
      <c r="H55" s="155">
        <v>6722</v>
      </c>
      <c r="I55" s="155" t="s">
        <v>1070</v>
      </c>
      <c r="J55" s="155"/>
      <c r="K55" s="267" t="s">
        <v>543</v>
      </c>
    </row>
    <row r="56" spans="1:16" x14ac:dyDescent="0.2">
      <c r="A56" s="155" t="s">
        <v>1076</v>
      </c>
      <c r="B56" s="155"/>
      <c r="C56" s="275">
        <v>-5797.76</v>
      </c>
      <c r="D56" s="155"/>
      <c r="E56" s="155"/>
      <c r="F56" s="155"/>
      <c r="G56" s="155"/>
      <c r="H56" s="155"/>
      <c r="I56" s="155" t="s">
        <v>1081</v>
      </c>
      <c r="J56" s="155"/>
      <c r="K56" s="203"/>
    </row>
    <row r="57" spans="1:16" x14ac:dyDescent="0.2">
      <c r="A57" s="155" t="s">
        <v>1076</v>
      </c>
      <c r="B57" s="155"/>
      <c r="C57" s="275">
        <v>-2109.27</v>
      </c>
      <c r="D57" s="155"/>
      <c r="E57" s="155"/>
      <c r="F57" s="155"/>
      <c r="G57" s="155"/>
      <c r="H57" s="155"/>
      <c r="I57" s="155" t="s">
        <v>1082</v>
      </c>
      <c r="J57" s="155"/>
      <c r="K57" s="203"/>
    </row>
    <row r="58" spans="1:16" x14ac:dyDescent="0.2">
      <c r="A58" s="155" t="s">
        <v>1076</v>
      </c>
      <c r="B58" s="155"/>
      <c r="C58" s="155"/>
      <c r="D58" s="155"/>
      <c r="E58" s="155"/>
      <c r="F58" s="275">
        <f>-(1500*1.29*1.25)-(800*2.58*1.25)</f>
        <v>-4998.75</v>
      </c>
      <c r="G58" s="155"/>
      <c r="H58" s="155"/>
      <c r="I58" s="155" t="s">
        <v>1083</v>
      </c>
      <c r="J58" s="155"/>
    </row>
    <row r="59" spans="1:16" x14ac:dyDescent="0.2">
      <c r="A59" s="155" t="s">
        <v>1107</v>
      </c>
      <c r="B59" s="155"/>
      <c r="C59" s="155"/>
      <c r="D59" s="155">
        <v>-60</v>
      </c>
      <c r="E59" s="155"/>
      <c r="F59" s="163"/>
      <c r="G59" s="155"/>
      <c r="H59" s="155">
        <v>95919</v>
      </c>
      <c r="I59" s="155" t="s">
        <v>1140</v>
      </c>
      <c r="J59" s="155"/>
      <c r="K59" s="267" t="s">
        <v>543</v>
      </c>
    </row>
    <row r="60" spans="1:16" x14ac:dyDescent="0.2">
      <c r="A60" s="155" t="s">
        <v>1117</v>
      </c>
      <c r="B60" s="155"/>
      <c r="C60" s="155"/>
      <c r="D60" s="155"/>
      <c r="E60" s="155"/>
      <c r="F60" s="275">
        <f>-1147-1247-2686-(1020*1.29*1.25)-(2322*1.25)</f>
        <v>-9627.25</v>
      </c>
      <c r="G60" s="155"/>
      <c r="H60" s="155"/>
      <c r="I60" s="155" t="s">
        <v>1118</v>
      </c>
      <c r="J60" s="155"/>
      <c r="K60" t="s">
        <v>1119</v>
      </c>
    </row>
    <row r="61" spans="1:16" x14ac:dyDescent="0.2">
      <c r="A61" s="155" t="s">
        <v>1117</v>
      </c>
      <c r="B61" s="155"/>
      <c r="C61" s="275">
        <v>-1394.21</v>
      </c>
      <c r="D61" s="155"/>
      <c r="E61" s="155"/>
      <c r="F61" s="155"/>
      <c r="G61" s="155"/>
      <c r="H61" s="155"/>
      <c r="I61" s="155" t="s">
        <v>1123</v>
      </c>
      <c r="J61" s="155"/>
      <c r="P61" s="276">
        <v>-7713.62</v>
      </c>
    </row>
    <row r="62" spans="1:16" x14ac:dyDescent="0.2">
      <c r="A62" s="155" t="s">
        <v>1117</v>
      </c>
      <c r="B62" s="155"/>
      <c r="C62" s="275">
        <v>-3195.75</v>
      </c>
      <c r="D62" s="155"/>
      <c r="E62" s="155"/>
      <c r="F62" s="155"/>
      <c r="G62" s="155"/>
      <c r="H62" s="155"/>
      <c r="I62" s="155" t="s">
        <v>1124</v>
      </c>
      <c r="J62" s="155"/>
      <c r="P62" s="276">
        <v>-8049.5</v>
      </c>
    </row>
    <row r="63" spans="1:16" x14ac:dyDescent="0.2">
      <c r="A63" s="155" t="s">
        <v>1117</v>
      </c>
      <c r="B63" s="155"/>
      <c r="C63" s="275">
        <v>-2713.25</v>
      </c>
      <c r="D63" s="155"/>
      <c r="E63" s="155"/>
      <c r="F63" s="155"/>
      <c r="G63" s="155"/>
      <c r="H63" s="155"/>
      <c r="I63" s="155" t="s">
        <v>1125</v>
      </c>
      <c r="J63" s="155"/>
      <c r="P63" s="276">
        <v>-3090.19</v>
      </c>
    </row>
    <row r="64" spans="1:16" x14ac:dyDescent="0.2">
      <c r="A64" s="155" t="s">
        <v>1117</v>
      </c>
      <c r="B64" s="155"/>
      <c r="C64" s="275">
        <v>-3553.6</v>
      </c>
      <c r="D64" s="155"/>
      <c r="E64" s="155"/>
      <c r="F64" s="155"/>
      <c r="G64" s="155"/>
      <c r="H64" s="155"/>
      <c r="I64" s="155" t="s">
        <v>1126</v>
      </c>
      <c r="J64" s="155"/>
    </row>
    <row r="65" spans="1:14" x14ac:dyDescent="0.2">
      <c r="A65" s="155" t="s">
        <v>1117</v>
      </c>
      <c r="B65" s="155"/>
      <c r="C65" s="275">
        <f>-5*42*1.25</f>
        <v>-262.5</v>
      </c>
      <c r="D65" s="155"/>
      <c r="E65" s="155"/>
      <c r="F65" s="155"/>
      <c r="G65" s="155"/>
      <c r="H65" s="155"/>
      <c r="I65" s="155" t="s">
        <v>1127</v>
      </c>
      <c r="J65" s="155"/>
    </row>
    <row r="66" spans="1:14" x14ac:dyDescent="0.2">
      <c r="A66" s="155" t="s">
        <v>1144</v>
      </c>
      <c r="B66" s="155"/>
      <c r="C66" s="155"/>
      <c r="D66" s="155">
        <v>-93</v>
      </c>
      <c r="E66" s="155"/>
      <c r="F66" s="155"/>
      <c r="G66" s="155"/>
      <c r="H66" s="155">
        <v>95919</v>
      </c>
      <c r="I66" s="155" t="s">
        <v>1153</v>
      </c>
      <c r="J66" s="155"/>
    </row>
    <row r="67" spans="1:14" x14ac:dyDescent="0.2">
      <c r="A67" s="155" t="s">
        <v>1154</v>
      </c>
      <c r="B67" s="155"/>
      <c r="C67" s="155">
        <v>-6830.64</v>
      </c>
      <c r="D67" s="155"/>
      <c r="E67" s="155"/>
      <c r="F67" s="155"/>
      <c r="G67" s="155"/>
      <c r="H67" s="155"/>
      <c r="I67" s="155" t="s">
        <v>1162</v>
      </c>
      <c r="J67" s="155"/>
    </row>
    <row r="68" spans="1:14" x14ac:dyDescent="0.2">
      <c r="A68" s="155"/>
      <c r="B68" s="155"/>
      <c r="C68" s="155"/>
      <c r="D68" s="155"/>
      <c r="E68" s="155"/>
      <c r="F68" s="155"/>
      <c r="G68" s="155"/>
      <c r="H68" s="155"/>
      <c r="I68" s="155"/>
      <c r="J68" s="155"/>
    </row>
    <row r="69" spans="1:14" x14ac:dyDescent="0.2">
      <c r="A69" s="155"/>
      <c r="B69" s="155"/>
      <c r="C69" s="276">
        <v>-7713.62</v>
      </c>
      <c r="D69" s="155"/>
      <c r="E69" s="155"/>
      <c r="F69" s="155"/>
      <c r="G69" s="155"/>
      <c r="H69" s="155"/>
      <c r="I69" s="185" t="s">
        <v>992</v>
      </c>
      <c r="J69" s="155"/>
      <c r="N69" t="s">
        <v>1189</v>
      </c>
    </row>
    <row r="70" spans="1:14" x14ac:dyDescent="0.2">
      <c r="A70" s="155"/>
      <c r="B70" s="155"/>
      <c r="C70" s="276">
        <v>-8049.5</v>
      </c>
      <c r="D70" s="155"/>
      <c r="E70" s="155"/>
      <c r="F70" s="155"/>
      <c r="G70" s="155"/>
      <c r="H70" s="155"/>
      <c r="I70" s="185" t="s">
        <v>1032</v>
      </c>
      <c r="J70" s="155"/>
      <c r="N70" t="s">
        <v>1189</v>
      </c>
    </row>
    <row r="71" spans="1:14" x14ac:dyDescent="0.2">
      <c r="A71" s="155"/>
      <c r="B71" s="155"/>
      <c r="C71" s="276">
        <v>-3090.19</v>
      </c>
      <c r="D71" s="155"/>
      <c r="E71" s="155"/>
      <c r="F71" s="155"/>
      <c r="G71" s="155"/>
      <c r="H71" s="155"/>
      <c r="I71" s="185" t="s">
        <v>1033</v>
      </c>
      <c r="J71" s="155"/>
      <c r="N71" t="s">
        <v>1189</v>
      </c>
    </row>
    <row r="72" spans="1:14" x14ac:dyDescent="0.2">
      <c r="A72" s="155"/>
      <c r="B72" s="155"/>
      <c r="C72" s="155"/>
      <c r="D72" s="155"/>
      <c r="E72" s="155"/>
      <c r="F72" s="155"/>
      <c r="G72" s="155"/>
      <c r="H72" s="155"/>
      <c r="I72" s="155"/>
      <c r="J72" s="155"/>
    </row>
    <row r="73" spans="1:14" x14ac:dyDescent="0.2">
      <c r="A73" s="155"/>
      <c r="B73" s="155"/>
      <c r="C73" s="155"/>
      <c r="D73" s="155"/>
      <c r="E73" s="155"/>
      <c r="F73" s="155"/>
      <c r="G73" s="155"/>
      <c r="H73" s="155"/>
      <c r="I73" s="155"/>
      <c r="J73" s="155"/>
    </row>
    <row r="74" spans="1:14" ht="15" x14ac:dyDescent="0.25">
      <c r="A74" s="133" t="s">
        <v>77</v>
      </c>
      <c r="B74" s="59"/>
      <c r="C74" s="184">
        <f>SUM(C9:C73)</f>
        <v>-50334.99</v>
      </c>
      <c r="D74" s="184">
        <f>SUM(D9:D73)</f>
        <v>-11606.54</v>
      </c>
      <c r="E74" s="184">
        <f>SUM(E9:E73)</f>
        <v>-5134.45</v>
      </c>
      <c r="F74" s="184">
        <f>SUM(F9:F73)</f>
        <v>-15250.82</v>
      </c>
      <c r="G74" s="184"/>
      <c r="H74" s="184"/>
      <c r="I74" s="59"/>
      <c r="J74" s="229" t="s">
        <v>395</v>
      </c>
      <c r="K74" s="147"/>
      <c r="L74" s="134"/>
      <c r="M74" s="135"/>
      <c r="N74" s="134"/>
    </row>
    <row r="75" spans="1:14" ht="15" x14ac:dyDescent="0.25">
      <c r="A75" s="136" t="s">
        <v>78</v>
      </c>
      <c r="B75" s="137"/>
      <c r="C75" s="138">
        <f>50000</f>
        <v>50000</v>
      </c>
      <c r="D75" s="138">
        <f>10000</f>
        <v>10000</v>
      </c>
      <c r="E75" s="138">
        <f>5000</f>
        <v>5000</v>
      </c>
      <c r="F75" s="139">
        <f>15000</f>
        <v>15000</v>
      </c>
      <c r="G75" s="139"/>
      <c r="H75" s="138"/>
      <c r="I75" s="138">
        <v>80000</v>
      </c>
      <c r="J75" s="230">
        <f>80000-I75</f>
        <v>0</v>
      </c>
      <c r="K75" s="148"/>
      <c r="L75" s="134"/>
      <c r="M75" s="135"/>
      <c r="N75" s="134"/>
    </row>
    <row r="76" spans="1:14" ht="15.75" thickBot="1" x14ac:dyDescent="0.3">
      <c r="A76" s="140" t="s">
        <v>79</v>
      </c>
      <c r="B76" s="141"/>
      <c r="C76" s="142">
        <f>(C75+C74)</f>
        <v>-334.98999999999796</v>
      </c>
      <c r="D76" s="142">
        <f t="shared" ref="D76:F76" si="0">D75+D74</f>
        <v>-1606.5400000000009</v>
      </c>
      <c r="E76" s="142">
        <f t="shared" si="0"/>
        <v>-134.44999999999982</v>
      </c>
      <c r="F76" s="142">
        <f t="shared" si="0"/>
        <v>-250.81999999999971</v>
      </c>
      <c r="G76" s="142"/>
      <c r="H76" s="142"/>
      <c r="I76" s="143"/>
      <c r="J76" s="10"/>
      <c r="L76" s="134"/>
      <c r="M76" s="135"/>
      <c r="N76" s="134"/>
    </row>
    <row r="77" spans="1:14" ht="18.75" thickBot="1" x14ac:dyDescent="0.3">
      <c r="A77" s="144" t="s">
        <v>83</v>
      </c>
      <c r="B77" s="145">
        <f>SUM(C76:H76)</f>
        <v>-2326.7999999999984</v>
      </c>
      <c r="C77" s="132"/>
      <c r="D77" s="132"/>
      <c r="E77" s="146"/>
      <c r="F77" s="146"/>
      <c r="G77" s="146"/>
      <c r="H77" s="146"/>
      <c r="I77" s="146"/>
      <c r="L77" s="134"/>
      <c r="M77" s="135"/>
      <c r="N77" s="134"/>
    </row>
    <row r="81" spans="1:11" x14ac:dyDescent="0.2">
      <c r="A81" s="59" t="s">
        <v>4</v>
      </c>
      <c r="B81" s="59" t="s">
        <v>5</v>
      </c>
      <c r="C81" s="59" t="s">
        <v>697</v>
      </c>
      <c r="D81" s="59" t="s">
        <v>699</v>
      </c>
      <c r="E81" s="59" t="s">
        <v>393</v>
      </c>
      <c r="F81" s="59" t="s">
        <v>47</v>
      </c>
      <c r="G81" s="59"/>
      <c r="H81" s="59" t="s">
        <v>16</v>
      </c>
      <c r="I81" s="59" t="s">
        <v>51</v>
      </c>
      <c r="J81" s="59" t="s">
        <v>660</v>
      </c>
    </row>
    <row r="82" spans="1:11" x14ac:dyDescent="0.2">
      <c r="A82" s="119" t="s">
        <v>734</v>
      </c>
      <c r="B82" s="119"/>
      <c r="C82" s="218"/>
      <c r="D82" s="218"/>
      <c r="E82" s="218"/>
      <c r="F82" s="218">
        <v>-56.56</v>
      </c>
      <c r="G82" s="218"/>
      <c r="H82" s="227">
        <v>17779</v>
      </c>
      <c r="I82" s="119" t="s">
        <v>735</v>
      </c>
      <c r="J82" s="119"/>
      <c r="K82" t="s">
        <v>317</v>
      </c>
    </row>
    <row r="83" spans="1:11" x14ac:dyDescent="0.2">
      <c r="A83" s="119" t="s">
        <v>719</v>
      </c>
      <c r="B83" s="119"/>
      <c r="C83" s="218"/>
      <c r="D83" s="218"/>
      <c r="E83" s="218">
        <v>-417</v>
      </c>
      <c r="F83" s="218"/>
      <c r="G83" s="218"/>
      <c r="H83" s="227">
        <v>17833</v>
      </c>
      <c r="I83" s="119" t="s">
        <v>724</v>
      </c>
      <c r="J83" s="119"/>
      <c r="K83" s="228"/>
    </row>
    <row r="84" spans="1:11" x14ac:dyDescent="0.2">
      <c r="A84" s="119" t="s">
        <v>738</v>
      </c>
      <c r="B84" s="119"/>
      <c r="C84" s="218"/>
      <c r="D84" s="218"/>
      <c r="E84" s="218"/>
      <c r="F84" s="218">
        <v>-16</v>
      </c>
      <c r="G84" s="218"/>
      <c r="H84" s="227">
        <v>17779</v>
      </c>
      <c r="I84" s="119" t="s">
        <v>739</v>
      </c>
      <c r="J84" s="119"/>
      <c r="K84" s="228" t="s">
        <v>317</v>
      </c>
    </row>
    <row r="85" spans="1:11" x14ac:dyDescent="0.2">
      <c r="A85" s="119" t="s">
        <v>723</v>
      </c>
      <c r="B85" s="119"/>
      <c r="C85" s="218"/>
      <c r="D85" s="218">
        <v>-9737</v>
      </c>
      <c r="E85" s="218"/>
      <c r="F85" s="218"/>
      <c r="G85" s="218"/>
      <c r="H85" s="227">
        <v>17833</v>
      </c>
      <c r="I85" s="119" t="s">
        <v>729</v>
      </c>
      <c r="J85" s="119"/>
      <c r="K85" s="228"/>
    </row>
    <row r="86" spans="1:11" x14ac:dyDescent="0.2">
      <c r="A86" s="119" t="s">
        <v>732</v>
      </c>
      <c r="B86" s="119"/>
      <c r="C86" s="218"/>
      <c r="D86" s="218"/>
      <c r="E86" s="218">
        <v>-35</v>
      </c>
      <c r="F86" s="218"/>
      <c r="G86" s="218"/>
      <c r="H86" s="227">
        <v>17779</v>
      </c>
      <c r="I86" s="119" t="s">
        <v>737</v>
      </c>
      <c r="J86" s="119"/>
      <c r="K86" s="228" t="s">
        <v>317</v>
      </c>
    </row>
    <row r="87" spans="1:11" x14ac:dyDescent="0.2">
      <c r="A87" s="119" t="s">
        <v>726</v>
      </c>
      <c r="B87" s="185"/>
      <c r="C87" s="186"/>
      <c r="D87" s="186"/>
      <c r="E87" s="186">
        <v>-532</v>
      </c>
      <c r="F87" s="186"/>
      <c r="G87" s="186"/>
      <c r="H87" s="226">
        <v>17833</v>
      </c>
      <c r="I87" s="185" t="s">
        <v>728</v>
      </c>
      <c r="J87" s="185"/>
      <c r="K87" s="183"/>
    </row>
    <row r="88" spans="1:11" x14ac:dyDescent="0.2">
      <c r="A88" s="119" t="s">
        <v>746</v>
      </c>
      <c r="B88" s="185"/>
      <c r="C88" s="186"/>
      <c r="D88" s="186"/>
      <c r="E88" s="186"/>
      <c r="F88" s="186">
        <v>-39.24</v>
      </c>
      <c r="G88" s="186"/>
      <c r="H88" s="226">
        <v>17779</v>
      </c>
      <c r="I88" s="185" t="s">
        <v>736</v>
      </c>
      <c r="J88" s="185"/>
      <c r="K88" s="183" t="s">
        <v>317</v>
      </c>
    </row>
    <row r="89" spans="1:11" x14ac:dyDescent="0.2">
      <c r="A89" s="119" t="s">
        <v>741</v>
      </c>
      <c r="B89" s="185"/>
      <c r="C89" s="186"/>
      <c r="D89" s="186"/>
      <c r="E89" s="186">
        <v>-95.7</v>
      </c>
      <c r="F89" s="186"/>
      <c r="G89" s="186"/>
      <c r="H89" s="226">
        <v>66183215</v>
      </c>
      <c r="I89" s="185" t="s">
        <v>782</v>
      </c>
      <c r="J89" s="185"/>
      <c r="K89" s="183"/>
    </row>
    <row r="90" spans="1:11" x14ac:dyDescent="0.2">
      <c r="A90" s="185" t="s">
        <v>733</v>
      </c>
      <c r="B90" s="185"/>
      <c r="C90" s="186"/>
      <c r="D90" s="186"/>
      <c r="E90" s="186">
        <v>-2090</v>
      </c>
      <c r="F90" s="186"/>
      <c r="G90" s="186"/>
      <c r="H90" s="226">
        <v>66183215</v>
      </c>
      <c r="I90" s="185" t="s">
        <v>748</v>
      </c>
      <c r="J90" s="185"/>
      <c r="K90" s="183"/>
    </row>
    <row r="91" spans="1:11" x14ac:dyDescent="0.2">
      <c r="A91" s="185" t="s">
        <v>747</v>
      </c>
      <c r="B91" s="185"/>
      <c r="C91" s="186"/>
      <c r="D91" s="186"/>
      <c r="E91" s="186">
        <v>-1082.25</v>
      </c>
      <c r="F91" s="186"/>
      <c r="G91" s="186"/>
      <c r="H91" s="226">
        <v>103252</v>
      </c>
      <c r="I91" s="185" t="s">
        <v>858</v>
      </c>
      <c r="J91" s="185"/>
      <c r="K91" s="183"/>
    </row>
    <row r="92" spans="1:11" x14ac:dyDescent="0.2">
      <c r="A92" s="185" t="s">
        <v>783</v>
      </c>
      <c r="B92" s="185"/>
      <c r="C92" s="186"/>
      <c r="D92" s="186"/>
      <c r="E92" s="186"/>
      <c r="F92" s="186">
        <v>-40</v>
      </c>
      <c r="G92" s="186"/>
      <c r="H92" s="226">
        <v>91045</v>
      </c>
      <c r="I92" s="185" t="s">
        <v>805</v>
      </c>
      <c r="J92" s="185"/>
      <c r="K92" s="183"/>
    </row>
    <row r="93" spans="1:11" x14ac:dyDescent="0.2">
      <c r="A93" s="185" t="s">
        <v>806</v>
      </c>
      <c r="B93" s="185"/>
      <c r="C93" s="186"/>
      <c r="D93" s="186">
        <v>-248</v>
      </c>
      <c r="E93" s="186"/>
      <c r="F93" s="186"/>
      <c r="G93" s="186"/>
      <c r="H93" s="226"/>
      <c r="I93" s="185" t="s">
        <v>809</v>
      </c>
      <c r="J93" s="185"/>
      <c r="K93" s="183"/>
    </row>
    <row r="94" spans="1:11" x14ac:dyDescent="0.2">
      <c r="A94" s="185" t="s">
        <v>807</v>
      </c>
      <c r="B94" s="185"/>
      <c r="C94" s="186"/>
      <c r="D94" s="186"/>
      <c r="E94" s="186">
        <v>-350</v>
      </c>
      <c r="F94" s="186"/>
      <c r="G94" s="186"/>
      <c r="H94" s="226"/>
      <c r="I94" s="185" t="s">
        <v>808</v>
      </c>
      <c r="J94" s="185"/>
      <c r="K94" s="183"/>
    </row>
    <row r="95" spans="1:11" x14ac:dyDescent="0.2">
      <c r="A95" s="185" t="s">
        <v>790</v>
      </c>
      <c r="B95" s="185"/>
      <c r="C95" s="186"/>
      <c r="D95" s="186"/>
      <c r="E95" s="186">
        <v>-173.7</v>
      </c>
      <c r="F95" s="186"/>
      <c r="G95" s="186"/>
      <c r="H95" s="226">
        <v>85021</v>
      </c>
      <c r="I95" s="185" t="s">
        <v>821</v>
      </c>
      <c r="J95" s="185"/>
      <c r="K95" s="183"/>
    </row>
    <row r="96" spans="1:11" x14ac:dyDescent="0.2">
      <c r="A96" s="185" t="s">
        <v>790</v>
      </c>
      <c r="B96" s="185"/>
      <c r="C96" s="186"/>
      <c r="D96" s="186"/>
      <c r="E96" s="186">
        <v>-865.8</v>
      </c>
      <c r="F96" s="186"/>
      <c r="G96" s="186"/>
      <c r="H96" s="226"/>
      <c r="I96" s="185" t="s">
        <v>792</v>
      </c>
      <c r="J96" s="185"/>
      <c r="K96" s="183" t="s">
        <v>1250</v>
      </c>
    </row>
    <row r="97" spans="1:11" x14ac:dyDescent="0.2">
      <c r="A97" s="185" t="s">
        <v>794</v>
      </c>
      <c r="B97" s="185"/>
      <c r="C97" s="186"/>
      <c r="D97" s="186"/>
      <c r="E97" s="186"/>
      <c r="F97" s="186"/>
      <c r="G97" s="186"/>
      <c r="H97" s="226"/>
      <c r="I97" s="185"/>
      <c r="J97" s="185"/>
      <c r="K97" s="183"/>
    </row>
    <row r="98" spans="1:11" x14ac:dyDescent="0.2">
      <c r="A98" s="185"/>
      <c r="B98" s="185"/>
      <c r="C98" s="235"/>
      <c r="D98" s="186"/>
      <c r="E98" s="186"/>
      <c r="F98" s="235">
        <v>-2788.75</v>
      </c>
      <c r="G98" s="186"/>
      <c r="H98" s="226"/>
      <c r="I98" s="185"/>
      <c r="J98" s="107" t="s">
        <v>526</v>
      </c>
      <c r="K98" s="183"/>
    </row>
    <row r="99" spans="1:11" x14ac:dyDescent="0.2">
      <c r="A99" s="185"/>
      <c r="B99" s="185"/>
      <c r="C99" s="235">
        <v>-10758.05</v>
      </c>
      <c r="D99" s="186"/>
      <c r="E99" s="186"/>
      <c r="F99" s="186"/>
      <c r="G99" s="186"/>
      <c r="H99" s="226"/>
      <c r="I99" s="185"/>
      <c r="J99" s="107" t="s">
        <v>527</v>
      </c>
      <c r="K99" s="183"/>
    </row>
    <row r="100" spans="1:11" x14ac:dyDescent="0.2">
      <c r="A100" s="185"/>
      <c r="B100" s="185"/>
      <c r="C100" s="235">
        <v>-2458.11</v>
      </c>
      <c r="D100" s="186"/>
      <c r="E100" s="186"/>
      <c r="F100" s="186"/>
      <c r="G100" s="186"/>
      <c r="H100" s="226"/>
      <c r="I100" s="185"/>
      <c r="J100" s="107" t="s">
        <v>528</v>
      </c>
      <c r="K100" s="183"/>
    </row>
    <row r="101" spans="1:11" x14ac:dyDescent="0.2">
      <c r="A101" s="185"/>
      <c r="B101" s="185"/>
      <c r="C101" s="235">
        <v>-1081.52</v>
      </c>
      <c r="D101" s="186"/>
      <c r="E101" s="186"/>
      <c r="F101" s="186"/>
      <c r="G101" s="186"/>
      <c r="H101" s="226"/>
      <c r="I101" s="185"/>
      <c r="J101" s="107" t="s">
        <v>529</v>
      </c>
      <c r="K101" s="183"/>
    </row>
    <row r="102" spans="1:11" x14ac:dyDescent="0.2">
      <c r="A102" s="185"/>
      <c r="B102" s="185"/>
      <c r="C102" s="159"/>
      <c r="D102" s="186"/>
      <c r="E102" s="186"/>
      <c r="F102" s="159">
        <f>-1628.63-2418.75</f>
        <v>-4047.38</v>
      </c>
      <c r="G102" s="186"/>
      <c r="H102" s="226"/>
      <c r="I102" s="185"/>
      <c r="J102" s="107" t="s">
        <v>466</v>
      </c>
      <c r="K102" s="183"/>
    </row>
    <row r="103" spans="1:11" x14ac:dyDescent="0.2">
      <c r="A103" s="185"/>
      <c r="B103" s="185"/>
      <c r="C103" s="159"/>
      <c r="D103" s="186"/>
      <c r="E103" s="186"/>
      <c r="F103" s="159">
        <v>-6555</v>
      </c>
      <c r="G103" s="186"/>
      <c r="H103" s="226"/>
      <c r="I103" s="185"/>
      <c r="J103" s="107" t="s">
        <v>465</v>
      </c>
      <c r="K103" s="183"/>
    </row>
    <row r="104" spans="1:11" x14ac:dyDescent="0.2">
      <c r="A104" s="185"/>
      <c r="B104" s="185"/>
      <c r="C104" s="159">
        <v>-9915.2800000000007</v>
      </c>
      <c r="D104" s="186"/>
      <c r="E104" s="186"/>
      <c r="F104" s="186"/>
      <c r="G104" s="186"/>
      <c r="H104" s="226"/>
      <c r="I104" s="185"/>
      <c r="J104" s="107" t="s">
        <v>467</v>
      </c>
      <c r="K104" s="183"/>
    </row>
    <row r="105" spans="1:11" x14ac:dyDescent="0.2">
      <c r="A105" s="185"/>
      <c r="B105" s="185"/>
      <c r="C105" s="159">
        <v>-2608.6799999999998</v>
      </c>
      <c r="D105" s="186"/>
      <c r="E105" s="186"/>
      <c r="F105" s="186"/>
      <c r="G105" s="186"/>
      <c r="H105" s="226"/>
      <c r="I105" s="185"/>
      <c r="J105" s="107" t="s">
        <v>468</v>
      </c>
      <c r="K105" s="183"/>
    </row>
    <row r="106" spans="1:11" x14ac:dyDescent="0.2">
      <c r="A106" s="185"/>
      <c r="B106" s="185"/>
      <c r="C106" s="159">
        <v>-4037.46</v>
      </c>
      <c r="D106" s="186"/>
      <c r="E106" s="186"/>
      <c r="F106" s="186"/>
      <c r="G106" s="186"/>
      <c r="H106" s="226"/>
      <c r="I106" s="185"/>
      <c r="J106" s="107" t="s">
        <v>469</v>
      </c>
      <c r="K106" s="183"/>
    </row>
    <row r="107" spans="1:11" x14ac:dyDescent="0.2">
      <c r="A107" s="185"/>
      <c r="B107" s="185"/>
      <c r="C107" s="159"/>
      <c r="D107" s="186"/>
      <c r="E107" s="186"/>
      <c r="F107" s="159">
        <v>-1701.19</v>
      </c>
      <c r="G107" s="186"/>
      <c r="H107" s="226"/>
      <c r="I107" s="185"/>
      <c r="J107" s="107" t="s">
        <v>405</v>
      </c>
      <c r="K107" s="183"/>
    </row>
    <row r="108" spans="1:11" x14ac:dyDescent="0.2">
      <c r="A108" s="185"/>
      <c r="B108" s="185"/>
      <c r="C108" s="159">
        <v>-3857.47</v>
      </c>
      <c r="D108" s="186"/>
      <c r="E108" s="186"/>
      <c r="F108" s="186"/>
      <c r="G108" s="186"/>
      <c r="H108" s="226"/>
      <c r="I108" s="185"/>
      <c r="J108" s="107" t="s">
        <v>407</v>
      </c>
      <c r="K108" s="183"/>
    </row>
    <row r="109" spans="1:11" x14ac:dyDescent="0.2">
      <c r="A109" s="185"/>
      <c r="B109" s="185"/>
      <c r="C109" s="159">
        <v>-9696.7999999999993</v>
      </c>
      <c r="D109" s="186"/>
      <c r="E109" s="186"/>
      <c r="F109" s="186"/>
      <c r="G109" s="186"/>
      <c r="H109" s="226"/>
      <c r="I109" s="185"/>
      <c r="J109" s="107" t="s">
        <v>406</v>
      </c>
      <c r="K109" s="183"/>
    </row>
    <row r="110" spans="1:11" x14ac:dyDescent="0.2">
      <c r="A110" s="185"/>
      <c r="B110" s="185"/>
      <c r="C110" s="186">
        <v>-4700</v>
      </c>
      <c r="D110" s="186"/>
      <c r="E110" s="186"/>
      <c r="F110" s="186"/>
      <c r="G110" s="186"/>
      <c r="H110" s="226"/>
      <c r="I110" s="185"/>
      <c r="J110" s="107" t="s">
        <v>329</v>
      </c>
      <c r="K110" s="183" t="s">
        <v>1197</v>
      </c>
    </row>
    <row r="111" spans="1:11" x14ac:dyDescent="0.2">
      <c r="A111" s="185"/>
      <c r="B111" s="185"/>
      <c r="C111" s="186"/>
      <c r="D111" s="186"/>
      <c r="E111" s="186"/>
      <c r="F111" s="186"/>
      <c r="G111" s="186"/>
      <c r="H111" s="226"/>
      <c r="I111" s="185"/>
      <c r="J111" s="107"/>
      <c r="K111" s="183"/>
    </row>
    <row r="112" spans="1:11" x14ac:dyDescent="0.2">
      <c r="A112" s="185"/>
      <c r="B112" s="185"/>
      <c r="C112" s="186"/>
      <c r="D112" s="186"/>
      <c r="E112" s="186"/>
      <c r="F112" s="186"/>
      <c r="G112" s="186"/>
      <c r="H112" s="226"/>
      <c r="I112" s="185"/>
      <c r="J112" s="107"/>
      <c r="K112" s="183"/>
    </row>
    <row r="113" spans="1:14" x14ac:dyDescent="0.2">
      <c r="A113" s="185"/>
      <c r="B113" s="185"/>
      <c r="C113" s="186"/>
      <c r="D113" s="186"/>
      <c r="E113" s="186"/>
      <c r="F113" s="186"/>
      <c r="G113" s="186"/>
      <c r="H113" s="226"/>
      <c r="I113" s="185"/>
      <c r="J113" s="107"/>
      <c r="K113" s="183"/>
    </row>
    <row r="114" spans="1:14" x14ac:dyDescent="0.2">
      <c r="A114" s="185"/>
      <c r="B114" s="185"/>
      <c r="C114" s="186"/>
      <c r="D114" s="186"/>
      <c r="E114" s="186"/>
      <c r="F114" s="186"/>
      <c r="G114" s="186"/>
      <c r="H114" s="226"/>
      <c r="I114" s="185"/>
      <c r="J114" s="107"/>
      <c r="K114" s="183"/>
    </row>
    <row r="115" spans="1:14" ht="15" x14ac:dyDescent="0.25">
      <c r="A115" s="133" t="s">
        <v>77</v>
      </c>
      <c r="B115" s="59"/>
      <c r="C115" s="184">
        <f>SUM(C82:C110)</f>
        <v>-49113.369999999995</v>
      </c>
      <c r="D115" s="184">
        <f>SUM(D82:D110)</f>
        <v>-9985</v>
      </c>
      <c r="E115" s="184">
        <f>SUM(E82:E110)</f>
        <v>-5641.45</v>
      </c>
      <c r="F115" s="184">
        <f>SUM(F82:F110)</f>
        <v>-15244.12</v>
      </c>
      <c r="G115" s="184"/>
      <c r="H115" s="184"/>
      <c r="I115" s="59"/>
      <c r="J115" s="229"/>
      <c r="K115" s="147"/>
      <c r="L115" s="134"/>
      <c r="M115" s="135"/>
      <c r="N115" s="134"/>
    </row>
    <row r="116" spans="1:14" ht="15" x14ac:dyDescent="0.25">
      <c r="A116" s="136" t="s">
        <v>78</v>
      </c>
      <c r="B116" s="137"/>
      <c r="C116" s="138">
        <v>50000</v>
      </c>
      <c r="D116" s="138">
        <v>10000</v>
      </c>
      <c r="E116" s="138">
        <v>5000</v>
      </c>
      <c r="F116" s="139">
        <v>15000</v>
      </c>
      <c r="G116" s="139"/>
      <c r="H116" s="138"/>
      <c r="I116" s="138">
        <f>SUM(C116:H116)</f>
        <v>80000</v>
      </c>
      <c r="J116" s="230"/>
      <c r="K116" s="148"/>
      <c r="L116" s="134"/>
      <c r="M116" s="135"/>
      <c r="N116" s="134"/>
    </row>
    <row r="117" spans="1:14" ht="15.75" thickBot="1" x14ac:dyDescent="0.3">
      <c r="A117" s="140" t="s">
        <v>79</v>
      </c>
      <c r="B117" s="141"/>
      <c r="C117" s="142">
        <f t="shared" ref="C117:F117" si="1">C116+C115</f>
        <v>886.63000000000466</v>
      </c>
      <c r="D117" s="142">
        <f t="shared" si="1"/>
        <v>15</v>
      </c>
      <c r="E117" s="142">
        <f t="shared" si="1"/>
        <v>-641.44999999999982</v>
      </c>
      <c r="F117" s="142">
        <f t="shared" si="1"/>
        <v>-244.1200000000008</v>
      </c>
      <c r="G117" s="142"/>
      <c r="H117" s="142"/>
      <c r="I117" s="143"/>
      <c r="J117" s="10"/>
      <c r="L117" s="134"/>
      <c r="M117" s="135"/>
      <c r="N117" s="134"/>
    </row>
    <row r="118" spans="1:14" ht="18.75" thickBot="1" x14ac:dyDescent="0.3">
      <c r="A118" s="144" t="s">
        <v>83</v>
      </c>
      <c r="B118" s="145">
        <f>SUM(C117:H117)</f>
        <v>16.060000000004038</v>
      </c>
      <c r="C118" s="132"/>
      <c r="D118" s="132"/>
      <c r="E118" s="146"/>
      <c r="F118" s="146"/>
      <c r="G118" s="146"/>
      <c r="H118" s="146"/>
      <c r="I118" s="146"/>
      <c r="L118" s="134"/>
      <c r="M118" s="135"/>
      <c r="N118" s="134"/>
    </row>
    <row r="122" spans="1:14" x14ac:dyDescent="0.2">
      <c r="A122" s="10"/>
      <c r="B122" s="164" t="s">
        <v>574</v>
      </c>
      <c r="C122" s="165"/>
      <c r="D122" s="165"/>
      <c r="E122" s="165">
        <v>0</v>
      </c>
      <c r="F122" s="165"/>
      <c r="G122" s="166"/>
      <c r="H122" s="167"/>
    </row>
    <row r="123" spans="1:14" ht="25.5" x14ac:dyDescent="0.2">
      <c r="A123" s="10"/>
      <c r="B123" s="168" t="s">
        <v>575</v>
      </c>
      <c r="C123" s="168" t="s">
        <v>576</v>
      </c>
      <c r="D123" s="168" t="s">
        <v>577</v>
      </c>
      <c r="E123" s="168" t="s">
        <v>578</v>
      </c>
      <c r="F123" s="168" t="s">
        <v>579</v>
      </c>
      <c r="G123" s="168" t="s">
        <v>580</v>
      </c>
      <c r="H123" s="169" t="s">
        <v>11</v>
      </c>
    </row>
    <row r="124" spans="1:14" x14ac:dyDescent="0.2">
      <c r="A124" s="305" t="s">
        <v>62</v>
      </c>
      <c r="B124" s="169" t="s">
        <v>581</v>
      </c>
      <c r="C124" s="170"/>
      <c r="D124" s="119"/>
      <c r="E124" s="171"/>
      <c r="F124" s="171"/>
      <c r="G124" s="171"/>
      <c r="H124" s="119"/>
    </row>
    <row r="125" spans="1:14" x14ac:dyDescent="0.2">
      <c r="A125" s="305"/>
      <c r="B125" s="169" t="s">
        <v>582</v>
      </c>
      <c r="C125" s="119"/>
      <c r="D125" s="119"/>
      <c r="E125" s="171"/>
      <c r="F125" s="171"/>
      <c r="G125" s="171"/>
      <c r="H125" s="119"/>
    </row>
    <row r="126" spans="1:14" x14ac:dyDescent="0.2">
      <c r="A126" s="305" t="s">
        <v>63</v>
      </c>
      <c r="B126" s="169" t="s">
        <v>581</v>
      </c>
      <c r="C126" s="119"/>
      <c r="D126" s="119"/>
      <c r="E126" s="171"/>
      <c r="F126" s="171"/>
      <c r="G126" s="171"/>
      <c r="H126" s="119"/>
    </row>
    <row r="127" spans="1:14" x14ac:dyDescent="0.2">
      <c r="A127" s="305"/>
      <c r="B127" s="169" t="s">
        <v>582</v>
      </c>
      <c r="C127" s="119" t="s">
        <v>884</v>
      </c>
      <c r="D127" s="119">
        <v>1838</v>
      </c>
      <c r="E127" s="272">
        <v>48000</v>
      </c>
      <c r="F127" s="171"/>
      <c r="G127" s="171"/>
      <c r="H127" s="119" t="s">
        <v>768</v>
      </c>
      <c r="I127" t="s">
        <v>1088</v>
      </c>
    </row>
    <row r="128" spans="1:14" x14ac:dyDescent="0.2">
      <c r="A128" s="305" t="s">
        <v>64</v>
      </c>
      <c r="B128" s="169" t="s">
        <v>581</v>
      </c>
      <c r="C128" s="119" t="s">
        <v>884</v>
      </c>
      <c r="D128" s="119">
        <v>1839</v>
      </c>
      <c r="E128" s="272">
        <v>32000</v>
      </c>
      <c r="F128" s="171"/>
      <c r="G128" s="171"/>
      <c r="H128" s="119" t="s">
        <v>768</v>
      </c>
      <c r="I128" t="s">
        <v>1088</v>
      </c>
    </row>
    <row r="129" spans="1:8" x14ac:dyDescent="0.2">
      <c r="A129" s="305"/>
      <c r="B129" s="169" t="s">
        <v>582</v>
      </c>
      <c r="C129" s="119"/>
      <c r="D129" s="119"/>
      <c r="E129" s="171"/>
      <c r="F129" s="171"/>
      <c r="G129" s="171"/>
      <c r="H129" s="119"/>
    </row>
    <row r="130" spans="1:8" x14ac:dyDescent="0.2">
      <c r="A130" s="10"/>
      <c r="B130" s="172" t="s">
        <v>65</v>
      </c>
      <c r="C130" s="172"/>
      <c r="D130" s="172"/>
      <c r="E130" s="173">
        <f>SUM(E124:E129)</f>
        <v>80000</v>
      </c>
      <c r="F130" s="174">
        <f>SUM(F124:F129)</f>
        <v>0</v>
      </c>
      <c r="G130" s="174">
        <f>SUM(G124:G129)</f>
        <v>0</v>
      </c>
      <c r="H130" s="175"/>
    </row>
    <row r="131" spans="1:8" x14ac:dyDescent="0.2">
      <c r="A131" s="176"/>
      <c r="B131" s="176"/>
      <c r="C131" s="177"/>
      <c r="D131" s="176"/>
      <c r="E131" s="177"/>
      <c r="F131" s="177"/>
      <c r="G131" s="177"/>
      <c r="H131" s="177"/>
    </row>
    <row r="132" spans="1:8" x14ac:dyDescent="0.2">
      <c r="B132" s="176"/>
      <c r="C132" s="177"/>
      <c r="D132" s="176"/>
      <c r="E132" s="177"/>
      <c r="F132" s="177"/>
      <c r="G132" s="177"/>
      <c r="H132" s="177"/>
    </row>
    <row r="133" spans="1:8" x14ac:dyDescent="0.2">
      <c r="B133" s="176"/>
      <c r="C133" s="177"/>
      <c r="D133" s="176"/>
      <c r="E133" s="177"/>
      <c r="F133" s="177"/>
      <c r="G133" s="177"/>
      <c r="H133" s="177"/>
    </row>
    <row r="134" spans="1:8" x14ac:dyDescent="0.2">
      <c r="A134" s="178" t="s">
        <v>583</v>
      </c>
      <c r="B134" s="178"/>
      <c r="C134" s="178"/>
      <c r="D134" s="176"/>
      <c r="E134" s="179" t="s">
        <v>584</v>
      </c>
      <c r="F134" s="180"/>
      <c r="G134" s="180"/>
      <c r="H134" s="180"/>
    </row>
    <row r="135" spans="1:8" x14ac:dyDescent="0.2">
      <c r="A135" s="169" t="s">
        <v>585</v>
      </c>
      <c r="B135" s="169" t="s">
        <v>586</v>
      </c>
      <c r="C135" s="169" t="s">
        <v>11</v>
      </c>
      <c r="D135" s="176"/>
      <c r="E135" s="181" t="s">
        <v>587</v>
      </c>
      <c r="F135" s="182"/>
      <c r="G135" s="182"/>
      <c r="H135" s="182"/>
    </row>
    <row r="136" spans="1:8" x14ac:dyDescent="0.2">
      <c r="A136" s="175" t="s">
        <v>588</v>
      </c>
      <c r="B136" s="175"/>
      <c r="C136" s="175"/>
      <c r="D136" s="177"/>
      <c r="E136" s="168" t="s">
        <v>395</v>
      </c>
      <c r="F136" s="182"/>
      <c r="G136" s="182"/>
      <c r="H136" s="182"/>
    </row>
    <row r="137" spans="1:8" x14ac:dyDescent="0.2">
      <c r="A137" s="175" t="s">
        <v>589</v>
      </c>
      <c r="B137" s="175"/>
      <c r="C137" s="175"/>
      <c r="D137" s="177"/>
      <c r="E137" s="177"/>
      <c r="F137" s="177"/>
      <c r="G137" s="177"/>
      <c r="H137" s="177"/>
    </row>
  </sheetData>
  <mergeCells count="3">
    <mergeCell ref="A124:A125"/>
    <mergeCell ref="A126:A127"/>
    <mergeCell ref="A128:A129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9"/>
  <sheetViews>
    <sheetView rightToLeft="1" topLeftCell="A4" workbookViewId="0">
      <pane ySplit="20" topLeftCell="A85" activePane="bottomLeft" state="frozen"/>
      <selection activeCell="A4" sqref="A4"/>
      <selection pane="bottomLeft" activeCell="B100" sqref="B100"/>
    </sheetView>
  </sheetViews>
  <sheetFormatPr defaultRowHeight="14.25" x14ac:dyDescent="0.2"/>
  <cols>
    <col min="2" max="2" width="10.875" customWidth="1"/>
    <col min="4" max="4" width="17.875" customWidth="1"/>
    <col min="5" max="5" width="35.125" customWidth="1"/>
    <col min="6" max="6" width="8.625" customWidth="1"/>
    <col min="7" max="7" width="10.625" customWidth="1"/>
    <col min="9" max="9" width="11.5" customWidth="1"/>
  </cols>
  <sheetData>
    <row r="2" spans="2:17" ht="23.25" x14ac:dyDescent="0.35">
      <c r="B2" s="304" t="s">
        <v>221</v>
      </c>
      <c r="C2" s="304"/>
      <c r="D2" s="304"/>
      <c r="E2" s="304"/>
      <c r="F2" s="304"/>
      <c r="G2" s="304"/>
      <c r="H2" s="304"/>
      <c r="I2" s="304"/>
    </row>
    <row r="3" spans="2:17" ht="15.75" x14ac:dyDescent="0.25">
      <c r="B3" s="2" t="s">
        <v>0</v>
      </c>
      <c r="F3" s="3"/>
      <c r="G3" s="3"/>
      <c r="H3" s="3"/>
      <c r="L3" t="s">
        <v>238</v>
      </c>
    </row>
    <row r="4" spans="2:17" x14ac:dyDescent="0.2">
      <c r="B4" s="4"/>
    </row>
    <row r="5" spans="2:17" x14ac:dyDescent="0.2">
      <c r="B5" s="4" t="s">
        <v>1</v>
      </c>
      <c r="C5" s="5" t="s">
        <v>123</v>
      </c>
      <c r="D5" s="4" t="s">
        <v>2</v>
      </c>
      <c r="E5" s="3" t="s">
        <v>222</v>
      </c>
    </row>
    <row r="6" spans="2:17" x14ac:dyDescent="0.2">
      <c r="B6" s="6" t="s">
        <v>3</v>
      </c>
    </row>
    <row r="7" spans="2:17" x14ac:dyDescent="0.2">
      <c r="B7" s="7" t="s">
        <v>4</v>
      </c>
      <c r="C7" s="7" t="s">
        <v>5</v>
      </c>
      <c r="D7" s="7" t="s">
        <v>6</v>
      </c>
      <c r="E7" s="7" t="s">
        <v>7</v>
      </c>
      <c r="F7" s="7" t="s">
        <v>8</v>
      </c>
      <c r="G7" s="7" t="s">
        <v>570</v>
      </c>
      <c r="H7" s="7" t="s">
        <v>10</v>
      </c>
      <c r="I7" s="7" t="s">
        <v>59</v>
      </c>
      <c r="J7" s="8" t="s">
        <v>11</v>
      </c>
      <c r="O7" s="287"/>
      <c r="P7" s="287" t="s">
        <v>1165</v>
      </c>
      <c r="Q7" s="287" t="s">
        <v>1164</v>
      </c>
    </row>
    <row r="8" spans="2:17" x14ac:dyDescent="0.2">
      <c r="B8" s="279" t="s">
        <v>312</v>
      </c>
      <c r="C8" s="155"/>
      <c r="D8" s="163" t="s">
        <v>323</v>
      </c>
      <c r="E8" s="280" t="s">
        <v>324</v>
      </c>
      <c r="F8" s="281"/>
      <c r="G8" s="163">
        <v>1</v>
      </c>
      <c r="H8" s="161">
        <v>25000</v>
      </c>
      <c r="I8" s="162"/>
      <c r="J8" s="280"/>
      <c r="O8" s="287"/>
      <c r="P8" s="287" t="s">
        <v>1166</v>
      </c>
      <c r="Q8" s="287"/>
    </row>
    <row r="9" spans="2:17" x14ac:dyDescent="0.2">
      <c r="B9" s="279" t="s">
        <v>554</v>
      </c>
      <c r="C9" s="280"/>
      <c r="D9" s="280" t="s">
        <v>323</v>
      </c>
      <c r="E9" s="280" t="s">
        <v>569</v>
      </c>
      <c r="F9" s="282"/>
      <c r="G9" s="280">
        <v>2</v>
      </c>
      <c r="H9" s="238">
        <v>26000</v>
      </c>
      <c r="I9" s="162"/>
      <c r="J9" s="280"/>
    </row>
    <row r="10" spans="2:17" ht="15" x14ac:dyDescent="0.2">
      <c r="B10" s="279" t="s">
        <v>653</v>
      </c>
      <c r="C10" s="280"/>
      <c r="D10" s="280" t="s">
        <v>323</v>
      </c>
      <c r="E10" s="280" t="s">
        <v>654</v>
      </c>
      <c r="F10" s="280"/>
      <c r="G10" s="280">
        <v>4</v>
      </c>
      <c r="H10" s="162">
        <v>19000</v>
      </c>
      <c r="I10" s="162"/>
      <c r="J10" s="280"/>
      <c r="O10" s="288" t="s">
        <v>1168</v>
      </c>
    </row>
    <row r="11" spans="2:17" ht="15" x14ac:dyDescent="0.2">
      <c r="B11" s="279"/>
      <c r="C11" s="280"/>
      <c r="D11" s="280" t="s">
        <v>323</v>
      </c>
      <c r="E11" s="280" t="s">
        <v>867</v>
      </c>
      <c r="F11" s="280"/>
      <c r="G11" s="280">
        <v>5</v>
      </c>
      <c r="H11" s="278">
        <v>44000</v>
      </c>
      <c r="I11" s="162"/>
      <c r="J11" s="280"/>
      <c r="O11" s="288" t="s">
        <v>1169</v>
      </c>
    </row>
    <row r="12" spans="2:17" x14ac:dyDescent="0.2">
      <c r="B12" s="279" t="s">
        <v>994</v>
      </c>
      <c r="C12" s="280"/>
      <c r="D12" s="280" t="s">
        <v>323</v>
      </c>
      <c r="E12" s="280" t="s">
        <v>867</v>
      </c>
      <c r="F12" s="280"/>
      <c r="G12" s="280">
        <v>7</v>
      </c>
      <c r="H12" s="278">
        <v>27000</v>
      </c>
      <c r="I12" s="162"/>
      <c r="J12" s="280"/>
    </row>
    <row r="13" spans="2:17" x14ac:dyDescent="0.2">
      <c r="B13" s="279" t="s">
        <v>1084</v>
      </c>
      <c r="C13" s="280"/>
      <c r="D13" s="280" t="s">
        <v>323</v>
      </c>
      <c r="E13" s="280"/>
      <c r="F13" s="280"/>
      <c r="G13" s="280">
        <v>8</v>
      </c>
      <c r="H13" s="278">
        <v>3500</v>
      </c>
      <c r="I13" s="162"/>
      <c r="J13" s="280"/>
    </row>
    <row r="14" spans="2:17" x14ac:dyDescent="0.2">
      <c r="B14" s="279" t="s">
        <v>1136</v>
      </c>
      <c r="C14" s="280"/>
      <c r="D14" s="280" t="s">
        <v>323</v>
      </c>
      <c r="E14" s="280"/>
      <c r="F14" s="280"/>
      <c r="G14" s="280"/>
      <c r="H14" s="278">
        <v>7920</v>
      </c>
      <c r="I14" s="162"/>
      <c r="J14" s="280"/>
    </row>
    <row r="15" spans="2:17" x14ac:dyDescent="0.2">
      <c r="B15" s="279"/>
      <c r="C15" s="280"/>
      <c r="D15" s="280" t="s">
        <v>1178</v>
      </c>
      <c r="E15" s="280"/>
      <c r="F15" s="280"/>
      <c r="G15" s="280"/>
      <c r="H15" s="162">
        <v>6500</v>
      </c>
      <c r="I15" s="162"/>
      <c r="J15" s="280"/>
    </row>
    <row r="16" spans="2:17" x14ac:dyDescent="0.2">
      <c r="B16" s="279"/>
      <c r="C16" s="280"/>
      <c r="D16" s="280" t="s">
        <v>1178</v>
      </c>
      <c r="E16" s="280"/>
      <c r="F16" s="280"/>
      <c r="G16" s="280"/>
      <c r="H16" s="162">
        <v>6500</v>
      </c>
      <c r="I16" s="162"/>
      <c r="J16" s="280"/>
    </row>
    <row r="17" spans="2:11" x14ac:dyDescent="0.2">
      <c r="B17" s="279"/>
      <c r="C17" s="280"/>
      <c r="D17" s="280"/>
      <c r="E17" s="280"/>
      <c r="F17" s="280"/>
      <c r="G17" s="280"/>
      <c r="H17" s="162"/>
      <c r="I17" s="162"/>
      <c r="J17" s="280"/>
    </row>
    <row r="18" spans="2:11" x14ac:dyDescent="0.2">
      <c r="B18" s="279"/>
      <c r="C18" s="280"/>
      <c r="D18" s="280"/>
      <c r="E18" s="280"/>
      <c r="F18" s="280"/>
      <c r="G18" s="280"/>
      <c r="H18" s="162"/>
      <c r="I18" s="162"/>
      <c r="J18" s="280"/>
    </row>
    <row r="19" spans="2:11" x14ac:dyDescent="0.2">
      <c r="B19" s="15"/>
      <c r="C19" s="12"/>
      <c r="D19" s="12"/>
      <c r="E19" s="12"/>
      <c r="F19" s="12"/>
      <c r="G19" s="12"/>
      <c r="H19" s="14"/>
      <c r="I19" s="14"/>
      <c r="J19" s="12"/>
    </row>
    <row r="20" spans="2:11" x14ac:dyDescent="0.2">
      <c r="B20" s="16"/>
      <c r="C20" s="16"/>
      <c r="D20" s="16"/>
      <c r="E20" s="16"/>
      <c r="F20" s="16"/>
      <c r="G20" s="16"/>
      <c r="H20" s="17">
        <f>SUM(H8:H19)</f>
        <v>165420</v>
      </c>
      <c r="I20" s="17">
        <f>SUM(I8:I19)</f>
        <v>0</v>
      </c>
      <c r="J20" s="16"/>
    </row>
    <row r="21" spans="2:11" x14ac:dyDescent="0.2">
      <c r="B21" s="18"/>
      <c r="C21" s="19"/>
      <c r="D21" s="19"/>
      <c r="E21" s="19"/>
      <c r="F21" s="19"/>
      <c r="G21" s="19"/>
      <c r="H21" s="19"/>
      <c r="I21" s="20"/>
    </row>
    <row r="22" spans="2:11" x14ac:dyDescent="0.2">
      <c r="B22" s="6" t="s">
        <v>13</v>
      </c>
      <c r="C22" s="19"/>
      <c r="D22" s="19"/>
      <c r="E22" s="19"/>
      <c r="F22" s="19"/>
      <c r="G22" s="19"/>
      <c r="H22" s="19"/>
      <c r="I22" s="20"/>
    </row>
    <row r="23" spans="2:11" x14ac:dyDescent="0.2">
      <c r="B23" s="7" t="s">
        <v>4</v>
      </c>
      <c r="C23" s="7" t="s">
        <v>14</v>
      </c>
      <c r="D23" s="7" t="s">
        <v>15</v>
      </c>
      <c r="E23" s="7" t="s">
        <v>51</v>
      </c>
      <c r="F23" s="7"/>
      <c r="G23" s="7" t="s">
        <v>17</v>
      </c>
      <c r="H23" s="7" t="s">
        <v>10</v>
      </c>
      <c r="I23" s="7" t="s">
        <v>92</v>
      </c>
      <c r="J23" s="7" t="s">
        <v>16</v>
      </c>
    </row>
    <row r="24" spans="2:11" x14ac:dyDescent="0.2">
      <c r="B24" s="15" t="s">
        <v>325</v>
      </c>
      <c r="C24" s="12" t="s">
        <v>101</v>
      </c>
      <c r="D24" s="12" t="s">
        <v>247</v>
      </c>
      <c r="E24" s="12" t="s">
        <v>326</v>
      </c>
      <c r="F24" s="12"/>
      <c r="G24" s="12">
        <v>46653</v>
      </c>
      <c r="H24" s="158">
        <v>-8300</v>
      </c>
      <c r="I24" s="10"/>
      <c r="J24" s="12">
        <v>18770</v>
      </c>
    </row>
    <row r="25" spans="2:11" x14ac:dyDescent="0.2">
      <c r="B25" s="15" t="s">
        <v>325</v>
      </c>
      <c r="C25" s="12" t="s">
        <v>101</v>
      </c>
      <c r="D25" s="12" t="s">
        <v>334</v>
      </c>
      <c r="E25" s="12" t="s">
        <v>335</v>
      </c>
      <c r="F25" s="12"/>
      <c r="G25" s="12">
        <v>27833</v>
      </c>
      <c r="H25" s="158">
        <v>-44</v>
      </c>
      <c r="I25" s="10"/>
      <c r="J25" s="12">
        <v>58786911</v>
      </c>
    </row>
    <row r="26" spans="2:11" x14ac:dyDescent="0.2">
      <c r="B26" s="163" t="s">
        <v>417</v>
      </c>
      <c r="C26" s="163"/>
      <c r="D26" s="214" t="s">
        <v>66</v>
      </c>
      <c r="E26" s="214" t="s">
        <v>479</v>
      </c>
      <c r="F26" s="214"/>
      <c r="G26" s="214">
        <v>339180</v>
      </c>
      <c r="H26" s="237">
        <v>-1838</v>
      </c>
      <c r="I26" s="214"/>
      <c r="J26" s="155">
        <v>51546295</v>
      </c>
    </row>
    <row r="27" spans="2:11" x14ac:dyDescent="0.2">
      <c r="B27" s="163" t="s">
        <v>554</v>
      </c>
      <c r="C27" s="163"/>
      <c r="D27" s="214" t="s">
        <v>247</v>
      </c>
      <c r="E27" s="214" t="s">
        <v>297</v>
      </c>
      <c r="F27" s="214"/>
      <c r="G27" s="214">
        <v>47660</v>
      </c>
      <c r="H27" s="237">
        <v>-8320</v>
      </c>
      <c r="I27" s="214"/>
      <c r="J27" s="155">
        <v>155681</v>
      </c>
    </row>
    <row r="28" spans="2:11" x14ac:dyDescent="0.2">
      <c r="B28" s="163" t="s">
        <v>643</v>
      </c>
      <c r="C28" s="163"/>
      <c r="D28" s="214" t="s">
        <v>644</v>
      </c>
      <c r="E28" s="214" t="s">
        <v>645</v>
      </c>
      <c r="F28" s="214"/>
      <c r="G28" s="214">
        <v>134043</v>
      </c>
      <c r="H28" s="237">
        <v>-350</v>
      </c>
      <c r="I28" s="214"/>
      <c r="J28" s="155">
        <v>155638</v>
      </c>
      <c r="K28" s="267" t="s">
        <v>543</v>
      </c>
    </row>
    <row r="29" spans="2:11" x14ac:dyDescent="0.2">
      <c r="B29" s="163" t="s">
        <v>671</v>
      </c>
      <c r="C29" s="163"/>
      <c r="D29" s="214" t="s">
        <v>334</v>
      </c>
      <c r="E29" s="214" t="s">
        <v>672</v>
      </c>
      <c r="F29" s="214"/>
      <c r="G29" s="214">
        <v>30215</v>
      </c>
      <c r="H29" s="237">
        <v>-22</v>
      </c>
      <c r="I29" s="214"/>
      <c r="J29" s="155">
        <v>95047</v>
      </c>
      <c r="K29" s="267"/>
    </row>
    <row r="30" spans="2:11" x14ac:dyDescent="0.2">
      <c r="B30" s="163" t="s">
        <v>563</v>
      </c>
      <c r="C30" s="163"/>
      <c r="D30" s="214" t="s">
        <v>369</v>
      </c>
      <c r="E30" s="214" t="s">
        <v>646</v>
      </c>
      <c r="F30" s="214"/>
      <c r="G30" s="214">
        <v>22299</v>
      </c>
      <c r="H30" s="237">
        <v>-45</v>
      </c>
      <c r="I30" s="214"/>
      <c r="J30" s="155">
        <v>155638</v>
      </c>
      <c r="K30" s="267" t="s">
        <v>543</v>
      </c>
    </row>
    <row r="31" spans="2:11" x14ac:dyDescent="0.2">
      <c r="B31" s="163" t="s">
        <v>591</v>
      </c>
      <c r="C31" s="163"/>
      <c r="D31" s="214" t="s">
        <v>247</v>
      </c>
      <c r="E31" s="214" t="s">
        <v>592</v>
      </c>
      <c r="F31" s="214"/>
      <c r="G31" s="214">
        <v>47672</v>
      </c>
      <c r="H31" s="237">
        <v>-1000</v>
      </c>
      <c r="I31" s="214"/>
      <c r="J31" s="155">
        <v>155681</v>
      </c>
      <c r="K31" s="267"/>
    </row>
    <row r="32" spans="2:11" x14ac:dyDescent="0.2">
      <c r="B32" s="163" t="s">
        <v>598</v>
      </c>
      <c r="C32" s="163"/>
      <c r="D32" s="214" t="s">
        <v>599</v>
      </c>
      <c r="E32" s="214" t="s">
        <v>600</v>
      </c>
      <c r="F32" s="214"/>
      <c r="G32" s="214" t="s">
        <v>604</v>
      </c>
      <c r="H32" s="237">
        <v>-7699</v>
      </c>
      <c r="I32" s="214"/>
      <c r="J32" s="155">
        <v>155681</v>
      </c>
      <c r="K32" s="267"/>
    </row>
    <row r="33" spans="2:11" x14ac:dyDescent="0.2">
      <c r="B33" s="163" t="s">
        <v>772</v>
      </c>
      <c r="C33" s="163"/>
      <c r="D33" s="214" t="s">
        <v>334</v>
      </c>
      <c r="E33" s="214" t="s">
        <v>773</v>
      </c>
      <c r="F33" s="214"/>
      <c r="G33" s="214">
        <v>31949</v>
      </c>
      <c r="H33" s="215">
        <v>-495</v>
      </c>
      <c r="I33" s="214"/>
      <c r="J33" s="155">
        <v>85021</v>
      </c>
      <c r="K33" s="267"/>
    </row>
    <row r="34" spans="2:11" x14ac:dyDescent="0.2">
      <c r="B34" s="163" t="s">
        <v>900</v>
      </c>
      <c r="C34" s="163"/>
      <c r="D34" s="214" t="s">
        <v>917</v>
      </c>
      <c r="E34" s="214" t="s">
        <v>918</v>
      </c>
      <c r="F34" s="214"/>
      <c r="G34" s="214" t="s">
        <v>935</v>
      </c>
      <c r="H34" s="277">
        <v>-66.19</v>
      </c>
      <c r="I34" s="214"/>
      <c r="J34" s="155">
        <v>103143</v>
      </c>
      <c r="K34" s="267" t="s">
        <v>543</v>
      </c>
    </row>
    <row r="35" spans="2:11" x14ac:dyDescent="0.2">
      <c r="B35" s="163" t="s">
        <v>904</v>
      </c>
      <c r="C35" s="163"/>
      <c r="D35" s="214" t="s">
        <v>919</v>
      </c>
      <c r="E35" s="214" t="s">
        <v>920</v>
      </c>
      <c r="F35" s="214"/>
      <c r="G35" s="214" t="s">
        <v>936</v>
      </c>
      <c r="H35" s="277">
        <v>-241.21</v>
      </c>
      <c r="I35" s="214"/>
      <c r="J35" s="155">
        <v>103143</v>
      </c>
      <c r="K35" s="267" t="s">
        <v>543</v>
      </c>
    </row>
    <row r="36" spans="2:11" x14ac:dyDescent="0.2">
      <c r="B36" s="163" t="s">
        <v>876</v>
      </c>
      <c r="C36" s="163"/>
      <c r="D36" s="214" t="s">
        <v>877</v>
      </c>
      <c r="E36" s="214" t="s">
        <v>878</v>
      </c>
      <c r="F36" s="214"/>
      <c r="G36" s="214">
        <v>4320</v>
      </c>
      <c r="H36" s="277">
        <v>-9530.67</v>
      </c>
      <c r="I36" s="214"/>
      <c r="J36" s="155">
        <v>23159</v>
      </c>
      <c r="K36" s="267" t="s">
        <v>1038</v>
      </c>
    </row>
    <row r="37" spans="2:11" x14ac:dyDescent="0.2">
      <c r="B37" s="163" t="s">
        <v>879</v>
      </c>
      <c r="C37" s="163"/>
      <c r="D37" s="214" t="s">
        <v>921</v>
      </c>
      <c r="E37" s="214" t="s">
        <v>922</v>
      </c>
      <c r="F37" s="214"/>
      <c r="G37" s="214">
        <v>291948</v>
      </c>
      <c r="H37" s="277">
        <v>-214</v>
      </c>
      <c r="I37" s="214"/>
      <c r="J37" s="155">
        <v>103143</v>
      </c>
      <c r="K37" s="267" t="s">
        <v>543</v>
      </c>
    </row>
    <row r="38" spans="2:11" x14ac:dyDescent="0.2">
      <c r="B38" s="163" t="s">
        <v>875</v>
      </c>
      <c r="C38" s="163"/>
      <c r="D38" s="214" t="s">
        <v>919</v>
      </c>
      <c r="E38" s="214" t="s">
        <v>923</v>
      </c>
      <c r="F38" s="214"/>
      <c r="G38" s="214" t="s">
        <v>937</v>
      </c>
      <c r="H38" s="277">
        <v>-216.31</v>
      </c>
      <c r="I38" s="214"/>
      <c r="J38" s="155">
        <v>103143</v>
      </c>
      <c r="K38" s="267" t="s">
        <v>543</v>
      </c>
    </row>
    <row r="39" spans="2:11" x14ac:dyDescent="0.2">
      <c r="B39" s="163" t="s">
        <v>910</v>
      </c>
      <c r="C39" s="163"/>
      <c r="D39" s="214" t="s">
        <v>605</v>
      </c>
      <c r="E39" s="214" t="s">
        <v>924</v>
      </c>
      <c r="F39" s="214"/>
      <c r="G39" s="214">
        <v>1023009442</v>
      </c>
      <c r="H39" s="277">
        <v>-36.799999999999997</v>
      </c>
      <c r="I39" s="214"/>
      <c r="J39" s="155">
        <v>103143</v>
      </c>
      <c r="K39" s="267" t="s">
        <v>543</v>
      </c>
    </row>
    <row r="40" spans="2:11" x14ac:dyDescent="0.2">
      <c r="B40" s="163" t="s">
        <v>883</v>
      </c>
      <c r="C40" s="163"/>
      <c r="D40" s="214" t="s">
        <v>925</v>
      </c>
      <c r="E40" s="214" t="s">
        <v>926</v>
      </c>
      <c r="F40" s="214"/>
      <c r="G40" s="214">
        <v>22032700880</v>
      </c>
      <c r="H40" s="277">
        <v>-998</v>
      </c>
      <c r="I40" s="214"/>
      <c r="J40" s="155">
        <v>103143</v>
      </c>
      <c r="K40" s="267" t="s">
        <v>543</v>
      </c>
    </row>
    <row r="41" spans="2:11" x14ac:dyDescent="0.2">
      <c r="B41" s="163" t="s">
        <v>914</v>
      </c>
      <c r="C41" s="163"/>
      <c r="D41" s="214" t="s">
        <v>413</v>
      </c>
      <c r="E41" s="214" t="s">
        <v>927</v>
      </c>
      <c r="F41" s="214"/>
      <c r="G41" s="214" t="s">
        <v>938</v>
      </c>
      <c r="H41" s="277">
        <v>-708</v>
      </c>
      <c r="I41" s="214"/>
      <c r="J41" s="155">
        <v>103143</v>
      </c>
      <c r="K41" s="267" t="s">
        <v>543</v>
      </c>
    </row>
    <row r="42" spans="2:11" x14ac:dyDescent="0.2">
      <c r="B42" s="163" t="s">
        <v>928</v>
      </c>
      <c r="C42" s="163"/>
      <c r="D42" s="214" t="s">
        <v>929</v>
      </c>
      <c r="E42" s="214" t="s">
        <v>930</v>
      </c>
      <c r="F42" s="214"/>
      <c r="G42" s="214" t="s">
        <v>939</v>
      </c>
      <c r="H42" s="277">
        <v>-1056.4100000000001</v>
      </c>
      <c r="I42" s="214"/>
      <c r="J42" s="155">
        <v>103143</v>
      </c>
      <c r="K42" s="267" t="s">
        <v>543</v>
      </c>
    </row>
    <row r="43" spans="2:11" x14ac:dyDescent="0.2">
      <c r="B43" s="163" t="s">
        <v>928</v>
      </c>
      <c r="C43" s="163"/>
      <c r="D43" s="214" t="s">
        <v>931</v>
      </c>
      <c r="E43" s="214" t="s">
        <v>932</v>
      </c>
      <c r="F43" s="214"/>
      <c r="G43" s="214">
        <v>119462</v>
      </c>
      <c r="H43" s="277">
        <v>-460</v>
      </c>
      <c r="I43" s="214"/>
      <c r="J43" s="155">
        <v>103143</v>
      </c>
      <c r="K43" s="267" t="s">
        <v>543</v>
      </c>
    </row>
    <row r="44" spans="2:11" x14ac:dyDescent="0.2">
      <c r="B44" s="163" t="s">
        <v>928</v>
      </c>
      <c r="C44" s="163"/>
      <c r="D44" s="214" t="s">
        <v>919</v>
      </c>
      <c r="E44" s="214" t="s">
        <v>933</v>
      </c>
      <c r="F44" s="214"/>
      <c r="G44" s="177" t="s">
        <v>934</v>
      </c>
      <c r="H44" s="277">
        <v>-255.91</v>
      </c>
      <c r="I44" s="214"/>
      <c r="J44" s="155">
        <v>103143</v>
      </c>
      <c r="K44" s="267" t="s">
        <v>543</v>
      </c>
    </row>
    <row r="45" spans="2:11" x14ac:dyDescent="0.2">
      <c r="B45" s="163" t="s">
        <v>888</v>
      </c>
      <c r="C45" s="163"/>
      <c r="D45" s="214" t="s">
        <v>974</v>
      </c>
      <c r="E45" s="214" t="s">
        <v>927</v>
      </c>
      <c r="F45" s="214"/>
      <c r="G45" s="177">
        <v>2226210997</v>
      </c>
      <c r="H45" s="277">
        <v>-127.82</v>
      </c>
      <c r="I45" s="214"/>
      <c r="J45" s="155">
        <v>23118</v>
      </c>
      <c r="K45" s="267" t="s">
        <v>543</v>
      </c>
    </row>
    <row r="46" spans="2:11" x14ac:dyDescent="0.2">
      <c r="B46" s="163" t="s">
        <v>948</v>
      </c>
      <c r="C46" s="163"/>
      <c r="D46" s="214" t="s">
        <v>917</v>
      </c>
      <c r="E46" s="214" t="s">
        <v>918</v>
      </c>
      <c r="F46" s="214"/>
      <c r="G46" s="214" t="s">
        <v>970</v>
      </c>
      <c r="H46" s="277">
        <v>-67.150000000000006</v>
      </c>
      <c r="I46" s="214"/>
      <c r="J46" s="155">
        <v>23118</v>
      </c>
      <c r="K46" s="267" t="s">
        <v>543</v>
      </c>
    </row>
    <row r="47" spans="2:11" x14ac:dyDescent="0.2">
      <c r="B47" s="163" t="s">
        <v>971</v>
      </c>
      <c r="C47" s="163"/>
      <c r="D47" s="214" t="s">
        <v>972</v>
      </c>
      <c r="E47" s="214" t="s">
        <v>973</v>
      </c>
      <c r="F47" s="214"/>
      <c r="G47" s="214">
        <v>120136</v>
      </c>
      <c r="H47" s="277">
        <v>-1380</v>
      </c>
      <c r="I47" s="214"/>
      <c r="J47" s="155">
        <v>23118</v>
      </c>
      <c r="K47" s="267" t="s">
        <v>543</v>
      </c>
    </row>
    <row r="48" spans="2:11" x14ac:dyDescent="0.2">
      <c r="B48" s="163" t="s">
        <v>975</v>
      </c>
      <c r="C48" s="163"/>
      <c r="D48" s="214" t="s">
        <v>976</v>
      </c>
      <c r="E48" s="214" t="s">
        <v>977</v>
      </c>
      <c r="F48" s="214"/>
      <c r="G48" s="214" t="s">
        <v>978</v>
      </c>
      <c r="H48" s="277">
        <v>-28</v>
      </c>
      <c r="I48" s="214"/>
      <c r="J48" s="155">
        <v>23118</v>
      </c>
      <c r="K48" s="267" t="s">
        <v>543</v>
      </c>
    </row>
    <row r="49" spans="2:11" x14ac:dyDescent="0.2">
      <c r="B49" s="163" t="s">
        <v>979</v>
      </c>
      <c r="C49" s="163"/>
      <c r="D49" s="214" t="s">
        <v>929</v>
      </c>
      <c r="E49" s="214" t="s">
        <v>980</v>
      </c>
      <c r="F49" s="214"/>
      <c r="G49" s="214" t="s">
        <v>981</v>
      </c>
      <c r="H49" s="277">
        <v>-2230.75</v>
      </c>
      <c r="I49" s="214"/>
      <c r="J49" s="155">
        <v>23118</v>
      </c>
      <c r="K49" s="267" t="s">
        <v>543</v>
      </c>
    </row>
    <row r="50" spans="2:11" x14ac:dyDescent="0.2">
      <c r="B50" s="163" t="s">
        <v>995</v>
      </c>
      <c r="C50" s="163"/>
      <c r="D50" s="214" t="s">
        <v>996</v>
      </c>
      <c r="E50" s="214" t="s">
        <v>927</v>
      </c>
      <c r="F50" s="214"/>
      <c r="G50" s="214">
        <v>4327</v>
      </c>
      <c r="H50" s="277">
        <v>-4489.71</v>
      </c>
      <c r="I50" s="214"/>
      <c r="J50" s="155">
        <v>35271</v>
      </c>
    </row>
    <row r="51" spans="2:11" x14ac:dyDescent="0.2">
      <c r="B51" s="163" t="s">
        <v>995</v>
      </c>
      <c r="C51" s="163"/>
      <c r="D51" s="214" t="s">
        <v>974</v>
      </c>
      <c r="E51" s="214" t="s">
        <v>1019</v>
      </c>
      <c r="F51" s="214"/>
      <c r="G51" s="214">
        <v>2226949401</v>
      </c>
      <c r="H51" s="277">
        <v>-584.79</v>
      </c>
      <c r="I51" s="214"/>
      <c r="J51" s="155">
        <v>35226</v>
      </c>
      <c r="K51" s="267" t="s">
        <v>543</v>
      </c>
    </row>
    <row r="52" spans="2:11" x14ac:dyDescent="0.2">
      <c r="B52" s="163" t="s">
        <v>1022</v>
      </c>
      <c r="C52" s="163"/>
      <c r="D52" s="214" t="s">
        <v>1023</v>
      </c>
      <c r="E52" s="214" t="s">
        <v>918</v>
      </c>
      <c r="F52" s="214"/>
      <c r="G52" s="214" t="s">
        <v>1024</v>
      </c>
      <c r="H52" s="215">
        <v>-69.83</v>
      </c>
      <c r="I52" s="214"/>
      <c r="J52" s="155">
        <v>35226</v>
      </c>
      <c r="K52" s="267" t="s">
        <v>543</v>
      </c>
    </row>
    <row r="53" spans="2:11" x14ac:dyDescent="0.2">
      <c r="B53" s="163" t="s">
        <v>998</v>
      </c>
      <c r="C53" s="163"/>
      <c r="D53" s="214" t="s">
        <v>996</v>
      </c>
      <c r="E53" s="214" t="s">
        <v>927</v>
      </c>
      <c r="F53" s="214"/>
      <c r="G53" s="214">
        <v>4344</v>
      </c>
      <c r="H53" s="277">
        <v>-4351.08</v>
      </c>
      <c r="I53" s="214"/>
      <c r="J53" s="155">
        <v>35271</v>
      </c>
    </row>
    <row r="54" spans="2:11" x14ac:dyDescent="0.2">
      <c r="B54" s="163" t="s">
        <v>1015</v>
      </c>
      <c r="C54" s="163"/>
      <c r="D54" s="214" t="s">
        <v>929</v>
      </c>
      <c r="E54" s="214" t="s">
        <v>1016</v>
      </c>
      <c r="F54" s="214"/>
      <c r="G54" s="214" t="s">
        <v>1017</v>
      </c>
      <c r="H54" s="277">
        <v>-1075.3</v>
      </c>
      <c r="I54" s="214"/>
      <c r="J54" s="155">
        <v>35226</v>
      </c>
      <c r="K54" s="267" t="s">
        <v>543</v>
      </c>
    </row>
    <row r="55" spans="2:11" x14ac:dyDescent="0.2">
      <c r="B55" s="163" t="s">
        <v>1015</v>
      </c>
      <c r="C55" s="163"/>
      <c r="D55" s="214" t="s">
        <v>974</v>
      </c>
      <c r="E55" s="214" t="s">
        <v>1018</v>
      </c>
      <c r="F55" s="214"/>
      <c r="G55" s="214"/>
      <c r="H55" s="215">
        <v>-788.99</v>
      </c>
      <c r="I55" s="214"/>
      <c r="J55" s="155">
        <v>35226</v>
      </c>
      <c r="K55" s="267" t="s">
        <v>543</v>
      </c>
    </row>
    <row r="56" spans="2:11" x14ac:dyDescent="0.2">
      <c r="B56" s="163" t="s">
        <v>1059</v>
      </c>
      <c r="C56" s="163"/>
      <c r="D56" s="214" t="s">
        <v>1023</v>
      </c>
      <c r="E56" s="214" t="s">
        <v>918</v>
      </c>
      <c r="F56" s="214"/>
      <c r="G56" s="214" t="s">
        <v>1024</v>
      </c>
      <c r="H56" s="277">
        <v>-65.819999999999993</v>
      </c>
      <c r="I56" s="214"/>
      <c r="J56" s="155">
        <v>6722</v>
      </c>
      <c r="K56" s="267" t="s">
        <v>543</v>
      </c>
    </row>
    <row r="57" spans="2:11" x14ac:dyDescent="0.2">
      <c r="B57" s="163" t="s">
        <v>1056</v>
      </c>
      <c r="C57" s="163"/>
      <c r="D57" s="214" t="s">
        <v>1071</v>
      </c>
      <c r="E57" s="214" t="s">
        <v>1072</v>
      </c>
      <c r="F57" s="214"/>
      <c r="G57" s="214" t="s">
        <v>1075</v>
      </c>
      <c r="H57" s="277">
        <v>-512.9</v>
      </c>
      <c r="I57" s="214"/>
      <c r="J57" s="155">
        <v>6722</v>
      </c>
      <c r="K57" s="267" t="s">
        <v>543</v>
      </c>
    </row>
    <row r="58" spans="2:11" x14ac:dyDescent="0.2">
      <c r="B58" s="163" t="s">
        <v>1039</v>
      </c>
      <c r="C58" s="163"/>
      <c r="D58" s="214" t="s">
        <v>996</v>
      </c>
      <c r="E58" s="214" t="s">
        <v>1040</v>
      </c>
      <c r="F58" s="214"/>
      <c r="G58" s="214">
        <v>4364</v>
      </c>
      <c r="H58" s="277">
        <v>-1810.53</v>
      </c>
      <c r="I58" s="214"/>
      <c r="J58" s="155">
        <v>6758</v>
      </c>
      <c r="K58" s="267"/>
    </row>
    <row r="59" spans="2:11" x14ac:dyDescent="0.2">
      <c r="B59" s="163" t="s">
        <v>1039</v>
      </c>
      <c r="C59" s="163"/>
      <c r="D59" s="214" t="s">
        <v>996</v>
      </c>
      <c r="E59" s="214" t="s">
        <v>927</v>
      </c>
      <c r="F59" s="214"/>
      <c r="G59" s="214">
        <v>4365</v>
      </c>
      <c r="H59" s="277">
        <v>-11243.42</v>
      </c>
      <c r="I59" s="214"/>
      <c r="J59" s="155">
        <v>6758</v>
      </c>
    </row>
    <row r="60" spans="2:11" x14ac:dyDescent="0.2">
      <c r="B60" s="163" t="s">
        <v>1039</v>
      </c>
      <c r="C60" s="163"/>
      <c r="D60" s="214" t="s">
        <v>996</v>
      </c>
      <c r="E60" s="214" t="s">
        <v>1040</v>
      </c>
      <c r="F60" s="214"/>
      <c r="G60" s="214">
        <v>4366</v>
      </c>
      <c r="H60" s="277">
        <v>-785.39</v>
      </c>
      <c r="I60" s="214"/>
      <c r="J60" s="155">
        <v>6758</v>
      </c>
    </row>
    <row r="61" spans="2:11" x14ac:dyDescent="0.2">
      <c r="B61" s="163" t="s">
        <v>1064</v>
      </c>
      <c r="C61" s="163"/>
      <c r="D61" s="214" t="s">
        <v>974</v>
      </c>
      <c r="E61" s="214" t="s">
        <v>1065</v>
      </c>
      <c r="F61" s="214"/>
      <c r="G61" s="214">
        <v>2228425408</v>
      </c>
      <c r="H61" s="215">
        <v>-1207.97</v>
      </c>
      <c r="I61" s="214"/>
      <c r="J61" s="155">
        <v>6722</v>
      </c>
      <c r="K61" s="267" t="s">
        <v>543</v>
      </c>
    </row>
    <row r="62" spans="2:11" x14ac:dyDescent="0.2">
      <c r="B62" s="163" t="s">
        <v>1064</v>
      </c>
      <c r="C62" s="163"/>
      <c r="D62" s="214" t="s">
        <v>974</v>
      </c>
      <c r="E62" s="214" t="s">
        <v>1065</v>
      </c>
      <c r="F62" s="214"/>
      <c r="G62" s="214">
        <v>2228425408</v>
      </c>
      <c r="H62" s="215">
        <f>-1327.72+1207.97</f>
        <v>-119.75</v>
      </c>
      <c r="I62" s="214"/>
      <c r="J62" s="155">
        <v>83806</v>
      </c>
      <c r="K62" s="267" t="s">
        <v>543</v>
      </c>
    </row>
    <row r="63" spans="2:11" x14ac:dyDescent="0.2">
      <c r="B63" s="163" t="s">
        <v>1066</v>
      </c>
      <c r="C63" s="163"/>
      <c r="D63" s="214" t="s">
        <v>1067</v>
      </c>
      <c r="E63" s="214" t="s">
        <v>1068</v>
      </c>
      <c r="F63" s="214"/>
      <c r="G63" s="214">
        <v>20103054</v>
      </c>
      <c r="H63" s="277">
        <v>-655</v>
      </c>
      <c r="I63" s="214"/>
      <c r="J63" s="155"/>
      <c r="K63" s="267" t="s">
        <v>543</v>
      </c>
    </row>
    <row r="64" spans="2:11" x14ac:dyDescent="0.2">
      <c r="B64" s="163" t="s">
        <v>1086</v>
      </c>
      <c r="C64" s="163"/>
      <c r="D64" s="214" t="s">
        <v>996</v>
      </c>
      <c r="E64" s="214" t="s">
        <v>1040</v>
      </c>
      <c r="F64" s="214"/>
      <c r="G64" s="214">
        <v>4396</v>
      </c>
      <c r="H64" s="277">
        <v>-863.65</v>
      </c>
      <c r="I64" s="214"/>
      <c r="J64" s="155">
        <v>83887</v>
      </c>
    </row>
    <row r="65" spans="2:11" ht="15" x14ac:dyDescent="0.2">
      <c r="B65" s="163" t="s">
        <v>1085</v>
      </c>
      <c r="C65" s="163"/>
      <c r="D65" s="214" t="s">
        <v>1093</v>
      </c>
      <c r="E65" s="214" t="s">
        <v>1094</v>
      </c>
      <c r="F65" s="214"/>
      <c r="G65" s="214">
        <v>20100412</v>
      </c>
      <c r="H65" s="215">
        <v>-5499</v>
      </c>
      <c r="I65" s="214"/>
      <c r="J65" s="155">
        <v>96027</v>
      </c>
      <c r="K65" s="286" t="s">
        <v>265</v>
      </c>
    </row>
    <row r="66" spans="2:11" x14ac:dyDescent="0.2">
      <c r="B66" s="163" t="s">
        <v>1103</v>
      </c>
      <c r="C66" s="163"/>
      <c r="D66" s="214" t="s">
        <v>1113</v>
      </c>
      <c r="E66" s="214" t="s">
        <v>1114</v>
      </c>
      <c r="F66" s="214"/>
      <c r="G66" s="214" t="s">
        <v>1115</v>
      </c>
      <c r="H66" s="277">
        <v>-4157</v>
      </c>
      <c r="I66" s="214"/>
      <c r="J66" s="155">
        <v>83887</v>
      </c>
    </row>
    <row r="67" spans="2:11" x14ac:dyDescent="0.2">
      <c r="B67" s="163" t="s">
        <v>1103</v>
      </c>
      <c r="C67" s="163"/>
      <c r="D67" s="214" t="s">
        <v>1104</v>
      </c>
      <c r="E67" s="214" t="s">
        <v>1105</v>
      </c>
      <c r="F67" s="214"/>
      <c r="G67" s="214">
        <v>32957</v>
      </c>
      <c r="H67" s="277">
        <v>-249</v>
      </c>
      <c r="I67" s="214"/>
      <c r="J67" s="155">
        <v>83806</v>
      </c>
      <c r="K67" s="267" t="s">
        <v>543</v>
      </c>
    </row>
    <row r="68" spans="2:11" x14ac:dyDescent="0.2">
      <c r="B68" s="163" t="s">
        <v>1096</v>
      </c>
      <c r="C68" s="163"/>
      <c r="D68" s="214" t="s">
        <v>996</v>
      </c>
      <c r="E68" s="214" t="s">
        <v>927</v>
      </c>
      <c r="F68" s="214"/>
      <c r="G68" s="214">
        <v>4459</v>
      </c>
      <c r="H68" s="215">
        <v>-4558.9399999999996</v>
      </c>
      <c r="I68" s="214"/>
      <c r="J68" s="155">
        <v>96027</v>
      </c>
    </row>
    <row r="69" spans="2:11" x14ac:dyDescent="0.2">
      <c r="B69" s="163"/>
      <c r="C69" s="163"/>
      <c r="D69" s="214" t="s">
        <v>974</v>
      </c>
      <c r="E69" s="214" t="s">
        <v>1065</v>
      </c>
      <c r="F69" s="214"/>
      <c r="G69" s="214"/>
      <c r="H69" s="277">
        <v>-1327.72</v>
      </c>
      <c r="I69" s="214"/>
      <c r="J69" s="155">
        <v>83806</v>
      </c>
    </row>
    <row r="70" spans="2:11" x14ac:dyDescent="0.2">
      <c r="B70" s="163" t="s">
        <v>1141</v>
      </c>
      <c r="C70" s="163"/>
      <c r="D70" s="214" t="s">
        <v>929</v>
      </c>
      <c r="E70" s="214" t="s">
        <v>1142</v>
      </c>
      <c r="F70" s="214"/>
      <c r="G70" s="214" t="s">
        <v>1143</v>
      </c>
      <c r="H70" s="215">
        <v>-827.5</v>
      </c>
      <c r="I70" s="214"/>
      <c r="J70" s="155">
        <v>95919</v>
      </c>
      <c r="K70" s="267" t="s">
        <v>543</v>
      </c>
    </row>
    <row r="71" spans="2:11" x14ac:dyDescent="0.2">
      <c r="B71" s="163" t="s">
        <v>1144</v>
      </c>
      <c r="C71" s="163"/>
      <c r="D71" s="214" t="s">
        <v>974</v>
      </c>
      <c r="E71" s="214" t="s">
        <v>1145</v>
      </c>
      <c r="F71" s="214"/>
      <c r="G71" s="214" t="s">
        <v>1146</v>
      </c>
      <c r="H71" s="215">
        <f>-99.9-59.8</f>
        <v>-159.69999999999999</v>
      </c>
      <c r="I71" s="214"/>
      <c r="J71" s="155">
        <v>95919</v>
      </c>
      <c r="K71" s="267" t="s">
        <v>543</v>
      </c>
    </row>
    <row r="72" spans="2:11" x14ac:dyDescent="0.2">
      <c r="B72" s="163" t="s">
        <v>1147</v>
      </c>
      <c r="C72" s="163"/>
      <c r="D72" s="214" t="s">
        <v>974</v>
      </c>
      <c r="E72" s="214" t="s">
        <v>1065</v>
      </c>
      <c r="F72" s="214"/>
      <c r="G72" s="214"/>
      <c r="H72" s="215">
        <v>-1480.73</v>
      </c>
      <c r="I72" s="214"/>
      <c r="J72" s="155">
        <v>95919</v>
      </c>
      <c r="K72" s="267" t="s">
        <v>543</v>
      </c>
    </row>
    <row r="73" spans="2:11" x14ac:dyDescent="0.2">
      <c r="B73" s="163" t="s">
        <v>1147</v>
      </c>
      <c r="C73" s="163"/>
      <c r="D73" s="214" t="s">
        <v>974</v>
      </c>
      <c r="E73" s="214" t="s">
        <v>1065</v>
      </c>
      <c r="F73" s="214"/>
      <c r="G73" s="214">
        <v>2229939852</v>
      </c>
      <c r="H73" s="215">
        <f>-1520.58+-H72</f>
        <v>-39.849999999999909</v>
      </c>
      <c r="I73" s="214"/>
      <c r="J73" s="155"/>
      <c r="K73" s="267" t="s">
        <v>543</v>
      </c>
    </row>
    <row r="74" spans="2:11" x14ac:dyDescent="0.2">
      <c r="B74" s="163" t="s">
        <v>1154</v>
      </c>
      <c r="C74" s="163"/>
      <c r="D74" s="214" t="s">
        <v>1207</v>
      </c>
      <c r="E74" s="214" t="s">
        <v>1208</v>
      </c>
      <c r="F74" s="214"/>
      <c r="G74" s="214">
        <v>173010</v>
      </c>
      <c r="H74" s="215">
        <v>-30</v>
      </c>
      <c r="I74" s="214"/>
      <c r="J74" s="155">
        <v>105507</v>
      </c>
      <c r="K74" s="267" t="s">
        <v>543</v>
      </c>
    </row>
    <row r="75" spans="2:11" x14ac:dyDescent="0.2">
      <c r="B75" s="163" t="s">
        <v>1211</v>
      </c>
      <c r="C75" s="163"/>
      <c r="D75" s="214" t="s">
        <v>1212</v>
      </c>
      <c r="E75" s="214" t="s">
        <v>1213</v>
      </c>
      <c r="F75" s="214"/>
      <c r="G75" s="214" t="s">
        <v>1214</v>
      </c>
      <c r="H75" s="215">
        <v>-149</v>
      </c>
      <c r="I75" s="214"/>
      <c r="J75" s="155">
        <v>105507</v>
      </c>
      <c r="K75" s="267" t="s">
        <v>543</v>
      </c>
    </row>
    <row r="76" spans="2:11" x14ac:dyDescent="0.2">
      <c r="B76" s="163" t="s">
        <v>1215</v>
      </c>
      <c r="C76" s="163"/>
      <c r="D76" s="214" t="s">
        <v>1216</v>
      </c>
      <c r="E76" s="214" t="s">
        <v>1217</v>
      </c>
      <c r="F76" s="214"/>
      <c r="G76" s="214" t="s">
        <v>1218</v>
      </c>
      <c r="H76" s="215">
        <v>-294.45999999999998</v>
      </c>
      <c r="I76" s="214"/>
      <c r="J76" s="155">
        <v>105507</v>
      </c>
      <c r="K76" s="267" t="s">
        <v>543</v>
      </c>
    </row>
    <row r="77" spans="2:11" x14ac:dyDescent="0.2">
      <c r="B77" s="163" t="s">
        <v>1219</v>
      </c>
      <c r="C77" s="163"/>
      <c r="D77" s="214" t="s">
        <v>281</v>
      </c>
      <c r="E77" s="214" t="s">
        <v>1220</v>
      </c>
      <c r="F77" s="214"/>
      <c r="G77" s="214" t="s">
        <v>1221</v>
      </c>
      <c r="H77" s="215">
        <v>-69.7</v>
      </c>
      <c r="I77" s="214"/>
      <c r="J77" s="155">
        <v>105507</v>
      </c>
      <c r="K77" s="267" t="s">
        <v>543</v>
      </c>
    </row>
    <row r="78" spans="2:11" x14ac:dyDescent="0.2">
      <c r="B78" s="163" t="s">
        <v>1219</v>
      </c>
      <c r="C78" s="163"/>
      <c r="D78" s="214" t="s">
        <v>281</v>
      </c>
      <c r="E78" s="214" t="s">
        <v>1222</v>
      </c>
      <c r="F78" s="214"/>
      <c r="G78" s="214" t="s">
        <v>1221</v>
      </c>
      <c r="H78" s="215">
        <v>-115.83</v>
      </c>
      <c r="I78" s="214"/>
      <c r="J78" s="155">
        <v>105507</v>
      </c>
      <c r="K78" s="267" t="s">
        <v>543</v>
      </c>
    </row>
    <row r="79" spans="2:11" x14ac:dyDescent="0.2">
      <c r="B79" s="163" t="s">
        <v>1219</v>
      </c>
      <c r="C79" s="163"/>
      <c r="D79" s="214" t="s">
        <v>1216</v>
      </c>
      <c r="E79" s="214" t="s">
        <v>1223</v>
      </c>
      <c r="F79" s="214"/>
      <c r="G79" s="214" t="s">
        <v>1224</v>
      </c>
      <c r="H79" s="215">
        <v>-313.95</v>
      </c>
      <c r="I79" s="214"/>
      <c r="J79" s="155">
        <v>105507</v>
      </c>
      <c r="K79" s="267" t="s">
        <v>543</v>
      </c>
    </row>
    <row r="80" spans="2:11" x14ac:dyDescent="0.2">
      <c r="B80" s="163" t="s">
        <v>1219</v>
      </c>
      <c r="C80" s="163"/>
      <c r="D80" s="214" t="s">
        <v>1216</v>
      </c>
      <c r="E80" s="214" t="s">
        <v>1223</v>
      </c>
      <c r="F80" s="214"/>
      <c r="G80" s="214" t="s">
        <v>1225</v>
      </c>
      <c r="H80" s="215">
        <v>-305.44</v>
      </c>
      <c r="I80" s="214"/>
      <c r="J80" s="155">
        <v>105507</v>
      </c>
      <c r="K80" s="267" t="s">
        <v>543</v>
      </c>
    </row>
    <row r="81" spans="2:11" x14ac:dyDescent="0.2">
      <c r="B81" s="163" t="s">
        <v>1226</v>
      </c>
      <c r="C81" s="163"/>
      <c r="D81" s="214" t="s">
        <v>451</v>
      </c>
      <c r="E81" s="214" t="s">
        <v>1227</v>
      </c>
      <c r="F81" s="214"/>
      <c r="G81" s="214" t="s">
        <v>1228</v>
      </c>
      <c r="H81" s="215">
        <v>-35</v>
      </c>
      <c r="I81" s="214"/>
      <c r="J81" s="155">
        <v>105507</v>
      </c>
      <c r="K81" s="267" t="s">
        <v>543</v>
      </c>
    </row>
    <row r="82" spans="2:11" x14ac:dyDescent="0.2">
      <c r="B82" s="163" t="s">
        <v>1179</v>
      </c>
      <c r="C82" s="163"/>
      <c r="D82" s="214" t="s">
        <v>1229</v>
      </c>
      <c r="E82" s="214" t="s">
        <v>1230</v>
      </c>
      <c r="F82" s="214"/>
      <c r="G82" s="214" t="s">
        <v>1231</v>
      </c>
      <c r="H82" s="215">
        <v>-127</v>
      </c>
      <c r="I82" s="214"/>
      <c r="J82" s="155">
        <v>105507</v>
      </c>
      <c r="K82" s="267" t="s">
        <v>543</v>
      </c>
    </row>
    <row r="83" spans="2:11" x14ac:dyDescent="0.2">
      <c r="B83" s="163" t="s">
        <v>1179</v>
      </c>
      <c r="C83" s="163"/>
      <c r="D83" s="214" t="s">
        <v>1180</v>
      </c>
      <c r="E83" s="214" t="s">
        <v>1181</v>
      </c>
      <c r="F83" s="214"/>
      <c r="G83" s="214"/>
      <c r="H83" s="215">
        <f>-9200.44</f>
        <v>-9200.44</v>
      </c>
      <c r="I83" s="214"/>
      <c r="J83" s="155"/>
      <c r="K83" s="267" t="s">
        <v>1247</v>
      </c>
    </row>
    <row r="84" spans="2:11" x14ac:dyDescent="0.2">
      <c r="B84" s="163" t="s">
        <v>1232</v>
      </c>
      <c r="C84" s="163"/>
      <c r="D84" s="214" t="s">
        <v>1216</v>
      </c>
      <c r="E84" s="214" t="s">
        <v>1233</v>
      </c>
      <c r="F84" s="214"/>
      <c r="G84" s="214" t="s">
        <v>1234</v>
      </c>
      <c r="H84" s="215">
        <v>-250.04</v>
      </c>
      <c r="I84" s="214"/>
      <c r="J84" s="155">
        <v>105507</v>
      </c>
      <c r="K84" s="267" t="s">
        <v>543</v>
      </c>
    </row>
    <row r="85" spans="2:11" x14ac:dyDescent="0.2">
      <c r="B85" s="163" t="s">
        <v>1232</v>
      </c>
      <c r="C85" s="163"/>
      <c r="D85" s="214" t="s">
        <v>1216</v>
      </c>
      <c r="E85" s="214" t="s">
        <v>923</v>
      </c>
      <c r="F85" s="214"/>
      <c r="G85" s="214" t="s">
        <v>1235</v>
      </c>
      <c r="H85" s="215">
        <v>-261.08</v>
      </c>
      <c r="I85" s="214"/>
      <c r="J85" s="155">
        <v>105507</v>
      </c>
      <c r="K85" s="267" t="s">
        <v>543</v>
      </c>
    </row>
    <row r="86" spans="2:11" x14ac:dyDescent="0.2">
      <c r="B86" s="163" t="s">
        <v>1245</v>
      </c>
      <c r="C86" s="163"/>
      <c r="D86" s="214" t="s">
        <v>1216</v>
      </c>
      <c r="E86" s="214" t="s">
        <v>1223</v>
      </c>
      <c r="F86" s="214"/>
      <c r="G86" s="214" t="s">
        <v>1246</v>
      </c>
      <c r="H86" s="215">
        <v>-255.48</v>
      </c>
      <c r="I86" s="214"/>
      <c r="J86" s="155">
        <v>105507</v>
      </c>
      <c r="K86" s="267"/>
    </row>
    <row r="87" spans="2:11" x14ac:dyDescent="0.2">
      <c r="B87" s="163" t="s">
        <v>1236</v>
      </c>
      <c r="C87" s="163"/>
      <c r="D87" s="214" t="s">
        <v>929</v>
      </c>
      <c r="E87" s="214" t="s">
        <v>1142</v>
      </c>
      <c r="F87" s="214"/>
      <c r="G87" s="214" t="s">
        <v>1237</v>
      </c>
      <c r="H87" s="215">
        <v>-828</v>
      </c>
      <c r="I87" s="214"/>
      <c r="J87" s="155">
        <v>105507</v>
      </c>
      <c r="K87" s="267" t="s">
        <v>543</v>
      </c>
    </row>
    <row r="88" spans="2:11" x14ac:dyDescent="0.2">
      <c r="B88" s="163" t="s">
        <v>1203</v>
      </c>
      <c r="C88" s="163"/>
      <c r="D88" s="214" t="s">
        <v>974</v>
      </c>
      <c r="E88" s="214" t="s">
        <v>1065</v>
      </c>
      <c r="F88" s="214"/>
      <c r="G88" s="214"/>
      <c r="H88" s="215">
        <v>-986.29</v>
      </c>
      <c r="I88" s="214"/>
      <c r="J88" s="155">
        <v>105507</v>
      </c>
      <c r="K88" s="267" t="s">
        <v>543</v>
      </c>
    </row>
    <row r="89" spans="2:11" x14ac:dyDescent="0.2">
      <c r="B89" s="163" t="s">
        <v>1238</v>
      </c>
      <c r="C89" s="163"/>
      <c r="D89" s="214" t="s">
        <v>921</v>
      </c>
      <c r="E89" s="214" t="s">
        <v>922</v>
      </c>
      <c r="F89" s="214"/>
      <c r="G89" s="214">
        <v>295765</v>
      </c>
      <c r="H89" s="215">
        <v>-400</v>
      </c>
      <c r="I89" s="214"/>
      <c r="J89" s="155">
        <v>105507</v>
      </c>
      <c r="K89" s="267" t="s">
        <v>543</v>
      </c>
    </row>
    <row r="90" spans="2:11" x14ac:dyDescent="0.2">
      <c r="B90" s="163" t="s">
        <v>1266</v>
      </c>
      <c r="C90" s="163"/>
      <c r="D90" s="214" t="s">
        <v>1207</v>
      </c>
      <c r="E90" s="214" t="s">
        <v>1208</v>
      </c>
      <c r="F90" s="214"/>
      <c r="G90" s="214">
        <v>173833</v>
      </c>
      <c r="H90" s="215">
        <v>-30</v>
      </c>
      <c r="I90" s="214"/>
      <c r="J90" s="155"/>
      <c r="K90" s="267" t="s">
        <v>543</v>
      </c>
    </row>
    <row r="91" spans="2:11" x14ac:dyDescent="0.2">
      <c r="B91" s="163" t="s">
        <v>1244</v>
      </c>
      <c r="C91" s="163"/>
      <c r="D91" s="214" t="s">
        <v>996</v>
      </c>
      <c r="E91" s="214" t="s">
        <v>927</v>
      </c>
      <c r="F91" s="214"/>
      <c r="G91" s="214">
        <v>4529</v>
      </c>
      <c r="H91" s="215">
        <v>-5260.83</v>
      </c>
      <c r="I91" s="214"/>
      <c r="J91" s="155"/>
    </row>
    <row r="92" spans="2:11" x14ac:dyDescent="0.2">
      <c r="B92" s="163" t="s">
        <v>1267</v>
      </c>
      <c r="C92" s="163"/>
      <c r="D92" s="214" t="s">
        <v>1216</v>
      </c>
      <c r="E92" s="214" t="s">
        <v>1268</v>
      </c>
      <c r="F92" s="214"/>
      <c r="G92" s="214" t="s">
        <v>1269</v>
      </c>
      <c r="H92" s="215">
        <v>-277.39</v>
      </c>
      <c r="I92" s="214"/>
      <c r="J92" s="155"/>
      <c r="K92" s="267" t="s">
        <v>317</v>
      </c>
    </row>
    <row r="93" spans="2:11" x14ac:dyDescent="0.2">
      <c r="B93" s="163" t="s">
        <v>1267</v>
      </c>
      <c r="C93" s="163"/>
      <c r="D93" s="214" t="s">
        <v>1216</v>
      </c>
      <c r="E93" s="214" t="s">
        <v>923</v>
      </c>
      <c r="F93" s="214"/>
      <c r="G93" s="214" t="s">
        <v>1270</v>
      </c>
      <c r="H93" s="215">
        <v>-319.87</v>
      </c>
      <c r="I93" s="214"/>
      <c r="J93" s="155"/>
      <c r="K93" s="267" t="s">
        <v>317</v>
      </c>
    </row>
    <row r="94" spans="2:11" x14ac:dyDescent="0.2">
      <c r="B94" s="163" t="s">
        <v>1271</v>
      </c>
      <c r="C94" s="163"/>
      <c r="D94" s="214" t="s">
        <v>281</v>
      </c>
      <c r="E94" s="214" t="s">
        <v>1272</v>
      </c>
      <c r="F94" s="214"/>
      <c r="G94" s="214" t="s">
        <v>1273</v>
      </c>
      <c r="H94" s="215">
        <f>-29-29.9</f>
        <v>-58.9</v>
      </c>
      <c r="I94" s="214"/>
      <c r="J94" s="155"/>
      <c r="K94" s="267" t="s">
        <v>317</v>
      </c>
    </row>
    <row r="95" spans="2:11" x14ac:dyDescent="0.2">
      <c r="B95" s="163" t="s">
        <v>1271</v>
      </c>
      <c r="C95" s="163"/>
      <c r="D95" s="214" t="s">
        <v>281</v>
      </c>
      <c r="E95" s="214" t="s">
        <v>1274</v>
      </c>
      <c r="F95" s="214"/>
      <c r="G95" s="214" t="s">
        <v>1273</v>
      </c>
      <c r="H95" s="215">
        <v>-99</v>
      </c>
      <c r="I95" s="214"/>
      <c r="J95" s="155"/>
      <c r="K95" s="267" t="s">
        <v>317</v>
      </c>
    </row>
    <row r="96" spans="2:11" x14ac:dyDescent="0.2">
      <c r="B96" s="163" t="s">
        <v>1255</v>
      </c>
      <c r="C96" s="163"/>
      <c r="D96" s="214" t="s">
        <v>1256</v>
      </c>
      <c r="E96" s="214" t="s">
        <v>1257</v>
      </c>
      <c r="F96" s="214"/>
      <c r="G96" s="214" t="s">
        <v>1258</v>
      </c>
      <c r="H96" s="215">
        <v>-750</v>
      </c>
      <c r="I96" s="214"/>
      <c r="J96" s="155"/>
    </row>
    <row r="97" spans="2:10" x14ac:dyDescent="0.2">
      <c r="B97" s="163" t="s">
        <v>1260</v>
      </c>
      <c r="C97" s="163"/>
      <c r="D97" s="214" t="s">
        <v>996</v>
      </c>
      <c r="E97" s="214" t="s">
        <v>927</v>
      </c>
      <c r="F97" s="214"/>
      <c r="G97" s="214"/>
      <c r="H97" s="215">
        <v>-14844.5</v>
      </c>
      <c r="I97" s="214"/>
      <c r="J97" s="155"/>
    </row>
    <row r="98" spans="2:10" x14ac:dyDescent="0.2">
      <c r="B98" s="163" t="s">
        <v>1171</v>
      </c>
      <c r="C98" s="163"/>
      <c r="D98" s="214"/>
      <c r="E98" s="214" t="s">
        <v>1281</v>
      </c>
      <c r="F98" s="214"/>
      <c r="G98" s="214"/>
      <c r="H98" s="215">
        <v>-5718.35</v>
      </c>
      <c r="I98" s="214"/>
      <c r="J98" s="155"/>
    </row>
    <row r="99" spans="2:10" x14ac:dyDescent="0.2">
      <c r="B99" s="163" t="s">
        <v>1171</v>
      </c>
      <c r="C99" s="163"/>
      <c r="D99" s="214"/>
      <c r="E99" s="214" t="s">
        <v>1282</v>
      </c>
      <c r="F99" s="214"/>
      <c r="G99" s="214"/>
      <c r="H99" s="215">
        <v>-2686.32</v>
      </c>
      <c r="I99" s="214"/>
      <c r="J99" s="155"/>
    </row>
    <row r="100" spans="2:10" x14ac:dyDescent="0.2">
      <c r="B100" s="163" t="s">
        <v>1171</v>
      </c>
      <c r="C100" s="163"/>
      <c r="D100" s="214"/>
      <c r="E100" s="214" t="s">
        <v>1283</v>
      </c>
      <c r="F100" s="214"/>
      <c r="G100" s="214"/>
      <c r="H100" s="215">
        <v>-2631.84</v>
      </c>
      <c r="I100" s="214"/>
      <c r="J100" s="155"/>
    </row>
    <row r="101" spans="2:10" x14ac:dyDescent="0.2">
      <c r="B101" s="163"/>
      <c r="C101" s="163"/>
      <c r="D101" s="214"/>
      <c r="E101" s="214"/>
      <c r="F101" s="214"/>
      <c r="G101" s="214"/>
      <c r="H101" s="215"/>
      <c r="I101" s="214"/>
      <c r="J101" s="155"/>
    </row>
    <row r="102" spans="2:10" x14ac:dyDescent="0.2">
      <c r="B102" s="163"/>
      <c r="C102" s="163"/>
      <c r="D102" s="214"/>
      <c r="E102" s="216"/>
      <c r="F102" s="214"/>
      <c r="G102" s="214"/>
      <c r="H102" s="215"/>
      <c r="I102" s="214"/>
      <c r="J102" s="155"/>
    </row>
    <row r="103" spans="2:10" x14ac:dyDescent="0.2">
      <c r="B103" s="23"/>
      <c r="C103" s="24"/>
      <c r="D103" s="24"/>
      <c r="E103" s="24"/>
      <c r="F103" s="24"/>
      <c r="G103" s="25"/>
      <c r="H103" s="130">
        <f>SUM(H24:H102)</f>
        <v>-138952.5</v>
      </c>
      <c r="I103" s="25">
        <f>SUM(I24:I102)</f>
        <v>0</v>
      </c>
      <c r="J103" s="24"/>
    </row>
    <row r="104" spans="2:10" x14ac:dyDescent="0.2">
      <c r="B104" s="3"/>
      <c r="H104" s="102"/>
    </row>
    <row r="105" spans="2:10" x14ac:dyDescent="0.2">
      <c r="H105" s="102"/>
    </row>
    <row r="106" spans="2:10" x14ac:dyDescent="0.2">
      <c r="B106" s="21" t="s">
        <v>12</v>
      </c>
      <c r="C106" s="10">
        <f>H20</f>
        <v>165420</v>
      </c>
      <c r="E106" s="53"/>
      <c r="F106" s="19"/>
      <c r="G106" s="19"/>
      <c r="H106" s="113"/>
    </row>
    <row r="107" spans="2:10" x14ac:dyDescent="0.2">
      <c r="B107" s="12" t="s">
        <v>18</v>
      </c>
      <c r="C107" s="27">
        <f>I20</f>
        <v>0</v>
      </c>
      <c r="E107" s="19"/>
      <c r="F107" s="19"/>
      <c r="G107" s="19"/>
      <c r="H107" s="19"/>
    </row>
    <row r="108" spans="2:10" x14ac:dyDescent="0.2">
      <c r="B108" s="28" t="s">
        <v>13</v>
      </c>
      <c r="C108" s="28">
        <f>H103+I103</f>
        <v>-138952.5</v>
      </c>
      <c r="E108" s="29"/>
      <c r="F108" s="19"/>
      <c r="G108" s="19"/>
      <c r="H108" s="19"/>
    </row>
    <row r="109" spans="2:10" ht="15.75" x14ac:dyDescent="0.25">
      <c r="B109" s="30" t="s">
        <v>19</v>
      </c>
      <c r="C109" s="108">
        <f>C106+C107+C108</f>
        <v>26467.5</v>
      </c>
      <c r="E109" s="19"/>
      <c r="F109" s="19"/>
      <c r="G109" s="19"/>
      <c r="H109" s="19"/>
    </row>
  </sheetData>
  <mergeCells count="1">
    <mergeCell ref="B2:I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16"/>
  <sheetViews>
    <sheetView rightToLeft="1" topLeftCell="A4" workbookViewId="0">
      <pane ySplit="15" topLeftCell="A151" activePane="bottomLeft" state="frozen"/>
      <selection activeCell="A4" sqref="A4"/>
      <selection pane="bottomLeft" activeCell="A160" sqref="A160:XFD163"/>
    </sheetView>
  </sheetViews>
  <sheetFormatPr defaultRowHeight="14.25" x14ac:dyDescent="0.2"/>
  <cols>
    <col min="2" max="2" width="10.875" customWidth="1"/>
    <col min="4" max="4" width="12.5" customWidth="1"/>
    <col min="5" max="5" width="35.125" customWidth="1"/>
    <col min="6" max="6" width="8.625" customWidth="1"/>
    <col min="7" max="7" width="10.625" customWidth="1"/>
    <col min="9" max="9" width="11.5" customWidth="1"/>
    <col min="10" max="10" width="12.875" customWidth="1"/>
  </cols>
  <sheetData>
    <row r="2" spans="2:12" ht="23.25" x14ac:dyDescent="0.35">
      <c r="B2" s="304" t="s">
        <v>221</v>
      </c>
      <c r="C2" s="304"/>
      <c r="D2" s="304"/>
      <c r="E2" s="304"/>
      <c r="F2" s="304"/>
      <c r="G2" s="304"/>
      <c r="H2" s="304"/>
      <c r="I2" s="304"/>
    </row>
    <row r="3" spans="2:12" ht="15.75" x14ac:dyDescent="0.25">
      <c r="B3" s="2" t="s">
        <v>0</v>
      </c>
      <c r="F3" s="3"/>
      <c r="G3" s="3"/>
      <c r="H3" s="3"/>
      <c r="L3" t="s">
        <v>238</v>
      </c>
    </row>
    <row r="4" spans="2:12" x14ac:dyDescent="0.2">
      <c r="B4" s="4"/>
      <c r="L4" t="s">
        <v>239</v>
      </c>
    </row>
    <row r="5" spans="2:12" x14ac:dyDescent="0.2">
      <c r="B5" s="4" t="s">
        <v>1</v>
      </c>
      <c r="C5" s="5" t="s">
        <v>123</v>
      </c>
      <c r="D5" s="4" t="s">
        <v>2</v>
      </c>
      <c r="E5" s="3" t="s">
        <v>222</v>
      </c>
    </row>
    <row r="6" spans="2:12" x14ac:dyDescent="0.2">
      <c r="B6" s="6" t="s">
        <v>3</v>
      </c>
    </row>
    <row r="7" spans="2:12" x14ac:dyDescent="0.2">
      <c r="B7" s="7" t="s">
        <v>4</v>
      </c>
      <c r="C7" s="7" t="s">
        <v>5</v>
      </c>
      <c r="D7" s="7" t="s">
        <v>6</v>
      </c>
      <c r="E7" s="7" t="s">
        <v>7</v>
      </c>
      <c r="F7" s="7" t="s">
        <v>8</v>
      </c>
      <c r="G7" s="7" t="s">
        <v>9</v>
      </c>
      <c r="H7" s="7" t="s">
        <v>10</v>
      </c>
      <c r="I7" s="7" t="s">
        <v>59</v>
      </c>
      <c r="J7" s="8" t="s">
        <v>11</v>
      </c>
    </row>
    <row r="8" spans="2:12" x14ac:dyDescent="0.2">
      <c r="B8" s="9" t="s">
        <v>123</v>
      </c>
      <c r="C8" s="10"/>
      <c r="D8" s="11">
        <v>2018</v>
      </c>
      <c r="E8" s="12" t="s">
        <v>223</v>
      </c>
      <c r="F8" s="13"/>
      <c r="G8" s="11"/>
      <c r="H8" s="14">
        <f>'מוטי שונות 2018'!C51</f>
        <v>82821</v>
      </c>
      <c r="I8" s="14"/>
      <c r="J8" s="12"/>
    </row>
    <row r="9" spans="2:12" x14ac:dyDescent="0.2">
      <c r="B9" s="9" t="s">
        <v>303</v>
      </c>
      <c r="C9" s="12"/>
      <c r="D9" s="12" t="s">
        <v>25</v>
      </c>
      <c r="E9" s="12" t="s">
        <v>304</v>
      </c>
      <c r="F9" s="126"/>
      <c r="G9" s="12">
        <v>1721</v>
      </c>
      <c r="H9" s="160">
        <v>1750</v>
      </c>
      <c r="I9" s="14"/>
      <c r="J9" s="12" t="s">
        <v>309</v>
      </c>
    </row>
    <row r="10" spans="2:12" x14ac:dyDescent="0.2">
      <c r="B10" s="9"/>
      <c r="C10" s="12"/>
      <c r="D10" s="12" t="s">
        <v>25</v>
      </c>
      <c r="E10" s="12" t="s">
        <v>305</v>
      </c>
      <c r="F10" s="12"/>
      <c r="G10" s="12"/>
      <c r="H10" s="14">
        <v>1750</v>
      </c>
      <c r="I10" s="14"/>
      <c r="J10" s="12"/>
    </row>
    <row r="11" spans="2:12" x14ac:dyDescent="0.2">
      <c r="B11" s="9" t="s">
        <v>444</v>
      </c>
      <c r="C11" s="12"/>
      <c r="D11" s="12" t="s">
        <v>456</v>
      </c>
      <c r="E11" s="12" t="s">
        <v>555</v>
      </c>
      <c r="F11" s="12"/>
      <c r="G11" s="12">
        <v>1737</v>
      </c>
      <c r="H11" s="236">
        <v>48000</v>
      </c>
      <c r="I11" s="14"/>
      <c r="J11" s="12" t="s">
        <v>561</v>
      </c>
    </row>
    <row r="12" spans="2:12" x14ac:dyDescent="0.2">
      <c r="B12" s="9" t="s">
        <v>444</v>
      </c>
      <c r="C12" s="12"/>
      <c r="D12" s="12" t="s">
        <v>456</v>
      </c>
      <c r="E12" s="12" t="s">
        <v>556</v>
      </c>
      <c r="F12" s="12"/>
      <c r="G12" s="12">
        <v>1738</v>
      </c>
      <c r="H12" s="236">
        <v>32000</v>
      </c>
      <c r="I12" s="14"/>
      <c r="J12" s="12" t="s">
        <v>561</v>
      </c>
    </row>
    <row r="13" spans="2:12" x14ac:dyDescent="0.2">
      <c r="B13" s="9" t="s">
        <v>774</v>
      </c>
      <c r="C13" s="12"/>
      <c r="D13" s="12" t="s">
        <v>139</v>
      </c>
      <c r="E13" s="12" t="s">
        <v>483</v>
      </c>
      <c r="F13" s="12"/>
      <c r="G13" s="12">
        <v>1807</v>
      </c>
      <c r="H13" s="14">
        <v>20000</v>
      </c>
      <c r="I13" s="14"/>
      <c r="J13" s="12" t="s">
        <v>775</v>
      </c>
      <c r="K13" t="s">
        <v>793</v>
      </c>
    </row>
    <row r="14" spans="2:12" x14ac:dyDescent="0.2">
      <c r="B14" s="15"/>
      <c r="C14" s="12"/>
      <c r="D14" s="12"/>
      <c r="E14" s="12"/>
      <c r="F14" s="12"/>
      <c r="G14" s="12"/>
      <c r="H14" s="14"/>
      <c r="I14" s="14"/>
      <c r="J14" s="12"/>
    </row>
    <row r="15" spans="2:12" x14ac:dyDescent="0.2">
      <c r="B15" s="16"/>
      <c r="C15" s="16"/>
      <c r="D15" s="16"/>
      <c r="E15" s="16"/>
      <c r="F15" s="16"/>
      <c r="G15" s="16"/>
      <c r="H15" s="17">
        <f>SUM(H8:H14)</f>
        <v>186321</v>
      </c>
      <c r="I15" s="17">
        <f>SUM(I8:I14)</f>
        <v>0</v>
      </c>
      <c r="J15" s="16"/>
    </row>
    <row r="16" spans="2:12" x14ac:dyDescent="0.2">
      <c r="B16" s="18"/>
      <c r="C16" s="19"/>
      <c r="D16" s="19"/>
      <c r="E16" s="19"/>
      <c r="F16" s="19"/>
      <c r="G16" s="19"/>
      <c r="H16" s="19"/>
      <c r="I16" s="20"/>
    </row>
    <row r="17" spans="2:11" x14ac:dyDescent="0.2">
      <c r="B17" s="6" t="s">
        <v>13</v>
      </c>
      <c r="C17" s="19"/>
      <c r="D17" s="19"/>
      <c r="E17" s="19"/>
      <c r="F17" s="19"/>
      <c r="G17" s="19"/>
      <c r="H17" s="19"/>
      <c r="I17" s="20"/>
    </row>
    <row r="18" spans="2:11" x14ac:dyDescent="0.2">
      <c r="B18" s="7" t="s">
        <v>4</v>
      </c>
      <c r="C18" s="7" t="s">
        <v>14</v>
      </c>
      <c r="D18" s="7" t="s">
        <v>15</v>
      </c>
      <c r="E18" s="7" t="s">
        <v>51</v>
      </c>
      <c r="F18" s="7"/>
      <c r="G18" s="7" t="s">
        <v>17</v>
      </c>
      <c r="H18" s="7" t="s">
        <v>10</v>
      </c>
      <c r="I18" s="7" t="s">
        <v>92</v>
      </c>
      <c r="J18" s="7" t="s">
        <v>16</v>
      </c>
    </row>
    <row r="19" spans="2:11" x14ac:dyDescent="0.2">
      <c r="B19" s="15" t="s">
        <v>227</v>
      </c>
      <c r="C19" s="12"/>
      <c r="D19" s="12" t="s">
        <v>228</v>
      </c>
      <c r="E19" s="12" t="s">
        <v>229</v>
      </c>
      <c r="F19" s="12"/>
      <c r="G19" s="12">
        <v>890</v>
      </c>
      <c r="H19" s="158">
        <v>-592.88</v>
      </c>
      <c r="I19" s="10"/>
      <c r="J19" s="12">
        <v>9450</v>
      </c>
    </row>
    <row r="20" spans="2:11" x14ac:dyDescent="0.2">
      <c r="B20" s="15" t="s">
        <v>230</v>
      </c>
      <c r="C20" s="12"/>
      <c r="D20" s="12"/>
      <c r="E20" s="12"/>
      <c r="F20" s="12"/>
      <c r="G20" s="12">
        <v>106</v>
      </c>
      <c r="H20" s="128">
        <v>-40.69</v>
      </c>
      <c r="I20" s="10"/>
      <c r="J20" s="12">
        <v>9351</v>
      </c>
      <c r="K20" t="s">
        <v>551</v>
      </c>
    </row>
    <row r="21" spans="2:11" x14ac:dyDescent="0.2">
      <c r="B21" s="15">
        <v>30.102018999999999</v>
      </c>
      <c r="C21" s="12"/>
      <c r="D21" s="12"/>
      <c r="E21" s="12"/>
      <c r="F21" s="12"/>
      <c r="G21" s="12" t="s">
        <v>550</v>
      </c>
      <c r="H21" s="158">
        <f>-85.5-70-45</f>
        <v>-200.5</v>
      </c>
      <c r="I21" s="10"/>
      <c r="J21" s="12">
        <v>9351</v>
      </c>
    </row>
    <row r="22" spans="2:11" x14ac:dyDescent="0.2">
      <c r="B22" s="15" t="s">
        <v>175</v>
      </c>
      <c r="C22" s="12"/>
      <c r="D22" s="12" t="s">
        <v>183</v>
      </c>
      <c r="E22" s="12"/>
      <c r="F22" s="12"/>
      <c r="G22" s="12">
        <v>530</v>
      </c>
      <c r="H22" s="158">
        <v>-140</v>
      </c>
      <c r="I22" s="10"/>
      <c r="J22" s="12">
        <v>9450</v>
      </c>
    </row>
    <row r="23" spans="2:11" x14ac:dyDescent="0.2">
      <c r="B23" s="15" t="s">
        <v>231</v>
      </c>
      <c r="C23" s="12"/>
      <c r="D23" s="12" t="s">
        <v>232</v>
      </c>
      <c r="E23" s="12"/>
      <c r="F23" s="12"/>
      <c r="G23" s="12"/>
      <c r="H23" s="158">
        <v>-540</v>
      </c>
      <c r="I23" s="11"/>
      <c r="J23" s="12"/>
    </row>
    <row r="24" spans="2:11" x14ac:dyDescent="0.2">
      <c r="B24" s="15" t="s">
        <v>231</v>
      </c>
      <c r="C24" s="12" t="s">
        <v>47</v>
      </c>
      <c r="D24" s="12" t="s">
        <v>233</v>
      </c>
      <c r="E24" s="12" t="s">
        <v>234</v>
      </c>
      <c r="F24" s="12"/>
      <c r="G24" s="12"/>
      <c r="H24" s="158">
        <v>-2175</v>
      </c>
      <c r="I24" s="11"/>
      <c r="J24" s="12"/>
    </row>
    <row r="25" spans="2:11" x14ac:dyDescent="0.2">
      <c r="B25" s="15" t="s">
        <v>231</v>
      </c>
      <c r="C25" s="12" t="s">
        <v>44</v>
      </c>
      <c r="D25" s="12" t="s">
        <v>236</v>
      </c>
      <c r="E25" s="12" t="s">
        <v>235</v>
      </c>
      <c r="F25" s="12"/>
      <c r="G25" s="12"/>
      <c r="H25" s="158">
        <v>-7823.88</v>
      </c>
      <c r="I25" s="11"/>
      <c r="J25" s="12"/>
    </row>
    <row r="26" spans="2:11" x14ac:dyDescent="0.2">
      <c r="B26" s="15" t="s">
        <v>237</v>
      </c>
      <c r="C26" s="12"/>
      <c r="D26" s="12" t="s">
        <v>240</v>
      </c>
      <c r="E26" s="12" t="s">
        <v>241</v>
      </c>
      <c r="F26" s="12"/>
      <c r="G26" s="12"/>
      <c r="H26" s="158">
        <v>-1129</v>
      </c>
      <c r="I26" s="11"/>
      <c r="J26" s="12">
        <v>48032</v>
      </c>
    </row>
    <row r="27" spans="2:11" x14ac:dyDescent="0.2">
      <c r="B27" s="11" t="s">
        <v>242</v>
      </c>
      <c r="C27" s="11"/>
      <c r="D27" s="107" t="s">
        <v>183</v>
      </c>
      <c r="E27" s="107" t="s">
        <v>243</v>
      </c>
      <c r="F27" s="107"/>
      <c r="G27" s="107">
        <v>26091</v>
      </c>
      <c r="H27" s="159">
        <v>-306</v>
      </c>
      <c r="I27" s="107"/>
      <c r="J27" s="107">
        <v>48032</v>
      </c>
    </row>
    <row r="28" spans="2:11" x14ac:dyDescent="0.2">
      <c r="B28" s="11" t="s">
        <v>246</v>
      </c>
      <c r="C28" s="11"/>
      <c r="D28" s="107" t="s">
        <v>244</v>
      </c>
      <c r="E28" s="107" t="s">
        <v>245</v>
      </c>
      <c r="F28" s="107"/>
      <c r="G28" s="107">
        <v>214</v>
      </c>
      <c r="H28" s="159">
        <v>-240.4</v>
      </c>
      <c r="I28" s="107"/>
      <c r="J28" s="107">
        <v>47921</v>
      </c>
    </row>
    <row r="29" spans="2:11" x14ac:dyDescent="0.2">
      <c r="B29" s="11" t="s">
        <v>249</v>
      </c>
      <c r="C29" s="11"/>
      <c r="D29" s="107" t="s">
        <v>250</v>
      </c>
      <c r="E29" s="107" t="s">
        <v>251</v>
      </c>
      <c r="F29" s="107"/>
      <c r="G29" s="107">
        <v>48126</v>
      </c>
      <c r="H29" s="159">
        <v>-234</v>
      </c>
      <c r="I29" s="107"/>
      <c r="J29" s="107">
        <v>47921</v>
      </c>
    </row>
    <row r="30" spans="2:11" x14ac:dyDescent="0.2">
      <c r="B30" s="11" t="s">
        <v>249</v>
      </c>
      <c r="C30" s="11"/>
      <c r="D30" s="107" t="s">
        <v>250</v>
      </c>
      <c r="E30" s="107" t="s">
        <v>251</v>
      </c>
      <c r="F30" s="107"/>
      <c r="G30" s="107">
        <v>48132</v>
      </c>
      <c r="H30" s="159">
        <v>-70</v>
      </c>
      <c r="I30" s="107"/>
      <c r="J30" s="107">
        <v>47921</v>
      </c>
    </row>
    <row r="31" spans="2:11" x14ac:dyDescent="0.2">
      <c r="B31" s="11" t="s">
        <v>252</v>
      </c>
      <c r="C31" s="11"/>
      <c r="D31" s="107" t="s">
        <v>253</v>
      </c>
      <c r="E31" s="107"/>
      <c r="F31" s="107"/>
      <c r="G31" s="107" t="s">
        <v>254</v>
      </c>
      <c r="H31" s="159">
        <v>-24.46</v>
      </c>
      <c r="I31" s="107"/>
      <c r="J31" s="107">
        <v>47921</v>
      </c>
    </row>
    <row r="32" spans="2:11" x14ac:dyDescent="0.2">
      <c r="B32" s="11" t="s">
        <v>255</v>
      </c>
      <c r="C32" s="11"/>
      <c r="D32" s="107" t="s">
        <v>244</v>
      </c>
      <c r="E32" s="107" t="s">
        <v>256</v>
      </c>
      <c r="F32" s="107"/>
      <c r="G32" s="107">
        <v>815</v>
      </c>
      <c r="H32" s="159">
        <v>-205.47</v>
      </c>
      <c r="I32" s="107"/>
      <c r="J32" s="107">
        <v>47921</v>
      </c>
    </row>
    <row r="33" spans="2:11" x14ac:dyDescent="0.2">
      <c r="B33" s="11" t="s">
        <v>257</v>
      </c>
      <c r="C33" s="11"/>
      <c r="D33" s="107" t="s">
        <v>258</v>
      </c>
      <c r="E33" s="107" t="s">
        <v>259</v>
      </c>
      <c r="F33" s="107"/>
      <c r="G33" s="107" t="s">
        <v>260</v>
      </c>
      <c r="H33" s="159">
        <v>-1013.76</v>
      </c>
      <c r="I33" s="107"/>
      <c r="J33" s="107">
        <v>47921</v>
      </c>
    </row>
    <row r="34" spans="2:11" x14ac:dyDescent="0.2">
      <c r="B34" s="11" t="s">
        <v>246</v>
      </c>
      <c r="C34" s="11"/>
      <c r="D34" s="107" t="s">
        <v>247</v>
      </c>
      <c r="E34" s="107" t="s">
        <v>248</v>
      </c>
      <c r="F34" s="107"/>
      <c r="G34" s="107">
        <v>45938</v>
      </c>
      <c r="H34" s="159">
        <v>-428</v>
      </c>
      <c r="I34" s="107"/>
      <c r="J34" s="107">
        <v>48032</v>
      </c>
    </row>
    <row r="35" spans="2:11" x14ac:dyDescent="0.2">
      <c r="B35" s="11" t="s">
        <v>199</v>
      </c>
      <c r="C35" s="11"/>
      <c r="D35" s="107" t="s">
        <v>201</v>
      </c>
      <c r="E35" s="107" t="s">
        <v>200</v>
      </c>
      <c r="F35" s="107"/>
      <c r="G35" s="107" t="s">
        <v>266</v>
      </c>
      <c r="H35" s="131">
        <v>-6268</v>
      </c>
      <c r="I35" s="107"/>
      <c r="J35" s="107">
        <v>48032</v>
      </c>
      <c r="K35" t="s">
        <v>265</v>
      </c>
    </row>
    <row r="36" spans="2:11" x14ac:dyDescent="0.2">
      <c r="B36" s="11" t="s">
        <v>275</v>
      </c>
      <c r="C36" s="11"/>
      <c r="D36" s="107" t="s">
        <v>276</v>
      </c>
      <c r="E36" s="107" t="s">
        <v>277</v>
      </c>
      <c r="F36" s="107"/>
      <c r="G36" s="107">
        <v>73148</v>
      </c>
      <c r="H36" s="159">
        <v>-230</v>
      </c>
      <c r="I36" s="107"/>
      <c r="J36" s="10">
        <v>17032</v>
      </c>
    </row>
    <row r="37" spans="2:11" x14ac:dyDescent="0.2">
      <c r="B37" s="11" t="s">
        <v>272</v>
      </c>
      <c r="C37" s="11" t="s">
        <v>47</v>
      </c>
      <c r="D37" s="107"/>
      <c r="E37" s="12" t="s">
        <v>271</v>
      </c>
      <c r="F37" s="107"/>
      <c r="G37" s="107"/>
      <c r="H37" s="159">
        <v>-1492</v>
      </c>
      <c r="I37" s="107"/>
      <c r="J37" s="10"/>
    </row>
    <row r="38" spans="2:11" x14ac:dyDescent="0.2">
      <c r="B38" s="11" t="s">
        <v>272</v>
      </c>
      <c r="C38" s="11" t="s">
        <v>44</v>
      </c>
      <c r="D38" s="107"/>
      <c r="E38" s="12" t="s">
        <v>273</v>
      </c>
      <c r="F38" s="107"/>
      <c r="G38" s="107"/>
      <c r="H38" s="159">
        <v>-7768.89</v>
      </c>
      <c r="I38" s="107"/>
      <c r="J38" s="10"/>
    </row>
    <row r="39" spans="2:11" x14ac:dyDescent="0.2">
      <c r="B39" s="11" t="s">
        <v>272</v>
      </c>
      <c r="C39" s="11"/>
      <c r="D39" s="107" t="s">
        <v>226</v>
      </c>
      <c r="E39" s="107" t="s">
        <v>274</v>
      </c>
      <c r="F39" s="107"/>
      <c r="G39" s="107">
        <v>90044083</v>
      </c>
      <c r="H39" s="159">
        <v>-180.8</v>
      </c>
      <c r="I39" s="107"/>
      <c r="J39" s="10">
        <v>17032</v>
      </c>
    </row>
    <row r="40" spans="2:11" x14ac:dyDescent="0.2">
      <c r="B40" s="11" t="s">
        <v>278</v>
      </c>
      <c r="C40" s="11"/>
      <c r="D40" s="107" t="s">
        <v>279</v>
      </c>
      <c r="E40" s="107" t="s">
        <v>280</v>
      </c>
      <c r="F40" s="107"/>
      <c r="G40" s="107">
        <v>50478</v>
      </c>
      <c r="H40" s="159">
        <v>-720</v>
      </c>
      <c r="I40" s="107"/>
      <c r="J40" s="10">
        <v>17032</v>
      </c>
    </row>
    <row r="41" spans="2:11" x14ac:dyDescent="0.2">
      <c r="B41" s="11" t="s">
        <v>376</v>
      </c>
      <c r="C41" s="11"/>
      <c r="D41" s="107" t="s">
        <v>226</v>
      </c>
      <c r="E41" s="107" t="s">
        <v>377</v>
      </c>
      <c r="F41" s="107"/>
      <c r="G41" s="107" t="s">
        <v>378</v>
      </c>
      <c r="H41" s="159">
        <v>-7.4</v>
      </c>
      <c r="I41" s="107"/>
      <c r="J41" s="10">
        <v>18770</v>
      </c>
    </row>
    <row r="42" spans="2:11" x14ac:dyDescent="0.2">
      <c r="B42" s="11" t="s">
        <v>289</v>
      </c>
      <c r="C42" s="11"/>
      <c r="D42" s="107" t="s">
        <v>281</v>
      </c>
      <c r="E42" s="107" t="s">
        <v>282</v>
      </c>
      <c r="F42" s="107"/>
      <c r="G42" s="107">
        <v>39309579</v>
      </c>
      <c r="H42" s="159">
        <v>-29</v>
      </c>
      <c r="I42" s="107"/>
      <c r="J42" s="10">
        <v>17006</v>
      </c>
    </row>
    <row r="43" spans="2:11" x14ac:dyDescent="0.2">
      <c r="B43" s="11" t="s">
        <v>290</v>
      </c>
      <c r="C43" s="11"/>
      <c r="D43" s="107" t="s">
        <v>283</v>
      </c>
      <c r="E43" s="107" t="s">
        <v>284</v>
      </c>
      <c r="F43" s="107"/>
      <c r="G43" s="107" t="s">
        <v>285</v>
      </c>
      <c r="H43" s="159">
        <v>-366.79</v>
      </c>
      <c r="I43" s="107"/>
      <c r="J43" s="10">
        <v>17006</v>
      </c>
    </row>
    <row r="44" spans="2:11" x14ac:dyDescent="0.2">
      <c r="B44" s="11" t="s">
        <v>286</v>
      </c>
      <c r="C44" s="11"/>
      <c r="D44" s="107" t="s">
        <v>253</v>
      </c>
      <c r="E44" s="107" t="s">
        <v>287</v>
      </c>
      <c r="F44" s="107"/>
      <c r="G44" s="107" t="s">
        <v>288</v>
      </c>
      <c r="H44" s="159">
        <v>-89.38</v>
      </c>
      <c r="I44" s="107"/>
      <c r="J44" s="10">
        <v>17006</v>
      </c>
    </row>
    <row r="45" spans="2:11" x14ac:dyDescent="0.2">
      <c r="B45" s="11" t="s">
        <v>301</v>
      </c>
      <c r="C45" s="11"/>
      <c r="D45" s="107" t="s">
        <v>213</v>
      </c>
      <c r="E45" s="107" t="s">
        <v>297</v>
      </c>
      <c r="F45" s="107"/>
      <c r="G45" s="107" t="s">
        <v>302</v>
      </c>
      <c r="H45" s="159">
        <v>-103.6</v>
      </c>
      <c r="I45" s="107"/>
      <c r="J45" s="10">
        <v>32256</v>
      </c>
    </row>
    <row r="46" spans="2:11" x14ac:dyDescent="0.2">
      <c r="B46" s="11" t="s">
        <v>291</v>
      </c>
      <c r="C46" s="11"/>
      <c r="D46" s="107" t="s">
        <v>183</v>
      </c>
      <c r="E46" s="107" t="s">
        <v>292</v>
      </c>
      <c r="F46" s="107"/>
      <c r="G46" s="107">
        <v>26647</v>
      </c>
      <c r="H46" s="159">
        <v>-275</v>
      </c>
      <c r="I46" s="107"/>
      <c r="J46" s="10">
        <v>17032</v>
      </c>
    </row>
    <row r="47" spans="2:11" x14ac:dyDescent="0.2">
      <c r="B47" s="11" t="s">
        <v>293</v>
      </c>
      <c r="C47" s="11"/>
      <c r="D47" s="107" t="s">
        <v>183</v>
      </c>
      <c r="E47" s="107" t="s">
        <v>294</v>
      </c>
      <c r="F47" s="107"/>
      <c r="G47" s="107">
        <v>27221</v>
      </c>
      <c r="H47" s="159">
        <v>-248.1</v>
      </c>
      <c r="I47" s="107"/>
      <c r="J47" s="10">
        <v>18770</v>
      </c>
    </row>
    <row r="48" spans="2:11" x14ac:dyDescent="0.2">
      <c r="B48" s="11" t="s">
        <v>295</v>
      </c>
      <c r="C48" s="11"/>
      <c r="D48" s="107" t="s">
        <v>296</v>
      </c>
      <c r="E48" s="107" t="s">
        <v>297</v>
      </c>
      <c r="F48" s="107"/>
      <c r="G48" s="107"/>
      <c r="H48" s="159">
        <v>-25</v>
      </c>
      <c r="I48" s="107"/>
      <c r="J48" s="10">
        <v>17006</v>
      </c>
      <c r="K48" t="s">
        <v>298</v>
      </c>
    </row>
    <row r="49" spans="2:14" x14ac:dyDescent="0.2">
      <c r="B49" s="11" t="s">
        <v>299</v>
      </c>
      <c r="C49" s="11" t="s">
        <v>47</v>
      </c>
      <c r="D49" s="107"/>
      <c r="E49" s="12" t="s">
        <v>300</v>
      </c>
      <c r="F49" s="107"/>
      <c r="G49" s="107"/>
      <c r="H49" s="159">
        <v>-1219</v>
      </c>
      <c r="I49" s="107"/>
      <c r="J49" s="10"/>
    </row>
    <row r="50" spans="2:14" x14ac:dyDescent="0.2">
      <c r="B50" s="11" t="s">
        <v>299</v>
      </c>
      <c r="C50" s="11" t="s">
        <v>44</v>
      </c>
      <c r="D50" s="107"/>
      <c r="E50" s="12" t="s">
        <v>330</v>
      </c>
      <c r="F50" s="107"/>
      <c r="G50" s="107"/>
      <c r="H50" s="159">
        <v>-6563.19</v>
      </c>
      <c r="I50" s="107"/>
      <c r="J50" s="10"/>
    </row>
    <row r="51" spans="2:14" x14ac:dyDescent="0.2">
      <c r="B51" s="11" t="s">
        <v>318</v>
      </c>
      <c r="C51" s="11"/>
      <c r="D51" s="107" t="s">
        <v>319</v>
      </c>
      <c r="E51" s="127" t="s">
        <v>320</v>
      </c>
      <c r="F51" s="107"/>
      <c r="G51" s="107" t="s">
        <v>321</v>
      </c>
      <c r="H51" s="159">
        <v>-216</v>
      </c>
      <c r="I51" s="107"/>
      <c r="J51" s="10">
        <v>32256</v>
      </c>
    </row>
    <row r="52" spans="2:14" x14ac:dyDescent="0.2">
      <c r="B52" s="11" t="s">
        <v>306</v>
      </c>
      <c r="C52" s="11"/>
      <c r="D52" s="107" t="s">
        <v>307</v>
      </c>
      <c r="E52" s="127" t="s">
        <v>308</v>
      </c>
      <c r="F52" s="107"/>
      <c r="G52" s="107">
        <v>2321</v>
      </c>
      <c r="H52" s="159">
        <v>-614</v>
      </c>
      <c r="I52" s="107"/>
      <c r="J52" s="10">
        <v>32256</v>
      </c>
    </row>
    <row r="53" spans="2:14" x14ac:dyDescent="0.2">
      <c r="B53" s="11" t="s">
        <v>310</v>
      </c>
      <c r="C53" s="11"/>
      <c r="D53" s="107" t="s">
        <v>226</v>
      </c>
      <c r="E53" s="127" t="s">
        <v>297</v>
      </c>
      <c r="F53" s="107"/>
      <c r="G53" s="107" t="s">
        <v>375</v>
      </c>
      <c r="H53" s="159">
        <v>-28.5</v>
      </c>
      <c r="I53" s="107"/>
      <c r="J53" s="10"/>
    </row>
    <row r="54" spans="2:14" x14ac:dyDescent="0.2">
      <c r="B54" s="11" t="s">
        <v>310</v>
      </c>
      <c r="C54" s="11"/>
      <c r="D54" s="107" t="s">
        <v>311</v>
      </c>
      <c r="E54" s="107" t="s">
        <v>297</v>
      </c>
      <c r="F54" s="107"/>
      <c r="G54" s="107">
        <v>27221</v>
      </c>
      <c r="H54" s="159">
        <v>-147</v>
      </c>
      <c r="I54" s="107"/>
      <c r="J54" s="10">
        <v>18770</v>
      </c>
    </row>
    <row r="55" spans="2:14" x14ac:dyDescent="0.2">
      <c r="B55" s="11" t="s">
        <v>322</v>
      </c>
      <c r="C55" s="11"/>
      <c r="D55" s="107" t="s">
        <v>226</v>
      </c>
      <c r="E55" s="107" t="s">
        <v>297</v>
      </c>
      <c r="F55" s="107"/>
      <c r="G55" s="107" t="s">
        <v>375</v>
      </c>
      <c r="H55" s="159">
        <v>-13.9</v>
      </c>
      <c r="I55" s="107"/>
      <c r="J55" s="10">
        <v>18770</v>
      </c>
    </row>
    <row r="56" spans="2:14" x14ac:dyDescent="0.2">
      <c r="B56" s="11" t="s">
        <v>355</v>
      </c>
      <c r="C56" s="11"/>
      <c r="D56" s="107" t="s">
        <v>253</v>
      </c>
      <c r="E56" s="107" t="s">
        <v>287</v>
      </c>
      <c r="F56" s="107"/>
      <c r="G56" s="107" t="s">
        <v>359</v>
      </c>
      <c r="H56" s="159">
        <v>-63.62</v>
      </c>
      <c r="I56" s="107"/>
      <c r="J56" s="10">
        <v>18695</v>
      </c>
    </row>
    <row r="57" spans="2:14" x14ac:dyDescent="0.2">
      <c r="B57" s="11" t="s">
        <v>360</v>
      </c>
      <c r="C57" s="11"/>
      <c r="D57" s="107" t="s">
        <v>361</v>
      </c>
      <c r="E57" s="107" t="s">
        <v>362</v>
      </c>
      <c r="F57" s="107"/>
      <c r="G57" s="107"/>
      <c r="H57" s="159">
        <v>-38.9</v>
      </c>
      <c r="I57" s="107"/>
      <c r="J57" s="10">
        <v>18695</v>
      </c>
    </row>
    <row r="58" spans="2:14" x14ac:dyDescent="0.2">
      <c r="B58" s="11" t="s">
        <v>312</v>
      </c>
      <c r="C58" s="11"/>
      <c r="D58" s="107" t="s">
        <v>313</v>
      </c>
      <c r="E58" s="107" t="s">
        <v>314</v>
      </c>
      <c r="F58" s="107"/>
      <c r="G58" s="107"/>
      <c r="H58" s="159">
        <v>-162</v>
      </c>
      <c r="I58" s="107"/>
      <c r="J58" s="10">
        <v>32800</v>
      </c>
      <c r="K58" t="s">
        <v>298</v>
      </c>
    </row>
    <row r="59" spans="2:14" x14ac:dyDescent="0.2">
      <c r="B59" s="11" t="s">
        <v>312</v>
      </c>
      <c r="C59" s="11"/>
      <c r="D59" s="107" t="s">
        <v>315</v>
      </c>
      <c r="E59" s="107" t="s">
        <v>316</v>
      </c>
      <c r="F59" s="107"/>
      <c r="G59" s="107">
        <v>6057423</v>
      </c>
      <c r="H59" s="159">
        <v>-421</v>
      </c>
      <c r="I59" s="107"/>
      <c r="J59" s="10">
        <v>32800</v>
      </c>
      <c r="K59" t="s">
        <v>317</v>
      </c>
    </row>
    <row r="60" spans="2:14" x14ac:dyDescent="0.2">
      <c r="B60" s="11" t="s">
        <v>312</v>
      </c>
      <c r="C60" s="11"/>
      <c r="D60" s="107" t="s">
        <v>183</v>
      </c>
      <c r="E60" s="107" t="s">
        <v>297</v>
      </c>
      <c r="F60" s="107"/>
      <c r="G60" s="107">
        <v>27221</v>
      </c>
      <c r="H60" s="159">
        <v>-195</v>
      </c>
      <c r="I60" s="107"/>
      <c r="J60" s="10">
        <v>18770</v>
      </c>
    </row>
    <row r="61" spans="2:14" x14ac:dyDescent="0.2">
      <c r="B61" s="11" t="s">
        <v>327</v>
      </c>
      <c r="C61" s="11" t="s">
        <v>47</v>
      </c>
      <c r="D61" s="107"/>
      <c r="E61" s="107" t="s">
        <v>328</v>
      </c>
      <c r="F61" s="107"/>
      <c r="G61" s="107"/>
      <c r="H61" s="159">
        <v>-1064</v>
      </c>
      <c r="I61" s="107"/>
      <c r="J61" s="10"/>
    </row>
    <row r="62" spans="2:14" x14ac:dyDescent="0.2">
      <c r="B62" s="11" t="s">
        <v>327</v>
      </c>
      <c r="C62" s="11" t="s">
        <v>44</v>
      </c>
      <c r="D62" s="107"/>
      <c r="E62" s="107" t="s">
        <v>329</v>
      </c>
      <c r="F62" s="107"/>
      <c r="G62" s="107"/>
      <c r="H62" s="159">
        <f>-8719.22+4700</f>
        <v>-4019.2199999999993</v>
      </c>
      <c r="I62" s="107"/>
      <c r="J62" s="10"/>
      <c r="N62" t="s">
        <v>1196</v>
      </c>
    </row>
    <row r="63" spans="2:14" x14ac:dyDescent="0.2">
      <c r="B63" s="11" t="s">
        <v>327</v>
      </c>
      <c r="C63" s="11"/>
      <c r="D63" s="107" t="s">
        <v>331</v>
      </c>
      <c r="E63" s="107" t="s">
        <v>332</v>
      </c>
      <c r="F63" s="107"/>
      <c r="G63" s="107"/>
      <c r="H63" s="159">
        <v>-115.6</v>
      </c>
      <c r="I63" s="107"/>
      <c r="J63" s="10">
        <v>18695</v>
      </c>
      <c r="K63" t="s">
        <v>298</v>
      </c>
    </row>
    <row r="64" spans="2:14" x14ac:dyDescent="0.2">
      <c r="B64" s="11" t="s">
        <v>356</v>
      </c>
      <c r="C64" s="11"/>
      <c r="D64" s="107" t="s">
        <v>357</v>
      </c>
      <c r="E64" s="107" t="s">
        <v>358</v>
      </c>
      <c r="F64" s="107"/>
      <c r="G64" s="107">
        <v>20744</v>
      </c>
      <c r="H64" s="159">
        <v>-150</v>
      </c>
      <c r="I64" s="107"/>
      <c r="J64" s="10">
        <v>18695</v>
      </c>
    </row>
    <row r="65" spans="2:11" x14ac:dyDescent="0.2">
      <c r="B65" s="11" t="s">
        <v>325</v>
      </c>
      <c r="C65" s="11"/>
      <c r="D65" s="107" t="s">
        <v>213</v>
      </c>
      <c r="E65" s="107" t="s">
        <v>333</v>
      </c>
      <c r="F65" s="107"/>
      <c r="G65" s="107" t="s">
        <v>411</v>
      </c>
      <c r="H65" s="159">
        <v>-50</v>
      </c>
      <c r="I65" s="107"/>
      <c r="J65" s="10">
        <v>18770</v>
      </c>
    </row>
    <row r="66" spans="2:11" x14ac:dyDescent="0.2">
      <c r="B66" s="11" t="s">
        <v>325</v>
      </c>
      <c r="C66" s="11"/>
      <c r="D66" s="107" t="s">
        <v>336</v>
      </c>
      <c r="E66" s="107" t="s">
        <v>337</v>
      </c>
      <c r="F66" s="107"/>
      <c r="G66" s="107" t="s">
        <v>408</v>
      </c>
      <c r="H66" s="159">
        <v>-20.8</v>
      </c>
      <c r="I66" s="107"/>
      <c r="J66" s="10">
        <v>58786911</v>
      </c>
    </row>
    <row r="67" spans="2:11" x14ac:dyDescent="0.2">
      <c r="B67" s="11" t="s">
        <v>325</v>
      </c>
      <c r="C67" s="11"/>
      <c r="D67" s="107" t="s">
        <v>183</v>
      </c>
      <c r="E67" s="107" t="s">
        <v>297</v>
      </c>
      <c r="F67" s="107"/>
      <c r="G67" s="107">
        <v>27833</v>
      </c>
      <c r="H67" s="159">
        <v>-678.2</v>
      </c>
      <c r="I67" s="107"/>
      <c r="J67" s="10">
        <v>58786911</v>
      </c>
    </row>
    <row r="68" spans="2:11" x14ac:dyDescent="0.2">
      <c r="B68" s="11"/>
      <c r="C68" s="11"/>
      <c r="D68" s="107" t="s">
        <v>183</v>
      </c>
      <c r="E68" s="107" t="s">
        <v>472</v>
      </c>
      <c r="F68" s="107"/>
      <c r="G68" s="107">
        <v>27833</v>
      </c>
      <c r="H68" s="159">
        <v>59</v>
      </c>
      <c r="I68" s="107"/>
      <c r="J68" s="10">
        <v>58786911</v>
      </c>
    </row>
    <row r="69" spans="2:11" x14ac:dyDescent="0.2">
      <c r="B69" s="11" t="s">
        <v>338</v>
      </c>
      <c r="C69" s="11"/>
      <c r="D69" s="107" t="s">
        <v>339</v>
      </c>
      <c r="E69" s="107" t="s">
        <v>297</v>
      </c>
      <c r="F69" s="107"/>
      <c r="G69" s="107"/>
      <c r="H69" s="159">
        <v>-92.5</v>
      </c>
      <c r="I69" s="107"/>
      <c r="J69" s="10"/>
      <c r="K69" t="s">
        <v>298</v>
      </c>
    </row>
    <row r="70" spans="2:11" x14ac:dyDescent="0.2">
      <c r="B70" s="11" t="s">
        <v>338</v>
      </c>
      <c r="C70" s="11"/>
      <c r="D70" s="107" t="s">
        <v>247</v>
      </c>
      <c r="E70" s="107" t="s">
        <v>297</v>
      </c>
      <c r="F70" s="107"/>
      <c r="G70" s="107"/>
      <c r="H70" s="159">
        <v>-45</v>
      </c>
      <c r="I70" s="107"/>
      <c r="J70" s="10"/>
      <c r="K70" t="s">
        <v>298</v>
      </c>
    </row>
    <row r="71" spans="2:11" x14ac:dyDescent="0.2">
      <c r="B71" s="11" t="s">
        <v>346</v>
      </c>
      <c r="C71" s="11"/>
      <c r="D71" s="107" t="s">
        <v>183</v>
      </c>
      <c r="E71" s="107" t="s">
        <v>297</v>
      </c>
      <c r="F71" s="107"/>
      <c r="G71" s="107">
        <v>27833</v>
      </c>
      <c r="H71" s="159">
        <v>-26</v>
      </c>
      <c r="I71" s="107"/>
      <c r="J71" s="10">
        <v>58786911</v>
      </c>
    </row>
    <row r="72" spans="2:11" x14ac:dyDescent="0.2">
      <c r="B72" s="11" t="s">
        <v>347</v>
      </c>
      <c r="C72" s="11"/>
      <c r="D72" s="107" t="s">
        <v>336</v>
      </c>
      <c r="E72" s="107" t="s">
        <v>297</v>
      </c>
      <c r="F72" s="107"/>
      <c r="G72" s="107" t="s">
        <v>408</v>
      </c>
      <c r="H72" s="159">
        <v>-75.599999999999994</v>
      </c>
      <c r="I72" s="107"/>
      <c r="J72" s="10"/>
    </row>
    <row r="73" spans="2:11" x14ac:dyDescent="0.2">
      <c r="B73" s="11" t="s">
        <v>348</v>
      </c>
      <c r="C73" s="11"/>
      <c r="D73" s="107" t="s">
        <v>183</v>
      </c>
      <c r="E73" s="107" t="s">
        <v>297</v>
      </c>
      <c r="F73" s="107"/>
      <c r="G73" s="107">
        <v>27833</v>
      </c>
      <c r="H73" s="159">
        <v>-204.9</v>
      </c>
      <c r="I73" s="107"/>
      <c r="J73" s="10">
        <v>58786911</v>
      </c>
    </row>
    <row r="74" spans="2:11" x14ac:dyDescent="0.2">
      <c r="B74" s="11" t="s">
        <v>348</v>
      </c>
      <c r="C74" s="11"/>
      <c r="D74" s="107" t="s">
        <v>364</v>
      </c>
      <c r="E74" s="107" t="s">
        <v>497</v>
      </c>
      <c r="F74" s="107"/>
      <c r="G74" s="107">
        <v>3220381</v>
      </c>
      <c r="H74" s="159">
        <v>-1731.6</v>
      </c>
      <c r="I74" s="107"/>
      <c r="J74" s="10">
        <v>51546295</v>
      </c>
    </row>
    <row r="75" spans="2:11" x14ac:dyDescent="0.2">
      <c r="B75" s="11" t="s">
        <v>363</v>
      </c>
      <c r="C75" s="11"/>
      <c r="D75" s="107" t="s">
        <v>364</v>
      </c>
      <c r="E75" s="107" t="s">
        <v>401</v>
      </c>
      <c r="F75" s="107"/>
      <c r="G75" s="107">
        <v>3220382</v>
      </c>
      <c r="H75" s="159">
        <v>-1261</v>
      </c>
      <c r="I75" s="107"/>
      <c r="J75" s="10">
        <v>51546295</v>
      </c>
    </row>
    <row r="76" spans="2:11" x14ac:dyDescent="0.2">
      <c r="B76" s="11" t="s">
        <v>363</v>
      </c>
      <c r="C76" s="11"/>
      <c r="D76" s="107" t="s">
        <v>364</v>
      </c>
      <c r="E76" s="107" t="s">
        <v>365</v>
      </c>
      <c r="F76" s="107"/>
      <c r="G76" s="107">
        <v>1221653</v>
      </c>
      <c r="H76" s="159">
        <v>-187.2</v>
      </c>
      <c r="I76" s="107"/>
      <c r="J76" s="10">
        <v>18695</v>
      </c>
    </row>
    <row r="77" spans="2:11" x14ac:dyDescent="0.2">
      <c r="B77" s="11" t="s">
        <v>363</v>
      </c>
      <c r="C77" s="11"/>
      <c r="D77" s="107" t="s">
        <v>384</v>
      </c>
      <c r="E77" s="107" t="s">
        <v>385</v>
      </c>
      <c r="F77" s="107"/>
      <c r="G77" s="107">
        <v>388695</v>
      </c>
      <c r="H77" s="159">
        <v>-133</v>
      </c>
      <c r="I77" s="107"/>
      <c r="J77" s="10">
        <v>18770</v>
      </c>
    </row>
    <row r="78" spans="2:11" x14ac:dyDescent="0.2">
      <c r="B78" s="11" t="s">
        <v>366</v>
      </c>
      <c r="C78" s="11"/>
      <c r="D78" s="107" t="s">
        <v>367</v>
      </c>
      <c r="E78" s="107" t="s">
        <v>368</v>
      </c>
      <c r="F78" s="107"/>
      <c r="G78" s="107">
        <v>170495</v>
      </c>
      <c r="H78" s="159">
        <v>-45</v>
      </c>
      <c r="I78" s="107"/>
      <c r="J78" s="10">
        <v>18695</v>
      </c>
    </row>
    <row r="79" spans="2:11" x14ac:dyDescent="0.2">
      <c r="B79" s="11" t="s">
        <v>366</v>
      </c>
      <c r="C79" s="11"/>
      <c r="D79" s="107" t="s">
        <v>369</v>
      </c>
      <c r="E79" s="107" t="s">
        <v>370</v>
      </c>
      <c r="F79" s="107"/>
      <c r="G79" s="107">
        <v>21983</v>
      </c>
      <c r="H79" s="159">
        <v>-65</v>
      </c>
      <c r="I79" s="107"/>
      <c r="J79" s="10">
        <v>18695</v>
      </c>
    </row>
    <row r="80" spans="2:11" x14ac:dyDescent="0.2">
      <c r="B80" s="11" t="s">
        <v>340</v>
      </c>
      <c r="C80" s="11"/>
      <c r="D80" s="107" t="s">
        <v>341</v>
      </c>
      <c r="E80" s="107" t="s">
        <v>342</v>
      </c>
      <c r="F80" s="107"/>
      <c r="G80" s="107">
        <v>1155</v>
      </c>
      <c r="H80" s="159">
        <v>-633</v>
      </c>
      <c r="I80" s="107"/>
      <c r="J80" s="10">
        <v>18770</v>
      </c>
    </row>
    <row r="81" spans="2:11" x14ac:dyDescent="0.2">
      <c r="B81" s="11" t="s">
        <v>340</v>
      </c>
      <c r="C81" s="11"/>
      <c r="D81" s="107" t="s">
        <v>371</v>
      </c>
      <c r="E81" s="107" t="s">
        <v>372</v>
      </c>
      <c r="F81" s="107"/>
      <c r="G81" s="107"/>
      <c r="H81" s="159">
        <v>-46.24</v>
      </c>
      <c r="I81" s="107"/>
      <c r="J81" s="10">
        <v>18695</v>
      </c>
    </row>
    <row r="82" spans="2:11" x14ac:dyDescent="0.2">
      <c r="B82" s="11" t="s">
        <v>340</v>
      </c>
      <c r="C82" s="11"/>
      <c r="D82" s="107" t="s">
        <v>373</v>
      </c>
      <c r="E82" s="107" t="s">
        <v>374</v>
      </c>
      <c r="F82" s="107"/>
      <c r="G82" s="107"/>
      <c r="H82" s="159">
        <v>-10</v>
      </c>
      <c r="I82" s="107"/>
      <c r="J82" s="10">
        <v>18695</v>
      </c>
    </row>
    <row r="83" spans="2:11" x14ac:dyDescent="0.2">
      <c r="B83" s="11" t="s">
        <v>343</v>
      </c>
      <c r="C83" s="11"/>
      <c r="D83" s="107" t="s">
        <v>344</v>
      </c>
      <c r="E83" s="107" t="s">
        <v>345</v>
      </c>
      <c r="F83" s="107"/>
      <c r="G83" s="107" t="s">
        <v>404</v>
      </c>
      <c r="H83" s="159">
        <v>-2386.8000000000002</v>
      </c>
      <c r="I83" s="107"/>
      <c r="J83" s="10">
        <v>58786911</v>
      </c>
    </row>
    <row r="84" spans="2:11" x14ac:dyDescent="0.2">
      <c r="B84" s="11" t="s">
        <v>343</v>
      </c>
      <c r="C84" s="11"/>
      <c r="D84" s="107" t="s">
        <v>183</v>
      </c>
      <c r="E84" s="107" t="s">
        <v>297</v>
      </c>
      <c r="F84" s="107"/>
      <c r="G84" s="107">
        <v>27833</v>
      </c>
      <c r="H84" s="159">
        <v>-172.2</v>
      </c>
      <c r="I84" s="107"/>
      <c r="J84" s="10">
        <v>58786911</v>
      </c>
    </row>
    <row r="85" spans="2:11" x14ac:dyDescent="0.2">
      <c r="B85" s="11" t="s">
        <v>343</v>
      </c>
      <c r="C85" s="11"/>
      <c r="D85" s="107" t="s">
        <v>281</v>
      </c>
      <c r="E85" s="107" t="s">
        <v>282</v>
      </c>
      <c r="F85" s="107"/>
      <c r="G85" s="107"/>
      <c r="H85" s="159">
        <v>-58</v>
      </c>
      <c r="I85" s="107"/>
      <c r="J85" s="10">
        <v>18695</v>
      </c>
    </row>
    <row r="86" spans="2:11" x14ac:dyDescent="0.2">
      <c r="B86" s="11" t="s">
        <v>343</v>
      </c>
      <c r="C86" s="11"/>
      <c r="D86" s="107" t="s">
        <v>364</v>
      </c>
      <c r="E86" s="107" t="s">
        <v>446</v>
      </c>
      <c r="F86" s="107"/>
      <c r="G86" s="107"/>
      <c r="H86" s="159">
        <v>-601.38</v>
      </c>
      <c r="I86" s="107"/>
      <c r="J86" s="10">
        <v>13401</v>
      </c>
      <c r="K86" t="s">
        <v>317</v>
      </c>
    </row>
    <row r="87" spans="2:11" x14ac:dyDescent="0.2">
      <c r="B87" s="11" t="s">
        <v>349</v>
      </c>
      <c r="C87" s="11"/>
      <c r="D87" s="107" t="s">
        <v>183</v>
      </c>
      <c r="E87" s="107" t="s">
        <v>297</v>
      </c>
      <c r="F87" s="107"/>
      <c r="G87" s="107">
        <v>27833</v>
      </c>
      <c r="H87" s="159">
        <v>-120</v>
      </c>
      <c r="I87" s="107"/>
      <c r="J87" s="10">
        <v>58786911</v>
      </c>
    </row>
    <row r="88" spans="2:11" x14ac:dyDescent="0.2">
      <c r="B88" s="11" t="s">
        <v>349</v>
      </c>
      <c r="C88" s="11"/>
      <c r="D88" s="107" t="s">
        <v>336</v>
      </c>
      <c r="E88" s="107" t="s">
        <v>297</v>
      </c>
      <c r="F88" s="107"/>
      <c r="G88" s="107" t="s">
        <v>408</v>
      </c>
      <c r="H88" s="159">
        <v>-75.599999999999994</v>
      </c>
      <c r="I88" s="107"/>
      <c r="J88" s="10">
        <v>58786911</v>
      </c>
    </row>
    <row r="89" spans="2:11" x14ac:dyDescent="0.2">
      <c r="B89" s="11" t="s">
        <v>352</v>
      </c>
      <c r="C89" s="11"/>
      <c r="D89" s="107" t="s">
        <v>351</v>
      </c>
      <c r="E89" s="107" t="s">
        <v>297</v>
      </c>
      <c r="F89" s="107"/>
      <c r="G89" s="107"/>
      <c r="H89" s="159">
        <v>-33</v>
      </c>
      <c r="I89" s="107"/>
      <c r="J89" s="10">
        <v>18695</v>
      </c>
      <c r="K89" t="s">
        <v>298</v>
      </c>
    </row>
    <row r="90" spans="2:11" x14ac:dyDescent="0.2">
      <c r="B90" s="11" t="s">
        <v>350</v>
      </c>
      <c r="C90" s="11"/>
      <c r="D90" s="107" t="s">
        <v>353</v>
      </c>
      <c r="E90" s="107" t="s">
        <v>354</v>
      </c>
      <c r="F90" s="107"/>
      <c r="G90" s="107"/>
      <c r="H90" s="159">
        <v>-64</v>
      </c>
      <c r="I90" s="107"/>
      <c r="J90" s="10">
        <v>18695</v>
      </c>
      <c r="K90" t="s">
        <v>298</v>
      </c>
    </row>
    <row r="91" spans="2:11" x14ac:dyDescent="0.2">
      <c r="B91" s="11" t="s">
        <v>379</v>
      </c>
      <c r="C91" s="11"/>
      <c r="D91" s="107" t="s">
        <v>380</v>
      </c>
      <c r="E91" s="107" t="s">
        <v>381</v>
      </c>
      <c r="F91" s="107"/>
      <c r="G91" s="107" t="s">
        <v>382</v>
      </c>
      <c r="H91" s="159">
        <v>-65</v>
      </c>
      <c r="I91" s="107"/>
      <c r="J91" s="10">
        <v>18695</v>
      </c>
      <c r="K91" t="s">
        <v>298</v>
      </c>
    </row>
    <row r="92" spans="2:11" x14ac:dyDescent="0.2">
      <c r="B92" s="11" t="s">
        <v>379</v>
      </c>
      <c r="C92" s="11"/>
      <c r="D92" s="107" t="s">
        <v>183</v>
      </c>
      <c r="E92" s="107" t="s">
        <v>383</v>
      </c>
      <c r="F92" s="107"/>
      <c r="G92" s="107">
        <v>27833</v>
      </c>
      <c r="H92" s="159">
        <v>-475</v>
      </c>
      <c r="I92" s="107"/>
      <c r="J92" s="10">
        <v>58786911</v>
      </c>
    </row>
    <row r="93" spans="2:11" x14ac:dyDescent="0.2">
      <c r="B93" s="11" t="s">
        <v>379</v>
      </c>
      <c r="C93" s="11"/>
      <c r="D93" s="107" t="s">
        <v>183</v>
      </c>
      <c r="E93" s="107" t="s">
        <v>399</v>
      </c>
      <c r="F93" s="107"/>
      <c r="G93" s="107">
        <v>27833</v>
      </c>
      <c r="H93" s="159">
        <v>-83</v>
      </c>
      <c r="I93" s="107"/>
      <c r="J93" s="10">
        <v>58786911</v>
      </c>
    </row>
    <row r="94" spans="2:11" x14ac:dyDescent="0.2">
      <c r="B94" s="11" t="s">
        <v>400</v>
      </c>
      <c r="C94" s="11"/>
      <c r="D94" s="107" t="s">
        <v>183</v>
      </c>
      <c r="E94" s="107" t="s">
        <v>297</v>
      </c>
      <c r="F94" s="107"/>
      <c r="G94" s="107">
        <v>28412</v>
      </c>
      <c r="H94" s="159">
        <v>-40</v>
      </c>
      <c r="I94" s="107"/>
      <c r="J94" s="10">
        <v>51546295</v>
      </c>
    </row>
    <row r="95" spans="2:11" x14ac:dyDescent="0.2">
      <c r="B95" s="11" t="s">
        <v>400</v>
      </c>
      <c r="C95" s="11"/>
      <c r="D95" s="107" t="s">
        <v>213</v>
      </c>
      <c r="E95" s="107" t="s">
        <v>499</v>
      </c>
      <c r="F95" s="107"/>
      <c r="G95" s="107" t="s">
        <v>498</v>
      </c>
      <c r="H95" s="159">
        <v>-51.14</v>
      </c>
      <c r="I95" s="107"/>
      <c r="J95" s="10">
        <v>51546295</v>
      </c>
    </row>
    <row r="96" spans="2:11" x14ac:dyDescent="0.2">
      <c r="B96" s="11" t="s">
        <v>397</v>
      </c>
      <c r="C96" s="11"/>
      <c r="D96" s="107" t="s">
        <v>213</v>
      </c>
      <c r="E96" s="107" t="s">
        <v>398</v>
      </c>
      <c r="F96" s="107"/>
      <c r="G96" s="107" t="s">
        <v>498</v>
      </c>
      <c r="H96" s="159">
        <v>-76.13</v>
      </c>
      <c r="I96" s="107"/>
      <c r="J96" s="10">
        <v>51546295</v>
      </c>
    </row>
    <row r="97" spans="2:14" x14ac:dyDescent="0.2">
      <c r="B97" s="11" t="s">
        <v>397</v>
      </c>
      <c r="C97" s="11"/>
      <c r="D97" s="107" t="s">
        <v>183</v>
      </c>
      <c r="E97" s="107" t="s">
        <v>297</v>
      </c>
      <c r="F97" s="107"/>
      <c r="G97" s="107">
        <v>28412</v>
      </c>
      <c r="H97" s="159">
        <v>-62</v>
      </c>
      <c r="I97" s="107"/>
      <c r="J97" s="10">
        <v>51546295</v>
      </c>
    </row>
    <row r="98" spans="2:14" x14ac:dyDescent="0.2">
      <c r="B98" s="11" t="s">
        <v>397</v>
      </c>
      <c r="C98" s="11"/>
      <c r="D98" s="107" t="s">
        <v>213</v>
      </c>
      <c r="E98" s="107" t="s">
        <v>398</v>
      </c>
      <c r="F98" s="107"/>
      <c r="G98" s="107" t="s">
        <v>416</v>
      </c>
      <c r="H98" s="159">
        <v>-393.9</v>
      </c>
      <c r="I98" s="107"/>
      <c r="J98" s="10">
        <v>58786911</v>
      </c>
    </row>
    <row r="99" spans="2:14" x14ac:dyDescent="0.2">
      <c r="B99" s="11" t="s">
        <v>397</v>
      </c>
      <c r="C99" s="11"/>
      <c r="D99" s="107" t="s">
        <v>402</v>
      </c>
      <c r="E99" s="107" t="s">
        <v>403</v>
      </c>
      <c r="F99" s="107"/>
      <c r="G99" s="107">
        <v>333093557</v>
      </c>
      <c r="H99" s="159">
        <v>-20.6</v>
      </c>
      <c r="I99" s="107"/>
      <c r="J99" s="10">
        <v>13401</v>
      </c>
      <c r="K99" t="s">
        <v>298</v>
      </c>
    </row>
    <row r="100" spans="2:14" x14ac:dyDescent="0.2">
      <c r="B100" s="11" t="s">
        <v>397</v>
      </c>
      <c r="C100" s="11"/>
      <c r="D100" s="107" t="s">
        <v>336</v>
      </c>
      <c r="E100" s="107" t="s">
        <v>337</v>
      </c>
      <c r="F100" s="107"/>
      <c r="G100" s="107" t="s">
        <v>409</v>
      </c>
      <c r="H100" s="159">
        <v>-17.7</v>
      </c>
      <c r="I100" s="107"/>
      <c r="J100" s="10">
        <v>58786911</v>
      </c>
    </row>
    <row r="101" spans="2:14" x14ac:dyDescent="0.2">
      <c r="B101" s="11" t="s">
        <v>397</v>
      </c>
      <c r="C101" s="11" t="s">
        <v>47</v>
      </c>
      <c r="D101" s="107"/>
      <c r="E101" s="107" t="s">
        <v>405</v>
      </c>
      <c r="F101" s="107"/>
      <c r="G101" s="107"/>
      <c r="H101" s="159"/>
      <c r="I101" s="107"/>
      <c r="J101" s="10"/>
      <c r="N101" s="159">
        <v>-1701.19</v>
      </c>
    </row>
    <row r="102" spans="2:14" x14ac:dyDescent="0.2">
      <c r="B102" s="11" t="s">
        <v>397</v>
      </c>
      <c r="C102" s="11" t="s">
        <v>44</v>
      </c>
      <c r="D102" s="107"/>
      <c r="E102" s="107" t="s">
        <v>406</v>
      </c>
      <c r="F102" s="107"/>
      <c r="G102" s="107"/>
      <c r="H102" s="159"/>
      <c r="I102" s="107"/>
      <c r="J102" s="10"/>
      <c r="N102" s="159">
        <v>-9696.7999999999993</v>
      </c>
    </row>
    <row r="103" spans="2:14" x14ac:dyDescent="0.2">
      <c r="B103" s="11" t="s">
        <v>397</v>
      </c>
      <c r="C103" s="11" t="s">
        <v>44</v>
      </c>
      <c r="D103" s="107"/>
      <c r="E103" s="107" t="s">
        <v>407</v>
      </c>
      <c r="F103" s="107"/>
      <c r="G103" s="107"/>
      <c r="H103" s="159"/>
      <c r="I103" s="107"/>
      <c r="J103" s="10"/>
      <c r="N103" s="159">
        <v>-3857.47</v>
      </c>
    </row>
    <row r="104" spans="2:14" x14ac:dyDescent="0.2">
      <c r="B104" s="11" t="s">
        <v>412</v>
      </c>
      <c r="C104" s="11"/>
      <c r="D104" s="107" t="s">
        <v>413</v>
      </c>
      <c r="E104" s="107" t="s">
        <v>414</v>
      </c>
      <c r="F104" s="107"/>
      <c r="G104" s="107" t="s">
        <v>415</v>
      </c>
      <c r="H104" s="159">
        <v>-2358</v>
      </c>
      <c r="I104" s="107"/>
      <c r="J104" s="10">
        <v>58786911</v>
      </c>
    </row>
    <row r="105" spans="2:14" x14ac:dyDescent="0.2">
      <c r="B105" s="11" t="s">
        <v>447</v>
      </c>
      <c r="C105" s="11"/>
      <c r="D105" s="107" t="s">
        <v>448</v>
      </c>
      <c r="E105" s="107" t="s">
        <v>449</v>
      </c>
      <c r="F105" s="107"/>
      <c r="G105" s="107"/>
      <c r="H105" s="159">
        <v>-90</v>
      </c>
      <c r="I105" s="107"/>
      <c r="J105" s="10">
        <v>13401</v>
      </c>
      <c r="K105" t="s">
        <v>317</v>
      </c>
    </row>
    <row r="106" spans="2:14" x14ac:dyDescent="0.2">
      <c r="B106" s="11" t="s">
        <v>410</v>
      </c>
      <c r="C106" s="11"/>
      <c r="D106" s="107" t="s">
        <v>336</v>
      </c>
      <c r="E106" s="107" t="s">
        <v>337</v>
      </c>
      <c r="F106" s="107"/>
      <c r="G106" s="107" t="s">
        <v>478</v>
      </c>
      <c r="H106" s="159">
        <v>-29.6</v>
      </c>
      <c r="I106" s="107"/>
      <c r="J106" s="10">
        <v>51546295</v>
      </c>
    </row>
    <row r="107" spans="2:14" x14ac:dyDescent="0.2">
      <c r="B107" s="11" t="s">
        <v>410</v>
      </c>
      <c r="C107" s="11"/>
      <c r="D107" s="107" t="s">
        <v>213</v>
      </c>
      <c r="E107" s="107" t="s">
        <v>333</v>
      </c>
      <c r="F107" s="107"/>
      <c r="G107" s="107" t="s">
        <v>498</v>
      </c>
      <c r="H107" s="159">
        <v>-226.4</v>
      </c>
      <c r="I107" s="107"/>
      <c r="J107" s="10">
        <v>51546295</v>
      </c>
    </row>
    <row r="108" spans="2:14" x14ac:dyDescent="0.2">
      <c r="B108" s="11" t="s">
        <v>506</v>
      </c>
      <c r="C108" s="11"/>
      <c r="D108" s="107" t="s">
        <v>281</v>
      </c>
      <c r="E108" s="107" t="s">
        <v>282</v>
      </c>
      <c r="F108" s="107"/>
      <c r="G108" s="107">
        <v>40685315</v>
      </c>
      <c r="H108" s="129">
        <v>-58</v>
      </c>
      <c r="I108" s="107"/>
      <c r="J108" s="10">
        <v>17053</v>
      </c>
      <c r="K108" t="s">
        <v>317</v>
      </c>
    </row>
    <row r="109" spans="2:14" x14ac:dyDescent="0.2">
      <c r="B109" s="11" t="s">
        <v>419</v>
      </c>
      <c r="C109" s="11"/>
      <c r="D109" s="107" t="s">
        <v>183</v>
      </c>
      <c r="E109" s="107" t="s">
        <v>420</v>
      </c>
      <c r="F109" s="107"/>
      <c r="G109" s="107">
        <v>28412</v>
      </c>
      <c r="H109" s="159">
        <v>-40.4</v>
      </c>
      <c r="I109" s="107"/>
      <c r="J109" s="10">
        <v>51546295</v>
      </c>
    </row>
    <row r="110" spans="2:14" x14ac:dyDescent="0.2">
      <c r="B110" s="11" t="s">
        <v>419</v>
      </c>
      <c r="C110" s="11"/>
      <c r="D110" s="107" t="s">
        <v>336</v>
      </c>
      <c r="E110" s="107" t="s">
        <v>297</v>
      </c>
      <c r="F110" s="107"/>
      <c r="G110" s="107" t="s">
        <v>478</v>
      </c>
      <c r="H110" s="159">
        <v>-52.9</v>
      </c>
      <c r="I110" s="107"/>
      <c r="J110" s="10">
        <v>51546295</v>
      </c>
    </row>
    <row r="111" spans="2:14" x14ac:dyDescent="0.2">
      <c r="B111" s="11" t="s">
        <v>417</v>
      </c>
      <c r="C111" s="11"/>
      <c r="D111" s="107" t="s">
        <v>413</v>
      </c>
      <c r="E111" s="107" t="s">
        <v>414</v>
      </c>
      <c r="F111" s="107"/>
      <c r="G111" s="107" t="s">
        <v>418</v>
      </c>
      <c r="H111" s="159">
        <v>-2358</v>
      </c>
      <c r="I111" s="107"/>
      <c r="J111" s="155">
        <v>58786911</v>
      </c>
    </row>
    <row r="112" spans="2:14" x14ac:dyDescent="0.2">
      <c r="B112" s="11" t="s">
        <v>421</v>
      </c>
      <c r="C112" s="11"/>
      <c r="D112" s="107" t="s">
        <v>422</v>
      </c>
      <c r="E112" s="107" t="s">
        <v>423</v>
      </c>
      <c r="F112" s="107"/>
      <c r="G112" s="107"/>
      <c r="H112" s="159">
        <v>-75</v>
      </c>
      <c r="I112" s="107"/>
      <c r="J112" s="155">
        <v>13401</v>
      </c>
      <c r="K112" t="s">
        <v>298</v>
      </c>
    </row>
    <row r="113" spans="2:11" x14ac:dyDescent="0.2">
      <c r="B113" s="11" t="s">
        <v>421</v>
      </c>
      <c r="C113" s="11"/>
      <c r="D113" s="107" t="s">
        <v>424</v>
      </c>
      <c r="E113" s="107" t="s">
        <v>425</v>
      </c>
      <c r="F113" s="107"/>
      <c r="G113" s="107"/>
      <c r="H113" s="159">
        <v>-87</v>
      </c>
      <c r="I113" s="107"/>
      <c r="J113" s="155">
        <v>13401</v>
      </c>
      <c r="K113" t="s">
        <v>298</v>
      </c>
    </row>
    <row r="114" spans="2:11" x14ac:dyDescent="0.2">
      <c r="B114" s="11" t="s">
        <v>421</v>
      </c>
      <c r="C114" s="11"/>
      <c r="D114" s="107" t="s">
        <v>426</v>
      </c>
      <c r="E114" s="107" t="s">
        <v>427</v>
      </c>
      <c r="F114" s="107"/>
      <c r="G114" s="107"/>
      <c r="H114" s="159">
        <v>-32</v>
      </c>
      <c r="I114" s="107"/>
      <c r="J114" s="155">
        <v>13401</v>
      </c>
      <c r="K114" t="s">
        <v>298</v>
      </c>
    </row>
    <row r="115" spans="2:11" x14ac:dyDescent="0.2">
      <c r="B115" s="11" t="s">
        <v>430</v>
      </c>
      <c r="C115" s="11"/>
      <c r="D115" s="107" t="s">
        <v>336</v>
      </c>
      <c r="E115" s="107" t="s">
        <v>337</v>
      </c>
      <c r="F115" s="107"/>
      <c r="G115" s="107" t="s">
        <v>478</v>
      </c>
      <c r="H115" s="159">
        <v>-29.6</v>
      </c>
      <c r="I115" s="107"/>
      <c r="J115" s="155"/>
    </row>
    <row r="116" spans="2:11" x14ac:dyDescent="0.2">
      <c r="B116" s="11" t="s">
        <v>430</v>
      </c>
      <c r="C116" s="11"/>
      <c r="D116" s="107" t="s">
        <v>183</v>
      </c>
      <c r="E116" s="107" t="s">
        <v>439</v>
      </c>
      <c r="F116" s="107"/>
      <c r="G116" s="107">
        <v>28412</v>
      </c>
      <c r="H116" s="159">
        <v>-57</v>
      </c>
      <c r="I116" s="107"/>
      <c r="J116" s="155">
        <v>51546295</v>
      </c>
    </row>
    <row r="117" spans="2:11" x14ac:dyDescent="0.2">
      <c r="B117" s="11" t="s">
        <v>450</v>
      </c>
      <c r="C117" s="11"/>
      <c r="D117" s="107" t="s">
        <v>451</v>
      </c>
      <c r="E117" s="107" t="s">
        <v>452</v>
      </c>
      <c r="F117" s="107"/>
      <c r="G117" s="107"/>
      <c r="H117" s="159">
        <v>-50</v>
      </c>
      <c r="I117" s="107"/>
      <c r="J117" s="155">
        <v>13401</v>
      </c>
      <c r="K117" t="s">
        <v>317</v>
      </c>
    </row>
    <row r="118" spans="2:11" x14ac:dyDescent="0.2">
      <c r="B118" s="11" t="s">
        <v>440</v>
      </c>
      <c r="C118" s="11"/>
      <c r="D118" s="107" t="s">
        <v>475</v>
      </c>
      <c r="E118" s="107" t="s">
        <v>476</v>
      </c>
      <c r="F118" s="107"/>
      <c r="G118" s="107"/>
      <c r="H118" s="159">
        <v>-3076.24</v>
      </c>
      <c r="I118" s="107"/>
      <c r="J118" s="155"/>
      <c r="K118" t="s">
        <v>477</v>
      </c>
    </row>
    <row r="119" spans="2:11" x14ac:dyDescent="0.2">
      <c r="B119" s="11" t="s">
        <v>428</v>
      </c>
      <c r="C119" s="11"/>
      <c r="D119" s="107" t="s">
        <v>462</v>
      </c>
      <c r="E119" s="107" t="s">
        <v>429</v>
      </c>
      <c r="F119" s="107"/>
      <c r="G119" s="107"/>
      <c r="H119" s="159">
        <v>-2373.67</v>
      </c>
      <c r="I119" s="107"/>
      <c r="J119" s="155">
        <v>13401</v>
      </c>
      <c r="K119" t="s">
        <v>317</v>
      </c>
    </row>
    <row r="120" spans="2:11" x14ac:dyDescent="0.2">
      <c r="B120" s="11" t="s">
        <v>431</v>
      </c>
      <c r="C120" s="11"/>
      <c r="D120" s="107" t="s">
        <v>432</v>
      </c>
      <c r="E120" s="107" t="s">
        <v>433</v>
      </c>
      <c r="F120" s="107"/>
      <c r="G120" s="107" t="s">
        <v>461</v>
      </c>
      <c r="H120" s="159">
        <v>-4341</v>
      </c>
      <c r="I120" s="107"/>
      <c r="J120" s="155">
        <v>58786911</v>
      </c>
    </row>
    <row r="121" spans="2:11" x14ac:dyDescent="0.2">
      <c r="B121" s="11" t="s">
        <v>428</v>
      </c>
      <c r="C121" s="11"/>
      <c r="D121" s="107" t="s">
        <v>453</v>
      </c>
      <c r="E121" s="107" t="s">
        <v>454</v>
      </c>
      <c r="F121" s="107"/>
      <c r="G121" s="107"/>
      <c r="H121" s="159">
        <v>-308.13</v>
      </c>
      <c r="I121" s="107"/>
      <c r="J121" s="155">
        <v>13401</v>
      </c>
      <c r="K121" t="s">
        <v>317</v>
      </c>
    </row>
    <row r="122" spans="2:11" x14ac:dyDescent="0.2">
      <c r="B122" s="11" t="s">
        <v>428</v>
      </c>
      <c r="C122" s="11"/>
      <c r="D122" s="107" t="s">
        <v>432</v>
      </c>
      <c r="E122" s="107" t="s">
        <v>463</v>
      </c>
      <c r="F122" s="107"/>
      <c r="G122" s="107" t="s">
        <v>471</v>
      </c>
      <c r="H122" s="159">
        <v>-4455</v>
      </c>
      <c r="I122" s="107"/>
      <c r="J122" s="155">
        <v>58786911</v>
      </c>
    </row>
    <row r="123" spans="2:11" x14ac:dyDescent="0.2">
      <c r="B123" s="11" t="s">
        <v>428</v>
      </c>
      <c r="C123" s="11"/>
      <c r="D123" s="107" t="s">
        <v>432</v>
      </c>
      <c r="E123" s="107" t="s">
        <v>463</v>
      </c>
      <c r="F123" s="107"/>
      <c r="G123" s="107" t="s">
        <v>489</v>
      </c>
      <c r="H123" s="235">
        <v>-3400</v>
      </c>
      <c r="I123" s="107"/>
      <c r="J123" s="155">
        <v>51546295</v>
      </c>
    </row>
    <row r="124" spans="2:11" x14ac:dyDescent="0.2">
      <c r="B124" s="11" t="s">
        <v>428</v>
      </c>
      <c r="C124" s="11"/>
      <c r="D124" s="107" t="s">
        <v>432</v>
      </c>
      <c r="E124" s="107" t="s">
        <v>463</v>
      </c>
      <c r="F124" s="107"/>
      <c r="G124" s="107" t="s">
        <v>503</v>
      </c>
      <c r="H124" s="235">
        <f>-8445+3400+2</f>
        <v>-5043</v>
      </c>
      <c r="I124" s="107"/>
      <c r="J124" s="155">
        <v>51546295</v>
      </c>
    </row>
    <row r="125" spans="2:11" x14ac:dyDescent="0.2">
      <c r="B125" s="11" t="s">
        <v>435</v>
      </c>
      <c r="C125" s="11"/>
      <c r="D125" s="107" t="s">
        <v>213</v>
      </c>
      <c r="E125" s="107" t="s">
        <v>333</v>
      </c>
      <c r="F125" s="107"/>
      <c r="G125" s="107" t="s">
        <v>498</v>
      </c>
      <c r="H125" s="159">
        <v>-339.53</v>
      </c>
      <c r="I125" s="107"/>
      <c r="J125" s="155">
        <v>51546295</v>
      </c>
    </row>
    <row r="126" spans="2:11" x14ac:dyDescent="0.2">
      <c r="B126" s="11" t="s">
        <v>435</v>
      </c>
      <c r="C126" s="11"/>
      <c r="D126" s="107" t="s">
        <v>436</v>
      </c>
      <c r="E126" s="107" t="s">
        <v>437</v>
      </c>
      <c r="F126" s="107"/>
      <c r="G126" s="107"/>
      <c r="H126" s="159">
        <v>-936</v>
      </c>
      <c r="I126" s="107"/>
      <c r="J126" s="155">
        <v>58786911</v>
      </c>
      <c r="K126" t="s">
        <v>438</v>
      </c>
    </row>
    <row r="127" spans="2:11" x14ac:dyDescent="0.2">
      <c r="B127" s="11" t="s">
        <v>435</v>
      </c>
      <c r="C127" s="11"/>
      <c r="D127" s="107" t="s">
        <v>336</v>
      </c>
      <c r="E127" s="107" t="s">
        <v>337</v>
      </c>
      <c r="F127" s="107"/>
      <c r="G127" s="107" t="s">
        <v>478</v>
      </c>
      <c r="H127" s="129">
        <v>-29.7</v>
      </c>
      <c r="I127" s="107"/>
      <c r="J127" s="155">
        <v>51546295</v>
      </c>
    </row>
    <row r="128" spans="2:11" x14ac:dyDescent="0.2">
      <c r="B128" s="11" t="s">
        <v>458</v>
      </c>
      <c r="C128" s="11"/>
      <c r="D128" s="107" t="s">
        <v>459</v>
      </c>
      <c r="E128" s="107" t="s">
        <v>460</v>
      </c>
      <c r="F128" s="107"/>
      <c r="G128" s="107"/>
      <c r="H128" s="159">
        <v>-292</v>
      </c>
      <c r="I128" s="107"/>
      <c r="J128" s="155">
        <v>5011634</v>
      </c>
      <c r="K128" t="s">
        <v>470</v>
      </c>
    </row>
    <row r="129" spans="2:14" x14ac:dyDescent="0.2">
      <c r="B129" s="11" t="s">
        <v>441</v>
      </c>
      <c r="C129" s="11"/>
      <c r="D129" s="107"/>
      <c r="E129" s="107" t="s">
        <v>442</v>
      </c>
      <c r="F129" s="107"/>
      <c r="G129" s="107"/>
      <c r="H129" s="159">
        <v>-107</v>
      </c>
      <c r="I129" s="107"/>
      <c r="J129" s="155">
        <v>13401</v>
      </c>
      <c r="K129" t="s">
        <v>298</v>
      </c>
    </row>
    <row r="130" spans="2:14" x14ac:dyDescent="0.2">
      <c r="B130" s="11" t="s">
        <v>441</v>
      </c>
      <c r="C130" s="11"/>
      <c r="D130" s="107"/>
      <c r="E130" s="107" t="s">
        <v>443</v>
      </c>
      <c r="F130" s="107"/>
      <c r="G130" s="107"/>
      <c r="H130" s="159">
        <v>-223.68</v>
      </c>
      <c r="I130" s="107"/>
      <c r="J130" s="155">
        <v>13401</v>
      </c>
      <c r="K130" t="s">
        <v>298</v>
      </c>
    </row>
    <row r="131" spans="2:14" x14ac:dyDescent="0.2">
      <c r="B131" s="11" t="s">
        <v>444</v>
      </c>
      <c r="C131" s="11"/>
      <c r="D131" s="107"/>
      <c r="E131" s="107" t="s">
        <v>445</v>
      </c>
      <c r="F131" s="107"/>
      <c r="G131" s="107"/>
      <c r="H131" s="159">
        <v>-55.92</v>
      </c>
      <c r="I131" s="107"/>
      <c r="J131" s="155">
        <v>13401</v>
      </c>
      <c r="K131" t="s">
        <v>298</v>
      </c>
    </row>
    <row r="132" spans="2:14" x14ac:dyDescent="0.2">
      <c r="B132" s="11" t="s">
        <v>444</v>
      </c>
      <c r="C132" s="11"/>
      <c r="D132" s="107"/>
      <c r="E132" s="107" t="s">
        <v>455</v>
      </c>
      <c r="F132" s="107"/>
      <c r="G132" s="107"/>
      <c r="H132" s="159">
        <v>-1341.19</v>
      </c>
      <c r="I132" s="107"/>
      <c r="J132" s="155">
        <v>13401</v>
      </c>
    </row>
    <row r="133" spans="2:14" x14ac:dyDescent="0.2">
      <c r="B133" s="11" t="s">
        <v>464</v>
      </c>
      <c r="C133" s="11" t="s">
        <v>389</v>
      </c>
      <c r="D133" s="107"/>
      <c r="E133" s="107" t="s">
        <v>466</v>
      </c>
      <c r="F133" s="107"/>
      <c r="G133" s="107"/>
      <c r="H133" s="159"/>
      <c r="I133" s="107"/>
      <c r="J133" s="155"/>
      <c r="N133" s="159">
        <f>-1628.63-2418.75</f>
        <v>-4047.38</v>
      </c>
    </row>
    <row r="134" spans="2:14" x14ac:dyDescent="0.2">
      <c r="B134" s="11" t="s">
        <v>464</v>
      </c>
      <c r="C134" s="11" t="s">
        <v>389</v>
      </c>
      <c r="D134" s="107"/>
      <c r="E134" s="107" t="s">
        <v>465</v>
      </c>
      <c r="F134" s="107"/>
      <c r="G134" s="107"/>
      <c r="H134" s="159"/>
      <c r="I134" s="107"/>
      <c r="J134" s="155"/>
      <c r="N134" s="159">
        <v>-6555</v>
      </c>
    </row>
    <row r="135" spans="2:14" x14ac:dyDescent="0.2">
      <c r="B135" s="11" t="s">
        <v>464</v>
      </c>
      <c r="C135" s="11" t="s">
        <v>389</v>
      </c>
      <c r="D135" s="107"/>
      <c r="E135" s="107" t="s">
        <v>467</v>
      </c>
      <c r="F135" s="107"/>
      <c r="G135" s="107"/>
      <c r="H135" s="159"/>
      <c r="I135" s="107"/>
      <c r="J135" s="155"/>
      <c r="N135" s="159">
        <v>-9915.2800000000007</v>
      </c>
    </row>
    <row r="136" spans="2:14" x14ac:dyDescent="0.2">
      <c r="B136" s="11" t="s">
        <v>464</v>
      </c>
      <c r="C136" s="11" t="s">
        <v>389</v>
      </c>
      <c r="D136" s="107"/>
      <c r="E136" s="107" t="s">
        <v>468</v>
      </c>
      <c r="F136" s="107"/>
      <c r="G136" s="107"/>
      <c r="H136" s="159"/>
      <c r="I136" s="107"/>
      <c r="J136" s="155"/>
      <c r="N136" s="159">
        <v>-2608.6799999999998</v>
      </c>
    </row>
    <row r="137" spans="2:14" x14ac:dyDescent="0.2">
      <c r="B137" s="11" t="s">
        <v>464</v>
      </c>
      <c r="C137" s="11" t="s">
        <v>389</v>
      </c>
      <c r="D137" s="107"/>
      <c r="E137" s="107" t="s">
        <v>469</v>
      </c>
      <c r="F137" s="107"/>
      <c r="G137" s="107"/>
      <c r="H137" s="159"/>
      <c r="I137" s="107"/>
      <c r="J137" s="155"/>
      <c r="N137" s="159">
        <v>-4037.46</v>
      </c>
    </row>
    <row r="138" spans="2:14" x14ac:dyDescent="0.2">
      <c r="B138" s="11" t="s">
        <v>473</v>
      </c>
      <c r="C138" s="11"/>
      <c r="D138" s="107" t="s">
        <v>29</v>
      </c>
      <c r="E138" s="107" t="s">
        <v>474</v>
      </c>
      <c r="F138" s="107"/>
      <c r="G138" s="107" t="s">
        <v>524</v>
      </c>
      <c r="H138" s="235">
        <v>-936</v>
      </c>
      <c r="I138" s="107"/>
      <c r="J138" s="155">
        <v>51546295</v>
      </c>
    </row>
    <row r="139" spans="2:14" x14ac:dyDescent="0.2">
      <c r="B139" s="11" t="s">
        <v>480</v>
      </c>
      <c r="C139" s="11"/>
      <c r="D139" s="107" t="s">
        <v>23</v>
      </c>
      <c r="E139" s="107" t="s">
        <v>481</v>
      </c>
      <c r="F139" s="107"/>
      <c r="G139" s="107">
        <v>690906</v>
      </c>
      <c r="H139" s="235">
        <v>-9445</v>
      </c>
      <c r="I139" s="107"/>
      <c r="J139" s="155">
        <v>51546295</v>
      </c>
      <c r="K139" t="s">
        <v>482</v>
      </c>
    </row>
    <row r="140" spans="2:14" x14ac:dyDescent="0.2">
      <c r="B140" s="11"/>
      <c r="C140" s="11"/>
      <c r="D140" s="107"/>
      <c r="E140" s="107"/>
      <c r="F140" s="107"/>
      <c r="G140" s="107"/>
      <c r="H140" s="129">
        <f>-9956+9445</f>
        <v>-511</v>
      </c>
      <c r="I140" s="107"/>
      <c r="J140" s="155"/>
      <c r="K140" t="s">
        <v>544</v>
      </c>
    </row>
    <row r="141" spans="2:14" x14ac:dyDescent="0.2">
      <c r="B141" s="11" t="s">
        <v>484</v>
      </c>
      <c r="C141" s="11"/>
      <c r="D141" s="107" t="s">
        <v>486</v>
      </c>
      <c r="E141" s="107" t="s">
        <v>485</v>
      </c>
      <c r="F141" s="107"/>
      <c r="G141" s="107"/>
      <c r="H141" s="156">
        <v>-6000</v>
      </c>
      <c r="I141" s="107"/>
      <c r="J141" s="155"/>
    </row>
    <row r="142" spans="2:14" x14ac:dyDescent="0.2">
      <c r="B142" s="11" t="s">
        <v>484</v>
      </c>
      <c r="C142" s="11"/>
      <c r="D142" s="107" t="s">
        <v>281</v>
      </c>
      <c r="E142" s="107" t="s">
        <v>282</v>
      </c>
      <c r="F142" s="107"/>
      <c r="G142" s="107">
        <v>41246387</v>
      </c>
      <c r="H142" s="235">
        <v>-58</v>
      </c>
      <c r="I142" s="107"/>
      <c r="J142" s="155">
        <v>17053</v>
      </c>
    </row>
    <row r="143" spans="2:14" x14ac:dyDescent="0.2">
      <c r="B143" s="11" t="s">
        <v>507</v>
      </c>
      <c r="C143" s="11"/>
      <c r="D143" s="107" t="s">
        <v>244</v>
      </c>
      <c r="E143" s="107" t="s">
        <v>508</v>
      </c>
      <c r="F143" s="107"/>
      <c r="G143" s="107" t="s">
        <v>509</v>
      </c>
      <c r="H143" s="235">
        <v>-127.64</v>
      </c>
      <c r="I143" s="107"/>
      <c r="J143" s="155">
        <v>17053</v>
      </c>
      <c r="K143" t="s">
        <v>317</v>
      </c>
    </row>
    <row r="144" spans="2:14" x14ac:dyDescent="0.2">
      <c r="B144" s="11" t="s">
        <v>490</v>
      </c>
      <c r="C144" s="11"/>
      <c r="D144" s="107" t="s">
        <v>426</v>
      </c>
      <c r="E144" s="107" t="s">
        <v>491</v>
      </c>
      <c r="F144" s="107"/>
      <c r="G144" s="107" t="s">
        <v>492</v>
      </c>
      <c r="H144" s="235">
        <v>-30</v>
      </c>
      <c r="I144" s="107"/>
      <c r="J144" s="10">
        <v>17053</v>
      </c>
      <c r="K144" t="s">
        <v>298</v>
      </c>
    </row>
    <row r="145" spans="2:14" x14ac:dyDescent="0.2">
      <c r="B145" s="11" t="s">
        <v>487</v>
      </c>
      <c r="C145" s="11"/>
      <c r="D145" s="107" t="s">
        <v>512</v>
      </c>
      <c r="E145" s="107" t="s">
        <v>513</v>
      </c>
      <c r="F145" s="107"/>
      <c r="G145" s="107">
        <v>20204765</v>
      </c>
      <c r="H145" s="235">
        <v>-68.7</v>
      </c>
      <c r="I145" s="107"/>
      <c r="J145" s="10">
        <v>17053</v>
      </c>
      <c r="K145" t="s">
        <v>317</v>
      </c>
    </row>
    <row r="146" spans="2:14" x14ac:dyDescent="0.2">
      <c r="B146" s="11" t="s">
        <v>487</v>
      </c>
      <c r="C146" s="11"/>
      <c r="D146" s="107" t="s">
        <v>244</v>
      </c>
      <c r="E146" s="107" t="s">
        <v>510</v>
      </c>
      <c r="F146" s="107"/>
      <c r="G146" s="107" t="s">
        <v>511</v>
      </c>
      <c r="H146" s="235">
        <v>-318.64</v>
      </c>
      <c r="I146" s="107"/>
      <c r="J146" s="10">
        <v>17053</v>
      </c>
      <c r="K146" t="s">
        <v>317</v>
      </c>
    </row>
    <row r="147" spans="2:14" x14ac:dyDescent="0.2">
      <c r="B147" s="11" t="s">
        <v>487</v>
      </c>
      <c r="C147" s="11"/>
      <c r="D147" s="107" t="s">
        <v>183</v>
      </c>
      <c r="E147" s="107" t="s">
        <v>488</v>
      </c>
      <c r="F147" s="107"/>
      <c r="G147" s="107">
        <v>29014</v>
      </c>
      <c r="H147" s="129">
        <f>-72-300-59-109-77.5-728.2-395</f>
        <v>-1740.7</v>
      </c>
      <c r="I147" s="107"/>
      <c r="J147" s="10"/>
    </row>
    <row r="148" spans="2:14" x14ac:dyDescent="0.2">
      <c r="B148" s="11" t="s">
        <v>514</v>
      </c>
      <c r="C148" s="11"/>
      <c r="D148" s="107" t="s">
        <v>253</v>
      </c>
      <c r="E148" s="107" t="s">
        <v>515</v>
      </c>
      <c r="F148" s="107"/>
      <c r="G148" s="107" t="s">
        <v>516</v>
      </c>
      <c r="H148" s="235">
        <v>-46.8</v>
      </c>
      <c r="I148" s="107"/>
      <c r="J148" s="10">
        <v>17053</v>
      </c>
      <c r="K148" t="s">
        <v>317</v>
      </c>
    </row>
    <row r="149" spans="2:14" x14ac:dyDescent="0.2">
      <c r="B149" s="11" t="s">
        <v>494</v>
      </c>
      <c r="C149" s="11"/>
      <c r="D149" s="107" t="s">
        <v>495</v>
      </c>
      <c r="E149" s="107" t="s">
        <v>496</v>
      </c>
      <c r="F149" s="107"/>
      <c r="G149" s="107" t="s">
        <v>500</v>
      </c>
      <c r="H149" s="235">
        <v>-2640</v>
      </c>
      <c r="I149" s="107"/>
      <c r="J149" s="10">
        <v>51546295</v>
      </c>
    </row>
    <row r="150" spans="2:14" x14ac:dyDescent="0.2">
      <c r="B150" s="11" t="s">
        <v>517</v>
      </c>
      <c r="C150" s="11"/>
      <c r="D150" s="107" t="s">
        <v>364</v>
      </c>
      <c r="E150" s="107" t="s">
        <v>259</v>
      </c>
      <c r="F150" s="107"/>
      <c r="G150" s="107">
        <v>1212471</v>
      </c>
      <c r="H150" s="235">
        <v>-333.45</v>
      </c>
      <c r="I150" s="107"/>
      <c r="J150" s="10">
        <v>17053</v>
      </c>
      <c r="K150" t="s">
        <v>317</v>
      </c>
    </row>
    <row r="151" spans="2:14" x14ac:dyDescent="0.2">
      <c r="B151" s="11" t="s">
        <v>501</v>
      </c>
      <c r="C151" s="11"/>
      <c r="D151" s="107" t="s">
        <v>29</v>
      </c>
      <c r="E151" s="107" t="s">
        <v>502</v>
      </c>
      <c r="F151" s="107"/>
      <c r="G151" s="107" t="s">
        <v>524</v>
      </c>
      <c r="H151" s="129">
        <v>-111.15</v>
      </c>
      <c r="I151" s="107"/>
      <c r="J151" s="10"/>
    </row>
    <row r="152" spans="2:14" x14ac:dyDescent="0.2">
      <c r="B152" s="11" t="s">
        <v>501</v>
      </c>
      <c r="C152" s="11"/>
      <c r="D152" s="107" t="s">
        <v>29</v>
      </c>
      <c r="E152" s="107" t="s">
        <v>502</v>
      </c>
      <c r="F152" s="107"/>
      <c r="G152" s="107" t="s">
        <v>572</v>
      </c>
      <c r="H152" s="235">
        <v>-111.15</v>
      </c>
      <c r="I152" s="107"/>
      <c r="J152" s="10">
        <v>155681</v>
      </c>
    </row>
    <row r="153" spans="2:14" x14ac:dyDescent="0.2">
      <c r="B153" s="11" t="s">
        <v>504</v>
      </c>
      <c r="C153" s="11"/>
      <c r="D153" s="107" t="s">
        <v>183</v>
      </c>
      <c r="E153" s="107" t="s">
        <v>505</v>
      </c>
      <c r="F153" s="107"/>
      <c r="G153" s="107">
        <v>29014</v>
      </c>
      <c r="H153" s="129">
        <v>-610</v>
      </c>
      <c r="I153" s="107"/>
      <c r="J153" s="10">
        <v>71772</v>
      </c>
    </row>
    <row r="154" spans="2:14" x14ac:dyDescent="0.2">
      <c r="B154" s="11" t="s">
        <v>504</v>
      </c>
      <c r="C154" s="11"/>
      <c r="D154" s="107"/>
      <c r="E154" s="107" t="s">
        <v>520</v>
      </c>
      <c r="F154" s="107"/>
      <c r="G154" s="107"/>
      <c r="H154" s="235">
        <v>-126.54</v>
      </c>
      <c r="I154" s="107"/>
      <c r="J154" s="10"/>
    </row>
    <row r="155" spans="2:14" x14ac:dyDescent="0.2">
      <c r="B155" s="11" t="s">
        <v>504</v>
      </c>
      <c r="C155" s="11"/>
      <c r="D155" s="107" t="s">
        <v>518</v>
      </c>
      <c r="E155" s="107" t="s">
        <v>519</v>
      </c>
      <c r="F155" s="107"/>
      <c r="G155" s="107">
        <v>454199</v>
      </c>
      <c r="H155" s="235">
        <v>-684.11</v>
      </c>
      <c r="I155" s="107"/>
      <c r="J155" s="10">
        <v>17053</v>
      </c>
      <c r="K155" t="s">
        <v>317</v>
      </c>
    </row>
    <row r="156" spans="2:14" x14ac:dyDescent="0.2">
      <c r="B156" s="11" t="s">
        <v>545</v>
      </c>
      <c r="C156" s="11"/>
      <c r="D156" s="107" t="s">
        <v>213</v>
      </c>
      <c r="E156" s="107" t="s">
        <v>546</v>
      </c>
      <c r="F156" s="107"/>
      <c r="G156" s="107" t="s">
        <v>547</v>
      </c>
      <c r="H156" s="235">
        <v>-1209.3</v>
      </c>
      <c r="I156" s="107"/>
      <c r="J156" s="10">
        <v>71772</v>
      </c>
    </row>
    <row r="157" spans="2:14" x14ac:dyDescent="0.2">
      <c r="B157" s="11" t="s">
        <v>534</v>
      </c>
      <c r="C157" s="11"/>
      <c r="D157" s="107" t="s">
        <v>336</v>
      </c>
      <c r="E157" s="107" t="s">
        <v>337</v>
      </c>
      <c r="F157" s="107"/>
      <c r="G157" s="107" t="s">
        <v>535</v>
      </c>
      <c r="H157" s="235">
        <v>-14.7</v>
      </c>
      <c r="I157" s="107"/>
      <c r="J157" s="10">
        <v>51546295</v>
      </c>
    </row>
    <row r="158" spans="2:14" x14ac:dyDescent="0.2">
      <c r="B158" s="11" t="s">
        <v>530</v>
      </c>
      <c r="C158" s="11"/>
      <c r="D158" s="107" t="s">
        <v>247</v>
      </c>
      <c r="E158" s="107" t="s">
        <v>531</v>
      </c>
      <c r="F158" s="107"/>
      <c r="G158" s="107">
        <v>47330</v>
      </c>
      <c r="H158" s="235">
        <v>-429</v>
      </c>
      <c r="I158" s="107"/>
      <c r="J158" s="10">
        <v>71772</v>
      </c>
    </row>
    <row r="159" spans="2:14" x14ac:dyDescent="0.2">
      <c r="B159" s="11" t="s">
        <v>521</v>
      </c>
      <c r="C159" s="11"/>
      <c r="D159" s="107" t="s">
        <v>522</v>
      </c>
      <c r="E159" s="107"/>
      <c r="F159" s="107"/>
      <c r="G159" s="107" t="s">
        <v>523</v>
      </c>
      <c r="H159" s="235">
        <v>-430.58</v>
      </c>
      <c r="I159" s="107"/>
      <c r="J159" s="10">
        <v>17053</v>
      </c>
      <c r="K159" t="s">
        <v>298</v>
      </c>
    </row>
    <row r="160" spans="2:14" x14ac:dyDescent="0.2">
      <c r="B160" s="11" t="s">
        <v>525</v>
      </c>
      <c r="C160" s="11" t="s">
        <v>389</v>
      </c>
      <c r="D160" s="107"/>
      <c r="E160" s="107" t="s">
        <v>526</v>
      </c>
      <c r="F160" s="107"/>
      <c r="G160" s="107"/>
      <c r="H160" s="235"/>
      <c r="I160" s="107"/>
      <c r="J160" s="10"/>
      <c r="N160" s="235">
        <v>-2788.75</v>
      </c>
    </row>
    <row r="161" spans="2:14" x14ac:dyDescent="0.2">
      <c r="B161" s="11" t="s">
        <v>525</v>
      </c>
      <c r="C161" s="11" t="s">
        <v>389</v>
      </c>
      <c r="D161" s="107"/>
      <c r="E161" s="107" t="s">
        <v>527</v>
      </c>
      <c r="F161" s="107"/>
      <c r="G161" s="107"/>
      <c r="H161" s="235"/>
      <c r="I161" s="107"/>
      <c r="J161" s="10"/>
      <c r="N161" s="235">
        <v>-10758.05</v>
      </c>
    </row>
    <row r="162" spans="2:14" x14ac:dyDescent="0.2">
      <c r="B162" s="11" t="s">
        <v>525</v>
      </c>
      <c r="C162" s="11" t="s">
        <v>389</v>
      </c>
      <c r="D162" s="107"/>
      <c r="E162" s="107" t="s">
        <v>528</v>
      </c>
      <c r="F162" s="107"/>
      <c r="G162" s="107"/>
      <c r="H162" s="235"/>
      <c r="I162" s="107"/>
      <c r="J162" s="10"/>
      <c r="N162" s="235">
        <v>-2458.11</v>
      </c>
    </row>
    <row r="163" spans="2:14" x14ac:dyDescent="0.2">
      <c r="B163" s="11" t="s">
        <v>525</v>
      </c>
      <c r="C163" s="11" t="s">
        <v>389</v>
      </c>
      <c r="D163" s="107"/>
      <c r="E163" s="107" t="s">
        <v>529</v>
      </c>
      <c r="F163" s="107"/>
      <c r="G163" s="107"/>
      <c r="H163" s="235"/>
      <c r="I163" s="107"/>
      <c r="J163" s="10"/>
      <c r="N163" s="235">
        <v>-1081.52</v>
      </c>
    </row>
    <row r="164" spans="2:14" x14ac:dyDescent="0.2">
      <c r="B164" s="11" t="s">
        <v>525</v>
      </c>
      <c r="C164" s="11"/>
      <c r="D164" s="107" t="s">
        <v>605</v>
      </c>
      <c r="E164" s="107" t="s">
        <v>606</v>
      </c>
      <c r="F164" s="107"/>
      <c r="G164" s="107">
        <v>1002067806</v>
      </c>
      <c r="H164" s="235">
        <v>-38.4</v>
      </c>
      <c r="I164" s="107"/>
      <c r="J164" s="10">
        <v>71768</v>
      </c>
      <c r="K164" t="s">
        <v>543</v>
      </c>
    </row>
    <row r="165" spans="2:14" x14ac:dyDescent="0.2">
      <c r="B165" s="11" t="s">
        <v>525</v>
      </c>
      <c r="C165" s="11"/>
      <c r="D165" s="107" t="s">
        <v>29</v>
      </c>
      <c r="E165" s="107" t="s">
        <v>532</v>
      </c>
      <c r="F165" s="107"/>
      <c r="G165" s="107" t="s">
        <v>571</v>
      </c>
      <c r="H165" s="235">
        <v>-76.05</v>
      </c>
      <c r="I165" s="107"/>
      <c r="J165" s="10">
        <v>155681</v>
      </c>
    </row>
    <row r="166" spans="2:14" x14ac:dyDescent="0.2">
      <c r="B166" s="11" t="s">
        <v>539</v>
      </c>
      <c r="C166" s="11"/>
      <c r="D166" s="107" t="s">
        <v>232</v>
      </c>
      <c r="E166" s="107" t="s">
        <v>607</v>
      </c>
      <c r="F166" s="107"/>
      <c r="G166" s="107">
        <v>20873</v>
      </c>
      <c r="H166" s="235">
        <v>-50</v>
      </c>
      <c r="I166" s="107"/>
      <c r="J166" s="10">
        <v>71768</v>
      </c>
      <c r="K166" t="s">
        <v>543</v>
      </c>
    </row>
    <row r="167" spans="2:14" x14ac:dyDescent="0.2">
      <c r="B167" s="11" t="s">
        <v>539</v>
      </c>
      <c r="C167" s="11"/>
      <c r="D167" s="107" t="s">
        <v>183</v>
      </c>
      <c r="E167" s="107" t="s">
        <v>297</v>
      </c>
      <c r="F167" s="107"/>
      <c r="G167" s="107">
        <v>29982</v>
      </c>
      <c r="H167" s="235">
        <v>-19.100000000000001</v>
      </c>
      <c r="I167" s="107"/>
      <c r="J167" s="10">
        <v>155681</v>
      </c>
    </row>
    <row r="168" spans="2:14" x14ac:dyDescent="0.2">
      <c r="B168" s="11" t="s">
        <v>533</v>
      </c>
      <c r="C168" s="11"/>
      <c r="D168" s="107" t="s">
        <v>336</v>
      </c>
      <c r="E168" s="107" t="s">
        <v>372</v>
      </c>
      <c r="F168" s="107"/>
      <c r="G168" s="107"/>
      <c r="H168" s="235">
        <v>-137.74</v>
      </c>
      <c r="I168" s="107"/>
      <c r="J168" s="10">
        <v>95047</v>
      </c>
    </row>
    <row r="169" spans="2:14" x14ac:dyDescent="0.2">
      <c r="B169" s="11" t="s">
        <v>533</v>
      </c>
      <c r="C169" s="11"/>
      <c r="D169" s="107" t="s">
        <v>183</v>
      </c>
      <c r="E169" s="107" t="s">
        <v>297</v>
      </c>
      <c r="F169" s="107"/>
      <c r="G169" s="107">
        <v>29982</v>
      </c>
      <c r="H169" s="235">
        <v>-247</v>
      </c>
      <c r="I169" s="107"/>
      <c r="J169" s="10">
        <v>155681</v>
      </c>
    </row>
    <row r="170" spans="2:14" x14ac:dyDescent="0.2">
      <c r="B170" s="11" t="s">
        <v>536</v>
      </c>
      <c r="C170" s="11"/>
      <c r="D170" s="107" t="s">
        <v>538</v>
      </c>
      <c r="E170" s="107" t="s">
        <v>565</v>
      </c>
      <c r="F170" s="107"/>
      <c r="G170" s="107">
        <v>1728</v>
      </c>
      <c r="H170" s="235">
        <v>-450</v>
      </c>
      <c r="I170" s="107"/>
      <c r="J170" s="10">
        <v>155681</v>
      </c>
    </row>
    <row r="171" spans="2:14" x14ac:dyDescent="0.2">
      <c r="B171" s="11" t="s">
        <v>537</v>
      </c>
      <c r="C171" s="11"/>
      <c r="D171" s="107" t="s">
        <v>183</v>
      </c>
      <c r="E171" s="107" t="s">
        <v>297</v>
      </c>
      <c r="F171" s="107"/>
      <c r="G171" s="107">
        <v>29982</v>
      </c>
      <c r="H171" s="235">
        <v>-32</v>
      </c>
      <c r="I171" s="107"/>
      <c r="J171" s="10">
        <v>155681</v>
      </c>
    </row>
    <row r="172" spans="2:14" x14ac:dyDescent="0.2">
      <c r="B172" s="11" t="s">
        <v>540</v>
      </c>
      <c r="C172" s="11"/>
      <c r="D172" s="107" t="s">
        <v>541</v>
      </c>
      <c r="E172" s="107" t="s">
        <v>542</v>
      </c>
      <c r="F172" s="107"/>
      <c r="G172" s="107" t="s">
        <v>614</v>
      </c>
      <c r="H172" s="235">
        <v>-250</v>
      </c>
      <c r="I172" s="107"/>
      <c r="J172" s="10">
        <v>71768</v>
      </c>
      <c r="K172" t="s">
        <v>543</v>
      </c>
    </row>
    <row r="173" spans="2:14" x14ac:dyDescent="0.2">
      <c r="B173" s="11" t="s">
        <v>548</v>
      </c>
      <c r="C173" s="11"/>
      <c r="D173" s="107" t="s">
        <v>608</v>
      </c>
      <c r="E173" s="107" t="s">
        <v>609</v>
      </c>
      <c r="F173" s="107"/>
      <c r="G173" s="107">
        <v>2002549</v>
      </c>
      <c r="H173" s="235">
        <v>-50</v>
      </c>
      <c r="I173" s="107"/>
      <c r="J173" s="10">
        <v>71768</v>
      </c>
      <c r="K173" t="s">
        <v>543</v>
      </c>
    </row>
    <row r="174" spans="2:14" x14ac:dyDescent="0.2">
      <c r="B174" s="11" t="s">
        <v>548</v>
      </c>
      <c r="C174" s="11"/>
      <c r="D174" s="107" t="s">
        <v>253</v>
      </c>
      <c r="E174" s="107" t="s">
        <v>610</v>
      </c>
      <c r="F174" s="107"/>
      <c r="G174" s="107" t="s">
        <v>611</v>
      </c>
      <c r="H174" s="235">
        <v>-93.6</v>
      </c>
      <c r="I174" s="107"/>
      <c r="J174" s="10">
        <v>71768</v>
      </c>
      <c r="K174" t="s">
        <v>543</v>
      </c>
    </row>
    <row r="175" spans="2:14" x14ac:dyDescent="0.2">
      <c r="B175" s="11" t="s">
        <v>548</v>
      </c>
      <c r="C175" s="11"/>
      <c r="D175" s="107" t="s">
        <v>29</v>
      </c>
      <c r="E175" s="107" t="s">
        <v>549</v>
      </c>
      <c r="F175" s="107"/>
      <c r="G175" s="107" t="s">
        <v>667</v>
      </c>
      <c r="H175" s="235">
        <v>-936</v>
      </c>
      <c r="I175" s="107"/>
      <c r="J175" s="10">
        <v>95047</v>
      </c>
    </row>
    <row r="176" spans="2:14" x14ac:dyDescent="0.2">
      <c r="B176" s="11" t="s">
        <v>612</v>
      </c>
      <c r="C176" s="11"/>
      <c r="D176" s="107" t="s">
        <v>281</v>
      </c>
      <c r="E176" s="107" t="s">
        <v>613</v>
      </c>
      <c r="F176" s="107"/>
      <c r="G176" s="107">
        <v>41575714</v>
      </c>
      <c r="H176" s="235">
        <v>-58</v>
      </c>
      <c r="I176" s="107"/>
      <c r="J176" s="10">
        <v>71768</v>
      </c>
      <c r="K176" t="s">
        <v>543</v>
      </c>
    </row>
    <row r="177" spans="2:11" x14ac:dyDescent="0.2">
      <c r="B177" s="11" t="s">
        <v>552</v>
      </c>
      <c r="C177" s="11"/>
      <c r="D177" s="107" t="s">
        <v>183</v>
      </c>
      <c r="E177" s="107" t="s">
        <v>553</v>
      </c>
      <c r="F177" s="107"/>
      <c r="G177" s="107">
        <v>29982</v>
      </c>
      <c r="H177" s="235">
        <v>-88</v>
      </c>
      <c r="I177" s="107"/>
      <c r="J177" s="10">
        <v>155681</v>
      </c>
    </row>
    <row r="178" spans="2:11" x14ac:dyDescent="0.2">
      <c r="B178" s="11" t="s">
        <v>557</v>
      </c>
      <c r="C178" s="11"/>
      <c r="D178" s="107" t="s">
        <v>495</v>
      </c>
      <c r="E178" s="107" t="s">
        <v>558</v>
      </c>
      <c r="F178" s="107"/>
      <c r="G178" s="107" t="s">
        <v>559</v>
      </c>
      <c r="H178" s="235">
        <v>-50</v>
      </c>
      <c r="I178" s="107"/>
      <c r="J178" s="10">
        <v>155681</v>
      </c>
    </row>
    <row r="179" spans="2:11" x14ac:dyDescent="0.2">
      <c r="B179" s="11" t="s">
        <v>554</v>
      </c>
      <c r="C179" s="11"/>
      <c r="D179" s="107" t="s">
        <v>183</v>
      </c>
      <c r="E179" s="107" t="s">
        <v>642</v>
      </c>
      <c r="F179" s="107"/>
      <c r="G179" s="107">
        <v>29982</v>
      </c>
      <c r="H179" s="235">
        <v>-35</v>
      </c>
      <c r="I179" s="107"/>
      <c r="J179" s="10">
        <v>155681</v>
      </c>
    </row>
    <row r="180" spans="2:11" x14ac:dyDescent="0.2">
      <c r="B180" s="11" t="s">
        <v>560</v>
      </c>
      <c r="C180" s="11"/>
      <c r="D180" s="107" t="s">
        <v>336</v>
      </c>
      <c r="E180" s="107" t="s">
        <v>337</v>
      </c>
      <c r="F180" s="107"/>
      <c r="G180" s="107"/>
      <c r="H180" s="235">
        <v>-47.3</v>
      </c>
      <c r="I180" s="107"/>
      <c r="J180" s="10">
        <v>95047</v>
      </c>
    </row>
    <row r="181" spans="2:11" x14ac:dyDescent="0.2">
      <c r="B181" s="11" t="s">
        <v>563</v>
      </c>
      <c r="C181" s="11"/>
      <c r="D181" s="107" t="s">
        <v>364</v>
      </c>
      <c r="E181" s="107" t="s">
        <v>564</v>
      </c>
      <c r="F181" s="107"/>
      <c r="G181" s="107"/>
      <c r="H181" s="235">
        <v>-3000</v>
      </c>
      <c r="I181" s="107"/>
      <c r="J181" s="10">
        <v>95047</v>
      </c>
    </row>
    <row r="182" spans="2:11" x14ac:dyDescent="0.2">
      <c r="B182" s="11" t="s">
        <v>562</v>
      </c>
      <c r="C182" s="11"/>
      <c r="D182" s="107" t="s">
        <v>183</v>
      </c>
      <c r="E182" s="107" t="s">
        <v>546</v>
      </c>
      <c r="F182" s="107"/>
      <c r="G182" s="107">
        <v>30215</v>
      </c>
      <c r="H182" s="235">
        <v>-269</v>
      </c>
      <c r="I182" s="107"/>
      <c r="J182" s="10">
        <v>95047</v>
      </c>
    </row>
    <row r="183" spans="2:11" x14ac:dyDescent="0.2">
      <c r="B183" s="11" t="s">
        <v>562</v>
      </c>
      <c r="C183" s="11" t="s">
        <v>389</v>
      </c>
      <c r="D183" s="107"/>
      <c r="E183" s="107" t="s">
        <v>566</v>
      </c>
      <c r="F183" s="107"/>
      <c r="G183" s="107"/>
      <c r="H183" s="235">
        <v>-1951.13</v>
      </c>
      <c r="I183" s="107"/>
      <c r="J183" s="10"/>
    </row>
    <row r="184" spans="2:11" x14ac:dyDescent="0.2">
      <c r="B184" s="11" t="s">
        <v>562</v>
      </c>
      <c r="C184" s="11" t="s">
        <v>389</v>
      </c>
      <c r="D184" s="107"/>
      <c r="E184" s="107" t="s">
        <v>567</v>
      </c>
      <c r="F184" s="107"/>
      <c r="G184" s="107"/>
      <c r="H184" s="235">
        <v>-9524.58</v>
      </c>
      <c r="I184" s="107"/>
      <c r="J184" s="10"/>
    </row>
    <row r="185" spans="2:11" x14ac:dyDescent="0.2">
      <c r="B185" s="11" t="s">
        <v>562</v>
      </c>
      <c r="C185" s="11" t="s">
        <v>389</v>
      </c>
      <c r="D185" s="107"/>
      <c r="E185" s="107" t="s">
        <v>568</v>
      </c>
      <c r="F185" s="107"/>
      <c r="G185" s="107"/>
      <c r="H185" s="235">
        <v>-5399.76</v>
      </c>
      <c r="I185" s="107"/>
      <c r="J185" s="10"/>
    </row>
    <row r="186" spans="2:11" x14ac:dyDescent="0.2">
      <c r="B186" s="11" t="s">
        <v>593</v>
      </c>
      <c r="C186" s="11"/>
      <c r="D186" s="107" t="s">
        <v>594</v>
      </c>
      <c r="E186" s="107" t="s">
        <v>595</v>
      </c>
      <c r="F186" s="107"/>
      <c r="G186" s="107">
        <v>12421</v>
      </c>
      <c r="H186" s="129">
        <v>-3217.5</v>
      </c>
      <c r="I186" s="107"/>
      <c r="J186" s="10">
        <v>155681</v>
      </c>
    </row>
    <row r="187" spans="2:11" x14ac:dyDescent="0.2">
      <c r="B187" s="11" t="s">
        <v>598</v>
      </c>
      <c r="C187" s="11"/>
      <c r="D187" s="107" t="s">
        <v>281</v>
      </c>
      <c r="E187" s="107" t="s">
        <v>282</v>
      </c>
      <c r="F187" s="107"/>
      <c r="G187" s="107">
        <v>42142414</v>
      </c>
      <c r="H187" s="235">
        <v>-58</v>
      </c>
      <c r="I187" s="107"/>
      <c r="J187" s="10">
        <v>155638</v>
      </c>
      <c r="K187" t="s">
        <v>543</v>
      </c>
    </row>
    <row r="188" spans="2:11" x14ac:dyDescent="0.2">
      <c r="B188" s="11" t="s">
        <v>601</v>
      </c>
      <c r="C188" s="11"/>
      <c r="D188" s="107" t="s">
        <v>602</v>
      </c>
      <c r="E188" s="107" t="s">
        <v>414</v>
      </c>
      <c r="F188" s="107"/>
      <c r="G188" s="107" t="s">
        <v>603</v>
      </c>
      <c r="H188" s="235">
        <v>-2358</v>
      </c>
      <c r="I188" s="107"/>
      <c r="J188" s="10">
        <v>155681</v>
      </c>
    </row>
    <row r="189" spans="2:11" x14ac:dyDescent="0.2">
      <c r="B189" s="11" t="s">
        <v>647</v>
      </c>
      <c r="C189" s="11"/>
      <c r="D189" s="107" t="s">
        <v>253</v>
      </c>
      <c r="E189" s="107" t="s">
        <v>648</v>
      </c>
      <c r="F189" s="107"/>
      <c r="G189" s="107" t="s">
        <v>649</v>
      </c>
      <c r="H189" s="235">
        <v>-77.97</v>
      </c>
      <c r="I189" s="107"/>
      <c r="J189" s="10">
        <v>155638</v>
      </c>
      <c r="K189" t="s">
        <v>543</v>
      </c>
    </row>
    <row r="190" spans="2:11" x14ac:dyDescent="0.2">
      <c r="B190" s="11" t="s">
        <v>668</v>
      </c>
      <c r="C190" s="11"/>
      <c r="D190" s="107" t="s">
        <v>213</v>
      </c>
      <c r="E190" s="107" t="s">
        <v>669</v>
      </c>
      <c r="F190" s="107"/>
      <c r="G190" s="107" t="s">
        <v>670</v>
      </c>
      <c r="H190" s="235">
        <v>-18.399999999999999</v>
      </c>
      <c r="I190" s="107"/>
      <c r="J190" s="10">
        <v>95047</v>
      </c>
    </row>
    <row r="206" spans="2:10" x14ac:dyDescent="0.2">
      <c r="B206" s="11"/>
      <c r="C206" s="11"/>
      <c r="D206" s="107"/>
      <c r="E206" s="107"/>
      <c r="F206" s="107"/>
      <c r="G206" s="107"/>
      <c r="H206" s="129"/>
      <c r="I206" s="107"/>
      <c r="J206" s="10"/>
    </row>
    <row r="207" spans="2:10" x14ac:dyDescent="0.2">
      <c r="B207" s="11"/>
      <c r="C207" s="11"/>
      <c r="D207" s="107"/>
      <c r="E207" s="107"/>
      <c r="F207" s="107"/>
      <c r="G207" s="107"/>
      <c r="H207" s="129"/>
      <c r="I207" s="107"/>
      <c r="J207" s="10"/>
    </row>
    <row r="208" spans="2:10" x14ac:dyDescent="0.2">
      <c r="B208" s="11"/>
      <c r="C208" s="11"/>
      <c r="D208" s="107"/>
      <c r="E208" s="119"/>
      <c r="F208" s="107"/>
      <c r="G208" s="107"/>
      <c r="H208" s="129"/>
      <c r="I208" s="107"/>
      <c r="J208" s="10"/>
    </row>
    <row r="209" spans="2:10" x14ac:dyDescent="0.2">
      <c r="B209" s="23"/>
      <c r="C209" s="24"/>
      <c r="D209" s="24"/>
      <c r="E209" s="24"/>
      <c r="F209" s="24"/>
      <c r="G209" s="25"/>
      <c r="H209" s="130">
        <f>SUM(H19:H208)</f>
        <v>-144421.37</v>
      </c>
      <c r="I209" s="25"/>
      <c r="J209" s="24"/>
    </row>
    <row r="210" spans="2:10" x14ac:dyDescent="0.2">
      <c r="B210" s="3"/>
      <c r="H210" s="102"/>
      <c r="I210" s="19"/>
    </row>
    <row r="211" spans="2:10" x14ac:dyDescent="0.2">
      <c r="E211" s="19"/>
      <c r="H211" s="102"/>
      <c r="I211" s="19"/>
    </row>
    <row r="212" spans="2:10" x14ac:dyDescent="0.2">
      <c r="B212" s="21" t="s">
        <v>12</v>
      </c>
      <c r="C212" s="27">
        <f>H15</f>
        <v>186321</v>
      </c>
      <c r="E212" s="19"/>
      <c r="F212" s="19"/>
      <c r="G212" s="19"/>
      <c r="H212" s="113"/>
      <c r="I212" s="19"/>
    </row>
    <row r="213" spans="2:10" x14ac:dyDescent="0.2">
      <c r="B213" s="12" t="s">
        <v>18</v>
      </c>
      <c r="C213" s="27">
        <f>I15</f>
        <v>0</v>
      </c>
      <c r="E213" s="19"/>
      <c r="F213" s="19"/>
      <c r="G213" s="19"/>
      <c r="H213" s="19"/>
      <c r="I213" s="19"/>
    </row>
    <row r="214" spans="2:10" x14ac:dyDescent="0.2">
      <c r="B214" s="28" t="s">
        <v>13</v>
      </c>
      <c r="C214" s="157">
        <f>H209+I209</f>
        <v>-144421.37</v>
      </c>
      <c r="E214" s="29"/>
      <c r="F214" s="19"/>
      <c r="G214" s="19"/>
      <c r="H214" s="19"/>
      <c r="I214" s="19"/>
    </row>
    <row r="215" spans="2:10" ht="15.75" x14ac:dyDescent="0.25">
      <c r="B215" s="30" t="s">
        <v>19</v>
      </c>
      <c r="C215" s="108">
        <f>C212+C213+C214</f>
        <v>41899.630000000005</v>
      </c>
      <c r="E215" s="19"/>
      <c r="F215" s="19"/>
      <c r="G215" s="19"/>
      <c r="H215" s="19"/>
      <c r="I215" s="19"/>
    </row>
    <row r="216" spans="2:10" x14ac:dyDescent="0.2">
      <c r="I216" s="19"/>
    </row>
  </sheetData>
  <mergeCells count="1">
    <mergeCell ref="B2:I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7"/>
  <sheetViews>
    <sheetView rightToLeft="1" topLeftCell="C1" workbookViewId="0">
      <selection activeCell="H10" sqref="H10"/>
    </sheetView>
  </sheetViews>
  <sheetFormatPr defaultRowHeight="14.25" x14ac:dyDescent="0.2"/>
  <cols>
    <col min="1" max="1" width="4.5" customWidth="1"/>
    <col min="2" max="2" width="10.5" customWidth="1"/>
    <col min="3" max="3" width="17.125" customWidth="1"/>
    <col min="4" max="4" width="18.125" customWidth="1"/>
    <col min="5" max="5" width="34.875" customWidth="1"/>
    <col min="6" max="6" width="10.625" bestFit="1" customWidth="1"/>
    <col min="7" max="7" width="9.375" bestFit="1" customWidth="1"/>
    <col min="9" max="9" width="12.875" customWidth="1"/>
    <col min="11" max="11" width="8.625" style="22"/>
    <col min="14" max="14" width="17.125" customWidth="1"/>
    <col min="15" max="15" width="12.125" customWidth="1"/>
  </cols>
  <sheetData>
    <row r="1" spans="2:15" ht="23.25" x14ac:dyDescent="0.35">
      <c r="B1" s="304" t="s">
        <v>39</v>
      </c>
      <c r="C1" s="304"/>
      <c r="D1" s="304"/>
      <c r="E1" s="304"/>
      <c r="F1" s="304"/>
      <c r="G1" s="304"/>
      <c r="H1" s="304"/>
      <c r="I1" s="304"/>
    </row>
    <row r="2" spans="2:15" ht="15.75" x14ac:dyDescent="0.25">
      <c r="B2" s="2" t="s">
        <v>0</v>
      </c>
      <c r="F2" s="3"/>
      <c r="G2" s="3"/>
      <c r="H2" s="3"/>
    </row>
    <row r="3" spans="2:15" x14ac:dyDescent="0.2">
      <c r="B3" s="4"/>
    </row>
    <row r="4" spans="2:15" x14ac:dyDescent="0.2">
      <c r="B4" s="4" t="s">
        <v>1</v>
      </c>
      <c r="C4" s="5" t="s">
        <v>40</v>
      </c>
      <c r="D4" s="4" t="s">
        <v>2</v>
      </c>
      <c r="E4" s="3" t="s">
        <v>60</v>
      </c>
    </row>
    <row r="5" spans="2:15" ht="18" customHeight="1" x14ac:dyDescent="0.2">
      <c r="B5" s="6" t="s">
        <v>3</v>
      </c>
    </row>
    <row r="6" spans="2:15" x14ac:dyDescent="0.2"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7" t="s">
        <v>59</v>
      </c>
      <c r="J6" s="8" t="s">
        <v>11</v>
      </c>
      <c r="L6" s="105" t="s">
        <v>139</v>
      </c>
    </row>
    <row r="7" spans="2:15" x14ac:dyDescent="0.2">
      <c r="B7" s="9" t="s">
        <v>40</v>
      </c>
      <c r="C7" s="10"/>
      <c r="D7" s="11">
        <v>2017</v>
      </c>
      <c r="E7" s="12"/>
      <c r="F7" s="13"/>
      <c r="G7" s="11"/>
      <c r="H7" s="14">
        <f>'מוטי שונות 2017'!B39</f>
        <v>23449</v>
      </c>
      <c r="I7" s="14"/>
      <c r="J7" s="12"/>
      <c r="L7" s="10" t="s">
        <v>140</v>
      </c>
      <c r="M7" s="10" t="s">
        <v>10</v>
      </c>
      <c r="N7" s="10" t="s">
        <v>51</v>
      </c>
      <c r="O7" s="10" t="s">
        <v>149</v>
      </c>
    </row>
    <row r="8" spans="2:15" x14ac:dyDescent="0.2">
      <c r="B8" s="9" t="s">
        <v>151</v>
      </c>
      <c r="C8" s="12"/>
      <c r="D8" s="11" t="s">
        <v>139</v>
      </c>
      <c r="E8" s="12" t="s">
        <v>209</v>
      </c>
      <c r="F8" s="12"/>
      <c r="G8" s="12">
        <v>1632</v>
      </c>
      <c r="H8" s="14">
        <v>27000</v>
      </c>
      <c r="I8" s="14">
        <f>60000-27000-13000</f>
        <v>20000</v>
      </c>
      <c r="J8" s="12"/>
      <c r="L8" s="10" t="s">
        <v>141</v>
      </c>
      <c r="M8" s="10">
        <v>27000</v>
      </c>
      <c r="N8" s="10"/>
      <c r="O8" s="10"/>
    </row>
    <row r="9" spans="2:15" x14ac:dyDescent="0.2">
      <c r="B9" s="9" t="s">
        <v>208</v>
      </c>
      <c r="C9" s="12"/>
      <c r="D9" s="11" t="s">
        <v>139</v>
      </c>
      <c r="E9" s="12" t="s">
        <v>142</v>
      </c>
      <c r="F9" s="12"/>
      <c r="G9" s="12">
        <v>1683</v>
      </c>
      <c r="H9" s="14">
        <v>13000</v>
      </c>
      <c r="I9" s="14"/>
      <c r="J9" s="12"/>
      <c r="L9" s="10" t="s">
        <v>142</v>
      </c>
      <c r="M9" s="10">
        <v>13000</v>
      </c>
      <c r="N9" s="10" t="s">
        <v>143</v>
      </c>
      <c r="O9" s="10" t="s">
        <v>146</v>
      </c>
    </row>
    <row r="10" spans="2:15" x14ac:dyDescent="0.2">
      <c r="B10" s="9" t="s">
        <v>188</v>
      </c>
      <c r="C10" s="12"/>
      <c r="D10" s="12" t="s">
        <v>171</v>
      </c>
      <c r="E10" s="12" t="s">
        <v>177</v>
      </c>
      <c r="F10" s="12"/>
      <c r="G10" s="12">
        <v>1671</v>
      </c>
      <c r="H10" s="14">
        <v>32000</v>
      </c>
      <c r="I10" s="14"/>
      <c r="J10" s="12" t="s">
        <v>12</v>
      </c>
      <c r="L10" s="10"/>
      <c r="M10" s="10"/>
      <c r="N10" s="10" t="s">
        <v>147</v>
      </c>
      <c r="O10" s="10" t="s">
        <v>148</v>
      </c>
    </row>
    <row r="11" spans="2:15" x14ac:dyDescent="0.2">
      <c r="B11" s="9"/>
      <c r="C11" s="12"/>
      <c r="D11" s="12" t="s">
        <v>171</v>
      </c>
      <c r="E11" s="12" t="s">
        <v>178</v>
      </c>
      <c r="F11" s="12"/>
      <c r="G11" s="12"/>
      <c r="H11" s="14"/>
      <c r="I11" s="14">
        <v>48000</v>
      </c>
      <c r="J11" s="12" t="s">
        <v>457</v>
      </c>
      <c r="L11" s="10" t="s">
        <v>144</v>
      </c>
      <c r="M11" s="10">
        <v>20000</v>
      </c>
      <c r="N11" s="10" t="s">
        <v>145</v>
      </c>
      <c r="O11" s="10"/>
    </row>
    <row r="12" spans="2:15" x14ac:dyDescent="0.2">
      <c r="B12" s="9"/>
      <c r="C12" s="12"/>
      <c r="D12" s="12"/>
      <c r="E12" s="12"/>
      <c r="F12" s="12"/>
      <c r="G12" s="12"/>
      <c r="H12" s="14"/>
      <c r="I12" s="14"/>
      <c r="J12" s="12"/>
      <c r="L12" s="10"/>
      <c r="M12" s="10">
        <f>SUM(M8:M11)</f>
        <v>60000</v>
      </c>
      <c r="N12" s="10"/>
      <c r="O12" s="10"/>
    </row>
    <row r="13" spans="2:15" x14ac:dyDescent="0.2">
      <c r="B13" s="15"/>
      <c r="C13" s="12"/>
      <c r="D13" s="12"/>
      <c r="E13" s="12"/>
      <c r="F13" s="12"/>
      <c r="G13" s="12"/>
      <c r="H13" s="14"/>
      <c r="I13" s="14"/>
      <c r="J13" s="12"/>
    </row>
    <row r="14" spans="2:15" x14ac:dyDescent="0.2">
      <c r="B14" s="16"/>
      <c r="C14" s="16"/>
      <c r="D14" s="16"/>
      <c r="E14" s="16"/>
      <c r="F14" s="16"/>
      <c r="G14" s="16"/>
      <c r="H14" s="17">
        <f>SUM(H7:H13)</f>
        <v>95449</v>
      </c>
      <c r="I14" s="17">
        <f>SUM(I7:I13)</f>
        <v>68000</v>
      </c>
      <c r="J14" s="16"/>
    </row>
    <row r="15" spans="2:15" x14ac:dyDescent="0.2">
      <c r="B15" s="18"/>
      <c r="C15" s="19"/>
      <c r="D15" s="19"/>
      <c r="E15" s="19"/>
      <c r="F15" s="19"/>
      <c r="G15" s="19"/>
      <c r="H15" s="19"/>
      <c r="I15" s="20"/>
      <c r="L15" s="105" t="s">
        <v>171</v>
      </c>
    </row>
    <row r="16" spans="2:15" x14ac:dyDescent="0.2">
      <c r="B16" s="6" t="s">
        <v>13</v>
      </c>
      <c r="C16" s="19"/>
      <c r="D16" s="19"/>
      <c r="E16" s="19"/>
      <c r="F16" s="19"/>
      <c r="G16" s="19"/>
      <c r="H16" s="19"/>
      <c r="I16" s="20"/>
      <c r="L16" s="10" t="s">
        <v>140</v>
      </c>
      <c r="M16" s="10" t="s">
        <v>10</v>
      </c>
      <c r="N16" s="10" t="s">
        <v>51</v>
      </c>
      <c r="O16" s="10" t="s">
        <v>149</v>
      </c>
    </row>
    <row r="17" spans="2:15" x14ac:dyDescent="0.2">
      <c r="B17" s="7" t="s">
        <v>4</v>
      </c>
      <c r="C17" s="7" t="s">
        <v>14</v>
      </c>
      <c r="D17" s="7" t="s">
        <v>15</v>
      </c>
      <c r="E17" s="7" t="s">
        <v>51</v>
      </c>
      <c r="F17" s="7" t="s">
        <v>16</v>
      </c>
      <c r="G17" s="7" t="s">
        <v>17</v>
      </c>
      <c r="H17" s="7" t="s">
        <v>10</v>
      </c>
      <c r="I17" s="7" t="s">
        <v>92</v>
      </c>
      <c r="L17" s="10" t="s">
        <v>141</v>
      </c>
      <c r="M17" s="10">
        <v>32000</v>
      </c>
      <c r="N17" s="10" t="s">
        <v>176</v>
      </c>
      <c r="O17" s="10" t="s">
        <v>175</v>
      </c>
    </row>
    <row r="18" spans="2:15" x14ac:dyDescent="0.2">
      <c r="B18" s="15" t="s">
        <v>56</v>
      </c>
      <c r="C18" s="12" t="s">
        <v>101</v>
      </c>
      <c r="D18" s="12" t="s">
        <v>57</v>
      </c>
      <c r="E18" s="12" t="s">
        <v>58</v>
      </c>
      <c r="F18" s="12">
        <v>85220</v>
      </c>
      <c r="G18" s="12">
        <v>87</v>
      </c>
      <c r="H18" s="12">
        <v>-35100</v>
      </c>
      <c r="I18" s="10"/>
      <c r="L18" s="10" t="s">
        <v>144</v>
      </c>
      <c r="M18" s="10">
        <v>48000</v>
      </c>
      <c r="N18" s="10" t="s">
        <v>179</v>
      </c>
      <c r="O18" s="10"/>
    </row>
    <row r="19" spans="2:15" x14ac:dyDescent="0.2">
      <c r="B19" s="15"/>
      <c r="C19" s="12"/>
      <c r="D19" s="12" t="s">
        <v>93</v>
      </c>
      <c r="E19" s="12"/>
      <c r="F19" s="12"/>
      <c r="G19" s="12"/>
      <c r="H19" s="12">
        <v>-4000</v>
      </c>
      <c r="I19" s="10"/>
    </row>
    <row r="20" spans="2:15" x14ac:dyDescent="0.2">
      <c r="B20" s="15" t="s">
        <v>100</v>
      </c>
      <c r="C20" s="12" t="s">
        <v>101</v>
      </c>
      <c r="D20" s="12" t="s">
        <v>102</v>
      </c>
      <c r="E20" s="12" t="s">
        <v>103</v>
      </c>
      <c r="F20" s="12">
        <v>85220</v>
      </c>
      <c r="G20" s="12">
        <v>575</v>
      </c>
      <c r="H20" s="124">
        <v>-60</v>
      </c>
      <c r="I20" s="10"/>
    </row>
    <row r="21" spans="2:15" x14ac:dyDescent="0.2">
      <c r="B21" s="15" t="s">
        <v>107</v>
      </c>
      <c r="C21" s="12" t="s">
        <v>101</v>
      </c>
      <c r="D21" s="12" t="s">
        <v>108</v>
      </c>
      <c r="E21" s="12" t="s">
        <v>130</v>
      </c>
      <c r="F21" s="12">
        <v>2014</v>
      </c>
      <c r="G21" s="12">
        <v>943</v>
      </c>
      <c r="H21" s="124">
        <v>-394</v>
      </c>
      <c r="I21" s="11"/>
    </row>
    <row r="22" spans="2:15" x14ac:dyDescent="0.2">
      <c r="B22" s="15" t="s">
        <v>129</v>
      </c>
      <c r="C22" s="12" t="s">
        <v>101</v>
      </c>
      <c r="D22" s="12" t="s">
        <v>108</v>
      </c>
      <c r="E22" s="12" t="s">
        <v>131</v>
      </c>
      <c r="F22" s="12">
        <v>22901</v>
      </c>
      <c r="G22" s="12"/>
      <c r="H22" s="124">
        <v>-585</v>
      </c>
      <c r="I22" s="11"/>
    </row>
    <row r="23" spans="2:15" x14ac:dyDescent="0.2">
      <c r="B23" s="15" t="s">
        <v>109</v>
      </c>
      <c r="C23" s="12" t="s">
        <v>101</v>
      </c>
      <c r="D23" s="12" t="s">
        <v>113</v>
      </c>
      <c r="E23" s="12" t="s">
        <v>114</v>
      </c>
      <c r="F23" s="12">
        <v>2014</v>
      </c>
      <c r="G23" s="12">
        <v>483</v>
      </c>
      <c r="H23" s="103">
        <v>-992</v>
      </c>
      <c r="I23" s="11"/>
    </row>
    <row r="24" spans="2:15" x14ac:dyDescent="0.2">
      <c r="B24" s="15" t="s">
        <v>134</v>
      </c>
      <c r="C24" s="12" t="s">
        <v>101</v>
      </c>
      <c r="D24" s="12"/>
      <c r="E24" s="12" t="s">
        <v>133</v>
      </c>
      <c r="F24" s="12">
        <v>22816</v>
      </c>
      <c r="G24" s="12"/>
      <c r="H24" s="12">
        <v>-647</v>
      </c>
      <c r="I24" s="11"/>
      <c r="J24" t="s">
        <v>264</v>
      </c>
    </row>
    <row r="25" spans="2:15" x14ac:dyDescent="0.2">
      <c r="B25" s="11" t="s">
        <v>157</v>
      </c>
      <c r="C25" s="11"/>
      <c r="D25" s="107" t="s">
        <v>34</v>
      </c>
      <c r="E25" s="107" t="s">
        <v>158</v>
      </c>
      <c r="F25" s="107">
        <v>9723</v>
      </c>
      <c r="G25" s="107">
        <v>334</v>
      </c>
      <c r="H25" s="107">
        <v>-2000</v>
      </c>
      <c r="I25" s="107"/>
    </row>
    <row r="26" spans="2:15" x14ac:dyDescent="0.2">
      <c r="B26" s="11" t="s">
        <v>159</v>
      </c>
      <c r="C26" s="11" t="s">
        <v>101</v>
      </c>
      <c r="D26" s="107"/>
      <c r="E26" s="107" t="s">
        <v>160</v>
      </c>
      <c r="F26" s="107">
        <v>85924</v>
      </c>
      <c r="G26" s="107" t="s">
        <v>262</v>
      </c>
      <c r="H26" s="107">
        <v>-493</v>
      </c>
      <c r="I26" s="107"/>
    </row>
    <row r="27" spans="2:15" x14ac:dyDescent="0.2">
      <c r="B27" s="11" t="s">
        <v>163</v>
      </c>
      <c r="C27" s="11" t="s">
        <v>101</v>
      </c>
      <c r="D27" s="107"/>
      <c r="E27" s="107" t="s">
        <v>164</v>
      </c>
      <c r="F27" s="107">
        <v>16796</v>
      </c>
      <c r="G27" s="107"/>
      <c r="H27" s="107">
        <v>-599</v>
      </c>
      <c r="I27" s="107"/>
      <c r="J27">
        <f>146.03+60+150+104.4+88.12+5+40+5</f>
        <v>598.54999999999995</v>
      </c>
    </row>
    <row r="28" spans="2:15" x14ac:dyDescent="0.2">
      <c r="B28" s="11" t="s">
        <v>167</v>
      </c>
      <c r="C28" s="11"/>
      <c r="D28" s="107" t="s">
        <v>29</v>
      </c>
      <c r="E28" s="107" t="s">
        <v>190</v>
      </c>
      <c r="F28" s="107">
        <v>61632</v>
      </c>
      <c r="G28" s="107">
        <v>341</v>
      </c>
      <c r="H28" s="107">
        <v>-3551</v>
      </c>
      <c r="I28" s="107"/>
    </row>
    <row r="29" spans="2:15" x14ac:dyDescent="0.2">
      <c r="B29" s="11" t="s">
        <v>170</v>
      </c>
      <c r="C29" s="11" t="s">
        <v>101</v>
      </c>
      <c r="D29" s="107" t="s">
        <v>168</v>
      </c>
      <c r="E29" s="107" t="s">
        <v>169</v>
      </c>
      <c r="F29" s="107">
        <v>9723</v>
      </c>
      <c r="G29" s="107">
        <v>723</v>
      </c>
      <c r="H29" s="107">
        <v>-288</v>
      </c>
      <c r="I29" s="107"/>
    </row>
    <row r="30" spans="2:15" x14ac:dyDescent="0.2">
      <c r="B30" s="11" t="s">
        <v>154</v>
      </c>
      <c r="C30" s="11" t="s">
        <v>101</v>
      </c>
      <c r="D30" s="107" t="s">
        <v>180</v>
      </c>
      <c r="E30" s="107" t="s">
        <v>181</v>
      </c>
      <c r="F30" s="107">
        <v>5011593</v>
      </c>
      <c r="G30" s="107">
        <v>165</v>
      </c>
      <c r="H30" s="107">
        <v>-44</v>
      </c>
      <c r="I30" s="107"/>
    </row>
    <row r="31" spans="2:15" x14ac:dyDescent="0.2">
      <c r="B31" s="11" t="s">
        <v>182</v>
      </c>
      <c r="C31" s="11" t="s">
        <v>101</v>
      </c>
      <c r="D31" s="107" t="s">
        <v>183</v>
      </c>
      <c r="E31" s="107" t="s">
        <v>184</v>
      </c>
      <c r="F31" s="107">
        <v>61632</v>
      </c>
      <c r="G31" s="107">
        <v>632</v>
      </c>
      <c r="H31" s="107">
        <v>-24</v>
      </c>
      <c r="I31" s="107"/>
    </row>
    <row r="32" spans="2:15" x14ac:dyDescent="0.2">
      <c r="B32" s="11" t="s">
        <v>185</v>
      </c>
      <c r="C32" s="11" t="s">
        <v>44</v>
      </c>
      <c r="D32" s="107"/>
      <c r="E32" s="107" t="s">
        <v>186</v>
      </c>
      <c r="F32" s="107"/>
      <c r="G32" s="107"/>
      <c r="H32" s="125">
        <v>-11585</v>
      </c>
      <c r="I32" s="107"/>
    </row>
    <row r="33" spans="2:10" x14ac:dyDescent="0.2">
      <c r="B33" s="11" t="s">
        <v>188</v>
      </c>
      <c r="C33" s="11" t="s">
        <v>101</v>
      </c>
      <c r="D33" s="107"/>
      <c r="E33" s="107" t="s">
        <v>189</v>
      </c>
      <c r="F33" s="107">
        <v>61528</v>
      </c>
      <c r="G33" s="107"/>
      <c r="H33" s="107">
        <v>-356</v>
      </c>
      <c r="I33" s="107"/>
      <c r="J33">
        <f>24.89+83.97+177.61+69.28</f>
        <v>355.75</v>
      </c>
    </row>
    <row r="34" spans="2:10" x14ac:dyDescent="0.2">
      <c r="B34" s="11" t="s">
        <v>202</v>
      </c>
      <c r="C34" s="11" t="s">
        <v>44</v>
      </c>
      <c r="D34" s="107"/>
      <c r="E34" s="107" t="s">
        <v>203</v>
      </c>
      <c r="F34" s="107"/>
      <c r="G34" s="107"/>
      <c r="H34" s="107">
        <v>-2501</v>
      </c>
      <c r="I34" s="107"/>
    </row>
    <row r="35" spans="2:10" x14ac:dyDescent="0.2">
      <c r="B35" s="11" t="s">
        <v>202</v>
      </c>
      <c r="C35" s="11" t="s">
        <v>44</v>
      </c>
      <c r="D35" s="107"/>
      <c r="E35" s="107" t="s">
        <v>204</v>
      </c>
      <c r="F35" s="107"/>
      <c r="G35" s="107"/>
      <c r="H35" s="107">
        <v>-4491</v>
      </c>
      <c r="I35" s="107"/>
    </row>
    <row r="36" spans="2:10" x14ac:dyDescent="0.2">
      <c r="B36" s="11" t="s">
        <v>205</v>
      </c>
      <c r="C36" s="11" t="s">
        <v>101</v>
      </c>
      <c r="D36" s="107" t="s">
        <v>206</v>
      </c>
      <c r="E36" s="107" t="s">
        <v>207</v>
      </c>
      <c r="F36" s="107">
        <v>5011610</v>
      </c>
      <c r="G36" s="107">
        <v>368</v>
      </c>
      <c r="H36" s="107">
        <v>-720</v>
      </c>
      <c r="I36" s="107"/>
    </row>
    <row r="37" spans="2:10" x14ac:dyDescent="0.2">
      <c r="B37" s="11" t="s">
        <v>212</v>
      </c>
      <c r="C37" s="11" t="s">
        <v>101</v>
      </c>
      <c r="D37" s="107" t="s">
        <v>213</v>
      </c>
      <c r="E37" s="107" t="s">
        <v>214</v>
      </c>
      <c r="F37" s="107">
        <v>2732</v>
      </c>
      <c r="G37" s="107">
        <v>157</v>
      </c>
      <c r="H37" s="107">
        <v>-34</v>
      </c>
      <c r="I37" s="107"/>
    </row>
    <row r="38" spans="2:10" x14ac:dyDescent="0.2">
      <c r="B38" s="11" t="s">
        <v>215</v>
      </c>
      <c r="C38" s="11" t="s">
        <v>101</v>
      </c>
      <c r="D38" s="107" t="s">
        <v>216</v>
      </c>
      <c r="E38" s="107" t="s">
        <v>217</v>
      </c>
      <c r="F38" s="107">
        <v>27803</v>
      </c>
      <c r="G38" s="107"/>
      <c r="H38" s="107">
        <v>-264</v>
      </c>
      <c r="I38" s="107"/>
    </row>
    <row r="39" spans="2:10" x14ac:dyDescent="0.2">
      <c r="B39" s="11" t="s">
        <v>218</v>
      </c>
      <c r="C39" s="11" t="s">
        <v>44</v>
      </c>
      <c r="D39" s="107"/>
      <c r="E39" s="119" t="s">
        <v>219</v>
      </c>
      <c r="F39" s="107"/>
      <c r="G39" s="107"/>
      <c r="H39" s="107">
        <v>-6406</v>
      </c>
      <c r="I39" s="107"/>
    </row>
    <row r="40" spans="2:10" x14ac:dyDescent="0.2">
      <c r="B40" s="11" t="s">
        <v>222</v>
      </c>
      <c r="C40" s="11" t="s">
        <v>101</v>
      </c>
      <c r="D40" s="107" t="s">
        <v>213</v>
      </c>
      <c r="E40" s="119" t="s">
        <v>224</v>
      </c>
      <c r="F40" s="107">
        <v>9450</v>
      </c>
      <c r="G40" s="107">
        <v>243</v>
      </c>
      <c r="H40" s="107"/>
      <c r="I40" s="107"/>
      <c r="J40" t="s">
        <v>263</v>
      </c>
    </row>
    <row r="41" spans="2:10" x14ac:dyDescent="0.2">
      <c r="B41" s="11" t="s">
        <v>225</v>
      </c>
      <c r="C41" s="11" t="s">
        <v>101</v>
      </c>
      <c r="D41" s="107" t="s">
        <v>226</v>
      </c>
      <c r="E41" s="119" t="s">
        <v>224</v>
      </c>
      <c r="F41" s="107">
        <v>9450</v>
      </c>
      <c r="G41" s="107">
        <v>178</v>
      </c>
      <c r="H41" s="107">
        <v>-99</v>
      </c>
      <c r="I41" s="107"/>
    </row>
    <row r="42" spans="2:10" x14ac:dyDescent="0.2">
      <c r="B42" s="11" t="s">
        <v>202</v>
      </c>
      <c r="C42" s="11" t="s">
        <v>44</v>
      </c>
      <c r="D42" s="107" t="s">
        <v>44</v>
      </c>
      <c r="E42" s="119" t="s">
        <v>267</v>
      </c>
      <c r="F42" s="107"/>
      <c r="G42" s="107"/>
      <c r="H42" s="107">
        <v>-1354</v>
      </c>
      <c r="I42" s="107"/>
    </row>
    <row r="43" spans="2:10" x14ac:dyDescent="0.2">
      <c r="B43" s="11"/>
      <c r="C43" s="11"/>
      <c r="D43" s="107"/>
      <c r="E43" s="119" t="s">
        <v>253</v>
      </c>
      <c r="F43" s="107"/>
      <c r="G43" s="107">
        <v>106</v>
      </c>
      <c r="H43" s="107">
        <v>-41</v>
      </c>
      <c r="I43" s="107"/>
    </row>
    <row r="44" spans="2:10" s="22" customFormat="1" x14ac:dyDescent="0.2">
      <c r="B44" s="11"/>
      <c r="C44" s="12" t="s">
        <v>261</v>
      </c>
      <c r="D44" s="12"/>
      <c r="E44" s="12"/>
      <c r="F44" s="12"/>
      <c r="G44" s="12"/>
      <c r="H44" s="107">
        <v>-4000</v>
      </c>
      <c r="I44" s="107"/>
    </row>
    <row r="45" spans="2:10" x14ac:dyDescent="0.2">
      <c r="B45" s="23"/>
      <c r="C45" s="24"/>
      <c r="D45" s="24"/>
      <c r="E45" s="24"/>
      <c r="F45" s="24"/>
      <c r="G45" s="25"/>
      <c r="H45" s="25">
        <f>SUM(H18:H44)</f>
        <v>-80628</v>
      </c>
      <c r="I45" s="25">
        <f>SUM(I18:I24)</f>
        <v>0</v>
      </c>
    </row>
    <row r="46" spans="2:10" x14ac:dyDescent="0.2">
      <c r="B46" s="3"/>
      <c r="H46" s="102">
        <f>'מיגל שימוש ברחפנים'!E45</f>
        <v>-44952</v>
      </c>
      <c r="I46" s="22"/>
    </row>
    <row r="47" spans="2:10" x14ac:dyDescent="0.2">
      <c r="H47" s="102" t="e">
        <f>H20+H21+H22+H23+H24+#REF!+#REF!+#REF!+H25+H26+H27+#REF!</f>
        <v>#REF!</v>
      </c>
      <c r="I47" s="22"/>
    </row>
    <row r="48" spans="2:10" x14ac:dyDescent="0.2">
      <c r="B48" s="21" t="s">
        <v>12</v>
      </c>
      <c r="C48" s="10">
        <f>H14</f>
        <v>95449</v>
      </c>
      <c r="E48" s="53" t="s">
        <v>219</v>
      </c>
      <c r="F48" s="19"/>
      <c r="G48" s="19"/>
      <c r="H48" s="113" t="e">
        <f>SUM(H46:H47)</f>
        <v>#REF!</v>
      </c>
      <c r="I48" s="22"/>
    </row>
    <row r="49" spans="2:9" x14ac:dyDescent="0.2">
      <c r="B49" s="12" t="s">
        <v>18</v>
      </c>
      <c r="C49" s="27">
        <f>I14</f>
        <v>68000</v>
      </c>
      <c r="E49" s="19"/>
      <c r="F49" s="19"/>
      <c r="G49" s="19"/>
      <c r="H49" s="19"/>
      <c r="I49" s="22"/>
    </row>
    <row r="50" spans="2:9" x14ac:dyDescent="0.2">
      <c r="B50" s="28" t="s">
        <v>13</v>
      </c>
      <c r="C50" s="28">
        <f>H45+I45</f>
        <v>-80628</v>
      </c>
      <c r="E50" s="29"/>
      <c r="F50" s="19"/>
      <c r="G50" s="19"/>
      <c r="H50" s="19"/>
      <c r="I50" s="22"/>
    </row>
    <row r="51" spans="2:9" ht="15.75" x14ac:dyDescent="0.25">
      <c r="B51" s="30" t="s">
        <v>19</v>
      </c>
      <c r="C51" s="108">
        <f>C48+C49+C50</f>
        <v>82821</v>
      </c>
      <c r="E51" s="19"/>
      <c r="F51" s="19"/>
      <c r="G51" s="19"/>
      <c r="H51" s="19"/>
      <c r="I51" s="22"/>
    </row>
    <row r="54" spans="2:9" x14ac:dyDescent="0.2">
      <c r="I54" s="26"/>
    </row>
    <row r="55" spans="2:9" x14ac:dyDescent="0.2">
      <c r="I55" s="19"/>
    </row>
    <row r="56" spans="2:9" x14ac:dyDescent="0.2">
      <c r="I56" s="19"/>
    </row>
    <row r="57" spans="2:9" x14ac:dyDescent="0.2">
      <c r="I57" s="19"/>
    </row>
  </sheetData>
  <mergeCells count="1">
    <mergeCell ref="B1:I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6"/>
  <sheetViews>
    <sheetView rightToLeft="1" topLeftCell="A19" workbookViewId="0">
      <selection activeCell="H51" sqref="H51"/>
    </sheetView>
  </sheetViews>
  <sheetFormatPr defaultRowHeight="14.25" x14ac:dyDescent="0.2"/>
  <cols>
    <col min="1" max="1" width="4.125" customWidth="1"/>
    <col min="2" max="2" width="14.75" customWidth="1"/>
    <col min="3" max="3" width="10.375" customWidth="1"/>
    <col min="4" max="4" width="11.5" customWidth="1"/>
    <col min="5" max="5" width="15.875" customWidth="1"/>
    <col min="6" max="6" width="12.625" customWidth="1"/>
    <col min="7" max="7" width="39.375" customWidth="1"/>
    <col min="8" max="8" width="9.625" customWidth="1"/>
    <col min="9" max="9" width="13.375" customWidth="1"/>
    <col min="11" max="11" width="17.125" customWidth="1"/>
    <col min="12" max="12" width="10.625" customWidth="1"/>
    <col min="13" max="13" width="17" customWidth="1"/>
    <col min="14" max="14" width="12.375" customWidth="1"/>
  </cols>
  <sheetData>
    <row r="1" spans="2:12" ht="24" thickBot="1" x14ac:dyDescent="0.4">
      <c r="B1" s="74" t="s">
        <v>39</v>
      </c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2:12" ht="20.100000000000001" customHeight="1" thickBot="1" x14ac:dyDescent="0.3">
      <c r="B2" s="67" t="s">
        <v>73</v>
      </c>
      <c r="C2" s="68"/>
      <c r="D2" s="68"/>
      <c r="E2" s="68"/>
      <c r="F2" s="69"/>
      <c r="G2" s="69"/>
      <c r="H2" s="3"/>
      <c r="J2" s="306" t="s">
        <v>61</v>
      </c>
      <c r="K2" s="307"/>
    </row>
    <row r="3" spans="2:12" ht="17.45" customHeight="1" x14ac:dyDescent="0.2">
      <c r="B3" s="70" t="s">
        <v>76</v>
      </c>
      <c r="C3" s="68"/>
      <c r="D3" s="71" t="s">
        <v>80</v>
      </c>
      <c r="E3" s="68"/>
      <c r="F3" s="68"/>
      <c r="G3" s="68"/>
      <c r="J3" s="38" t="s">
        <v>62</v>
      </c>
      <c r="K3" s="39">
        <v>86500</v>
      </c>
    </row>
    <row r="4" spans="2:12" ht="17.100000000000001" customHeight="1" x14ac:dyDescent="0.2">
      <c r="B4" s="72" t="s">
        <v>81</v>
      </c>
      <c r="C4" s="73"/>
      <c r="D4" s="72"/>
      <c r="E4" s="69"/>
      <c r="F4" s="68"/>
      <c r="G4" s="68"/>
      <c r="J4" s="38" t="s">
        <v>63</v>
      </c>
      <c r="K4" s="39">
        <v>86500</v>
      </c>
    </row>
    <row r="5" spans="2:12" ht="15" thickBot="1" x14ac:dyDescent="0.25">
      <c r="B5" s="83" t="s">
        <v>74</v>
      </c>
      <c r="C5" s="83"/>
      <c r="D5" s="83"/>
      <c r="E5" s="83"/>
      <c r="F5" s="83"/>
      <c r="G5" s="83"/>
      <c r="H5" s="83"/>
      <c r="J5" s="38" t="s">
        <v>64</v>
      </c>
      <c r="K5" s="39">
        <v>86500</v>
      </c>
    </row>
    <row r="6" spans="2:12" ht="18" customHeight="1" thickBot="1" x14ac:dyDescent="0.25">
      <c r="B6" s="18"/>
      <c r="C6" s="19"/>
      <c r="D6" s="19"/>
      <c r="E6" s="19"/>
      <c r="F6" s="19"/>
      <c r="G6" s="19"/>
      <c r="H6" s="19"/>
      <c r="J6" s="45" t="s">
        <v>65</v>
      </c>
      <c r="K6" s="46">
        <f>SUM(K3:K5)</f>
        <v>259500</v>
      </c>
    </row>
    <row r="7" spans="2:12" x14ac:dyDescent="0.2">
      <c r="B7" s="48" t="s">
        <v>4</v>
      </c>
      <c r="C7" s="48" t="s">
        <v>5</v>
      </c>
      <c r="D7" s="48" t="s">
        <v>82</v>
      </c>
      <c r="E7" s="48" t="s">
        <v>47</v>
      </c>
      <c r="F7" s="49" t="s">
        <v>49</v>
      </c>
      <c r="G7" s="48" t="s">
        <v>51</v>
      </c>
      <c r="H7" s="47"/>
    </row>
    <row r="8" spans="2:12" ht="15" thickBot="1" x14ac:dyDescent="0.25">
      <c r="B8" s="80" t="s">
        <v>46</v>
      </c>
      <c r="C8" s="81">
        <v>25945035</v>
      </c>
      <c r="D8" s="51"/>
      <c r="E8" s="101">
        <v>-203</v>
      </c>
      <c r="F8" s="52"/>
      <c r="G8" s="81" t="s">
        <v>84</v>
      </c>
      <c r="J8" t="s">
        <v>75</v>
      </c>
    </row>
    <row r="9" spans="2:12" ht="15" thickBot="1" x14ac:dyDescent="0.25">
      <c r="B9" s="50" t="s">
        <v>48</v>
      </c>
      <c r="C9" s="81">
        <v>60145</v>
      </c>
      <c r="D9" s="51"/>
      <c r="E9" s="52"/>
      <c r="F9" s="101">
        <v>-857</v>
      </c>
      <c r="G9" s="79" t="s">
        <v>85</v>
      </c>
      <c r="J9" s="306" t="s">
        <v>68</v>
      </c>
      <c r="K9" s="307"/>
    </row>
    <row r="10" spans="2:12" x14ac:dyDescent="0.2">
      <c r="B10" s="54" t="s">
        <v>50</v>
      </c>
      <c r="C10" s="53"/>
      <c r="D10" s="53"/>
      <c r="E10" s="81">
        <v>-2581</v>
      </c>
      <c r="F10" s="52"/>
      <c r="G10" s="53" t="s">
        <v>86</v>
      </c>
      <c r="J10" s="38" t="s">
        <v>67</v>
      </c>
      <c r="K10" s="39">
        <v>65000</v>
      </c>
    </row>
    <row r="11" spans="2:12" x14ac:dyDescent="0.2">
      <c r="B11" s="54" t="s">
        <v>50</v>
      </c>
      <c r="C11" s="51">
        <v>50926</v>
      </c>
      <c r="D11" s="53"/>
      <c r="E11" s="12"/>
      <c r="F11" s="101">
        <v>-622</v>
      </c>
      <c r="G11" s="53" t="s">
        <v>98</v>
      </c>
      <c r="J11" s="38" t="s">
        <v>47</v>
      </c>
      <c r="K11" s="39">
        <v>16000</v>
      </c>
    </row>
    <row r="12" spans="2:12" ht="15" thickBot="1" x14ac:dyDescent="0.25">
      <c r="B12" s="54" t="s">
        <v>50</v>
      </c>
      <c r="C12" s="51" t="s">
        <v>87</v>
      </c>
      <c r="D12" s="53">
        <v>-787</v>
      </c>
      <c r="E12" s="52"/>
      <c r="F12" s="52"/>
      <c r="G12" s="53" t="s">
        <v>88</v>
      </c>
      <c r="H12" s="102">
        <f>F9+F16+F18</f>
        <v>-2749</v>
      </c>
      <c r="J12" s="38" t="s">
        <v>49</v>
      </c>
      <c r="K12" s="39">
        <v>5500</v>
      </c>
    </row>
    <row r="13" spans="2:12" ht="15" thickBot="1" x14ac:dyDescent="0.25">
      <c r="B13" s="50" t="s">
        <v>50</v>
      </c>
      <c r="C13" s="81">
        <v>88264521</v>
      </c>
      <c r="D13" s="53"/>
      <c r="E13" s="101">
        <v>-149</v>
      </c>
      <c r="F13" s="52"/>
      <c r="G13" s="53" t="s">
        <v>137</v>
      </c>
      <c r="J13" s="45" t="s">
        <v>65</v>
      </c>
      <c r="K13" s="46">
        <f>SUM(K10:K12)</f>
        <v>86500</v>
      </c>
    </row>
    <row r="14" spans="2:12" ht="15" thickBot="1" x14ac:dyDescent="0.25">
      <c r="B14" s="50" t="s">
        <v>55</v>
      </c>
      <c r="C14" s="51" t="s">
        <v>87</v>
      </c>
      <c r="D14" s="51">
        <v>-1145</v>
      </c>
      <c r="E14" s="52"/>
      <c r="F14" s="52"/>
      <c r="G14" s="53" t="s">
        <v>89</v>
      </c>
    </row>
    <row r="15" spans="2:12" ht="15" thickBot="1" x14ac:dyDescent="0.25">
      <c r="B15" s="50" t="s">
        <v>94</v>
      </c>
      <c r="C15" s="51">
        <v>50909</v>
      </c>
      <c r="D15" s="51"/>
      <c r="E15" s="101">
        <v>-149</v>
      </c>
      <c r="F15" s="52"/>
      <c r="G15" s="53" t="s">
        <v>99</v>
      </c>
      <c r="J15" s="306" t="s">
        <v>69</v>
      </c>
      <c r="K15" s="308"/>
      <c r="L15" s="307"/>
    </row>
    <row r="16" spans="2:12" x14ac:dyDescent="0.2">
      <c r="B16" s="50" t="s">
        <v>95</v>
      </c>
      <c r="C16" s="51"/>
      <c r="D16" s="51"/>
      <c r="E16" s="52"/>
      <c r="F16" s="101">
        <v>-765</v>
      </c>
      <c r="G16" s="90" t="s">
        <v>96</v>
      </c>
      <c r="J16" s="40" t="s">
        <v>70</v>
      </c>
      <c r="K16" s="19"/>
      <c r="L16" s="41">
        <v>43132</v>
      </c>
    </row>
    <row r="17" spans="2:13" x14ac:dyDescent="0.2">
      <c r="B17" s="50" t="s">
        <v>104</v>
      </c>
      <c r="C17" s="51">
        <v>85220</v>
      </c>
      <c r="D17" s="51"/>
      <c r="E17" s="101">
        <v>-149</v>
      </c>
      <c r="F17" s="52"/>
      <c r="G17" s="90" t="s">
        <v>138</v>
      </c>
      <c r="J17" s="40" t="s">
        <v>71</v>
      </c>
      <c r="K17" s="19"/>
      <c r="L17" s="41">
        <v>43282</v>
      </c>
    </row>
    <row r="18" spans="2:13" x14ac:dyDescent="0.2">
      <c r="B18" s="50" t="s">
        <v>105</v>
      </c>
      <c r="C18" s="51">
        <v>2014</v>
      </c>
      <c r="D18" s="51"/>
      <c r="E18" s="52"/>
      <c r="F18" s="52">
        <v>-1127</v>
      </c>
      <c r="G18" s="90" t="s">
        <v>106</v>
      </c>
      <c r="H18" s="22">
        <f>204.44+71.8+86+403.65+9+35.99+50+20+266+60+350+70.2+28.6+17.74+87.75+13.5</f>
        <v>1774.67</v>
      </c>
      <c r="I18" s="22"/>
      <c r="J18" s="40" t="s">
        <v>72</v>
      </c>
      <c r="K18" s="19"/>
      <c r="L18" s="41">
        <v>43435</v>
      </c>
    </row>
    <row r="19" spans="2:13" ht="15" thickBot="1" x14ac:dyDescent="0.25">
      <c r="B19" s="50" t="s">
        <v>128</v>
      </c>
      <c r="C19" s="51">
        <v>85220</v>
      </c>
      <c r="D19" s="51"/>
      <c r="E19" s="52"/>
      <c r="F19" s="101">
        <v>-800</v>
      </c>
      <c r="G19" s="90" t="s">
        <v>127</v>
      </c>
      <c r="J19" s="44"/>
      <c r="K19" s="42"/>
      <c r="L19" s="43"/>
    </row>
    <row r="20" spans="2:13" ht="15" thickBot="1" x14ac:dyDescent="0.25">
      <c r="B20" s="50" t="s">
        <v>109</v>
      </c>
      <c r="C20" s="51">
        <v>2014</v>
      </c>
      <c r="D20" s="51"/>
      <c r="E20" s="52"/>
      <c r="F20" s="101">
        <v>-1104</v>
      </c>
      <c r="G20" s="54" t="s">
        <v>110</v>
      </c>
      <c r="J20" s="91"/>
      <c r="K20" s="19"/>
      <c r="L20" s="19"/>
    </row>
    <row r="21" spans="2:13" ht="15" thickBot="1" x14ac:dyDescent="0.25">
      <c r="B21" s="50" t="s">
        <v>112</v>
      </c>
      <c r="C21" s="51">
        <v>2014</v>
      </c>
      <c r="D21" s="51"/>
      <c r="E21" s="52"/>
      <c r="F21" s="101">
        <v>-196</v>
      </c>
      <c r="G21" s="90" t="s">
        <v>111</v>
      </c>
      <c r="J21" s="306" t="s">
        <v>118</v>
      </c>
      <c r="K21" s="308"/>
      <c r="L21" s="95" t="s">
        <v>126</v>
      </c>
    </row>
    <row r="22" spans="2:13" x14ac:dyDescent="0.2">
      <c r="B22" s="50" t="s">
        <v>116</v>
      </c>
      <c r="C22" s="51"/>
      <c r="D22" s="51">
        <v>-1218</v>
      </c>
      <c r="E22" s="52"/>
      <c r="F22" s="52"/>
      <c r="G22" s="53" t="s">
        <v>115</v>
      </c>
      <c r="J22" s="86" t="s">
        <v>119</v>
      </c>
      <c r="K22" s="94">
        <v>26667</v>
      </c>
      <c r="L22" s="96" t="s">
        <v>122</v>
      </c>
      <c r="M22" t="s">
        <v>125</v>
      </c>
    </row>
    <row r="23" spans="2:13" x14ac:dyDescent="0.2">
      <c r="B23" s="50" t="s">
        <v>117</v>
      </c>
      <c r="C23" s="51">
        <v>85220</v>
      </c>
      <c r="D23" s="104">
        <v>-26667</v>
      </c>
      <c r="E23" s="52"/>
      <c r="F23" s="52"/>
      <c r="G23" s="90" t="s">
        <v>132</v>
      </c>
      <c r="J23" s="38" t="s">
        <v>120</v>
      </c>
      <c r="K23" s="92">
        <v>26667</v>
      </c>
      <c r="L23" s="97" t="s">
        <v>123</v>
      </c>
    </row>
    <row r="24" spans="2:13" s="22" customFormat="1" ht="15" thickBot="1" x14ac:dyDescent="0.25">
      <c r="B24" s="50" t="s">
        <v>210</v>
      </c>
      <c r="C24" s="51">
        <v>2732</v>
      </c>
      <c r="D24" s="115">
        <v>-26667</v>
      </c>
      <c r="E24" s="52"/>
      <c r="F24" s="52"/>
      <c r="G24" s="53" t="s">
        <v>211</v>
      </c>
      <c r="J24" s="116" t="s">
        <v>121</v>
      </c>
      <c r="K24" s="117">
        <v>26666</v>
      </c>
      <c r="L24" s="118" t="s">
        <v>124</v>
      </c>
    </row>
    <row r="25" spans="2:13" ht="15" thickBot="1" x14ac:dyDescent="0.25">
      <c r="B25" s="50" t="s">
        <v>136</v>
      </c>
      <c r="C25" s="51" t="s">
        <v>87</v>
      </c>
      <c r="D25" s="51">
        <v>-484</v>
      </c>
      <c r="E25" s="52"/>
      <c r="F25" s="52"/>
      <c r="G25" s="53" t="s">
        <v>135</v>
      </c>
      <c r="H25" s="106"/>
      <c r="J25" s="45" t="s">
        <v>65</v>
      </c>
      <c r="K25" s="93">
        <f>SUM(K22:K24)</f>
        <v>80000</v>
      </c>
      <c r="L25" s="98"/>
    </row>
    <row r="26" spans="2:13" x14ac:dyDescent="0.2">
      <c r="B26" s="50" t="s">
        <v>151</v>
      </c>
      <c r="C26" s="51"/>
      <c r="D26" s="51"/>
      <c r="E26" s="52">
        <v>-2112</v>
      </c>
      <c r="F26" s="52"/>
      <c r="G26" s="53" t="s">
        <v>150</v>
      </c>
      <c r="H26" s="99" t="s">
        <v>153</v>
      </c>
      <c r="J26" s="91"/>
      <c r="K26" s="19"/>
      <c r="L26" s="19"/>
    </row>
    <row r="27" spans="2:13" x14ac:dyDescent="0.2">
      <c r="B27" s="50" t="s">
        <v>151</v>
      </c>
      <c r="C27" s="51" t="s">
        <v>87</v>
      </c>
      <c r="D27" s="51">
        <v>-1738</v>
      </c>
      <c r="E27" s="52"/>
      <c r="F27" s="52"/>
      <c r="G27" s="53" t="s">
        <v>152</v>
      </c>
      <c r="J27" s="91"/>
      <c r="K27" s="19"/>
      <c r="L27" s="19"/>
    </row>
    <row r="28" spans="2:13" x14ac:dyDescent="0.2">
      <c r="B28" s="50" t="s">
        <v>154</v>
      </c>
      <c r="C28" s="51" t="s">
        <v>87</v>
      </c>
      <c r="D28" s="51">
        <v>-880</v>
      </c>
      <c r="E28" s="52"/>
      <c r="F28" s="52"/>
      <c r="G28" s="53" t="s">
        <v>155</v>
      </c>
      <c r="J28" s="91"/>
      <c r="K28" s="19"/>
      <c r="L28" s="19"/>
    </row>
    <row r="29" spans="2:13" x14ac:dyDescent="0.2">
      <c r="B29" s="50" t="s">
        <v>161</v>
      </c>
      <c r="C29" s="51" t="s">
        <v>87</v>
      </c>
      <c r="D29" s="51">
        <v>-1122</v>
      </c>
      <c r="E29" s="52"/>
      <c r="F29" s="52"/>
      <c r="G29" s="53" t="s">
        <v>162</v>
      </c>
      <c r="J29" s="91"/>
      <c r="K29" s="19"/>
      <c r="L29" s="19"/>
    </row>
    <row r="30" spans="2:13" x14ac:dyDescent="0.2">
      <c r="B30" s="50" t="s">
        <v>165</v>
      </c>
      <c r="C30" s="51" t="s">
        <v>87</v>
      </c>
      <c r="D30" s="51">
        <v>-2858</v>
      </c>
      <c r="E30" s="52"/>
      <c r="F30" s="52"/>
      <c r="G30" s="53" t="s">
        <v>166</v>
      </c>
      <c r="J30" s="91"/>
      <c r="K30" s="19"/>
      <c r="L30" s="19"/>
    </row>
    <row r="31" spans="2:13" x14ac:dyDescent="0.2">
      <c r="B31" s="50" t="s">
        <v>185</v>
      </c>
      <c r="C31" s="51" t="s">
        <v>87</v>
      </c>
      <c r="D31" s="51">
        <v>-111</v>
      </c>
      <c r="E31" s="52"/>
      <c r="F31" s="52"/>
      <c r="G31" s="53" t="s">
        <v>187</v>
      </c>
      <c r="J31" s="91"/>
      <c r="K31" s="19"/>
      <c r="L31" s="19"/>
    </row>
    <row r="32" spans="2:13" x14ac:dyDescent="0.2">
      <c r="B32" s="50" t="s">
        <v>191</v>
      </c>
      <c r="C32" s="51">
        <v>2732</v>
      </c>
      <c r="D32" s="51"/>
      <c r="E32" s="52"/>
      <c r="F32" s="52">
        <v>-295</v>
      </c>
      <c r="G32" s="53" t="s">
        <v>268</v>
      </c>
      <c r="J32" s="91"/>
      <c r="K32" s="19"/>
      <c r="L32" s="19"/>
    </row>
    <row r="33" spans="2:12" x14ac:dyDescent="0.2">
      <c r="B33" s="50" t="s">
        <v>194</v>
      </c>
      <c r="C33" s="51">
        <v>2732</v>
      </c>
      <c r="D33" s="51"/>
      <c r="E33" s="52"/>
      <c r="F33" s="52">
        <v>-47</v>
      </c>
      <c r="G33" s="53" t="s">
        <v>269</v>
      </c>
      <c r="J33" s="91"/>
      <c r="K33" s="19"/>
      <c r="L33" s="19"/>
    </row>
    <row r="34" spans="2:12" x14ac:dyDescent="0.2">
      <c r="B34" s="50" t="s">
        <v>97</v>
      </c>
      <c r="C34" s="51"/>
      <c r="D34" s="51"/>
      <c r="E34" s="104">
        <v>-2896</v>
      </c>
      <c r="F34" s="52"/>
      <c r="G34" s="53" t="s">
        <v>195</v>
      </c>
      <c r="J34" s="91"/>
      <c r="K34" s="19"/>
      <c r="L34" s="19"/>
    </row>
    <row r="35" spans="2:12" x14ac:dyDescent="0.2">
      <c r="B35" s="50" t="s">
        <v>97</v>
      </c>
      <c r="C35" s="51"/>
      <c r="D35" s="51"/>
      <c r="E35" s="104">
        <v>-2896</v>
      </c>
      <c r="F35" s="52"/>
      <c r="G35" s="53" t="s">
        <v>196</v>
      </c>
      <c r="J35" s="91"/>
      <c r="K35" s="19"/>
      <c r="L35" s="19"/>
    </row>
    <row r="36" spans="2:12" x14ac:dyDescent="0.2">
      <c r="B36" s="50" t="s">
        <v>97</v>
      </c>
      <c r="C36" s="51"/>
      <c r="D36" s="51"/>
      <c r="E36" s="104">
        <v>-2896</v>
      </c>
      <c r="F36" s="52"/>
      <c r="G36" s="53" t="s">
        <v>197</v>
      </c>
      <c r="J36" s="91"/>
      <c r="K36" s="19"/>
      <c r="L36" s="19"/>
    </row>
    <row r="37" spans="2:12" x14ac:dyDescent="0.2">
      <c r="B37" s="50" t="s">
        <v>156</v>
      </c>
      <c r="C37" s="51"/>
      <c r="D37" s="51"/>
      <c r="E37" s="52">
        <v>-97</v>
      </c>
      <c r="F37" s="52"/>
      <c r="G37" s="53" t="s">
        <v>198</v>
      </c>
      <c r="J37" s="91"/>
      <c r="K37" s="19"/>
      <c r="L37" s="19"/>
    </row>
    <row r="38" spans="2:12" x14ac:dyDescent="0.2">
      <c r="B38" s="50" t="s">
        <v>202</v>
      </c>
      <c r="C38" s="51"/>
      <c r="D38" s="51"/>
      <c r="E38" s="52">
        <v>-1085</v>
      </c>
      <c r="F38" s="52"/>
      <c r="G38" s="53" t="s">
        <v>220</v>
      </c>
      <c r="J38" s="91"/>
      <c r="K38" s="19"/>
      <c r="L38" s="19"/>
    </row>
    <row r="39" spans="2:12" x14ac:dyDescent="0.2">
      <c r="B39" s="50" t="s">
        <v>218</v>
      </c>
      <c r="C39" s="51"/>
      <c r="D39" s="51">
        <v>-1323</v>
      </c>
      <c r="E39" s="52">
        <v>-518</v>
      </c>
      <c r="F39" s="52"/>
      <c r="G39" s="53" t="s">
        <v>219</v>
      </c>
      <c r="J39" s="91"/>
      <c r="K39" s="19"/>
      <c r="L39" s="19"/>
    </row>
    <row r="40" spans="2:12" x14ac:dyDescent="0.2">
      <c r="B40" s="50"/>
      <c r="C40" s="55"/>
      <c r="D40" s="55"/>
      <c r="E40" s="52"/>
      <c r="F40" s="52"/>
      <c r="G40" s="53"/>
      <c r="J40" s="91"/>
      <c r="K40" s="19"/>
      <c r="L40" s="19"/>
    </row>
    <row r="41" spans="2:12" x14ac:dyDescent="0.2">
      <c r="B41" s="56" t="s">
        <v>77</v>
      </c>
      <c r="C41" s="57"/>
      <c r="D41" s="57">
        <f>SUM(D8:D40)</f>
        <v>-65000</v>
      </c>
      <c r="E41" s="58">
        <f>SUM(E8:E40)</f>
        <v>-15731</v>
      </c>
      <c r="F41" s="58">
        <f>SUM(F8:F40)</f>
        <v>-5813</v>
      </c>
      <c r="G41" s="82">
        <f>F41+E41+D41</f>
        <v>-86544</v>
      </c>
      <c r="J41" s="91"/>
      <c r="K41" s="19"/>
      <c r="L41" s="19"/>
    </row>
    <row r="42" spans="2:12" ht="15" x14ac:dyDescent="0.25">
      <c r="B42" s="59" t="s">
        <v>78</v>
      </c>
      <c r="C42" s="60"/>
      <c r="D42" s="61">
        <v>65000</v>
      </c>
      <c r="E42" s="62">
        <v>16000</v>
      </c>
      <c r="F42" s="62">
        <v>5500</v>
      </c>
      <c r="G42" s="63">
        <f>F42+E42+D42</f>
        <v>86500</v>
      </c>
    </row>
    <row r="43" spans="2:12" ht="15" thickBot="1" x14ac:dyDescent="0.25">
      <c r="B43" s="75" t="s">
        <v>79</v>
      </c>
      <c r="C43" s="76"/>
      <c r="D43" s="64">
        <f>D41+D42</f>
        <v>0</v>
      </c>
      <c r="E43" s="65">
        <f>E42+E41</f>
        <v>269</v>
      </c>
      <c r="F43" s="65">
        <f>F42+F41</f>
        <v>-313</v>
      </c>
      <c r="G43" s="66">
        <f>D43+E43+F43</f>
        <v>-44</v>
      </c>
    </row>
    <row r="44" spans="2:12" ht="15.75" thickBot="1" x14ac:dyDescent="0.3">
      <c r="B44" s="77" t="s">
        <v>83</v>
      </c>
      <c r="C44" s="78">
        <f>G42+G41</f>
        <v>-44</v>
      </c>
      <c r="D44" s="100"/>
      <c r="E44" s="102"/>
    </row>
    <row r="45" spans="2:12" s="22" customFormat="1" ht="15" x14ac:dyDescent="0.25">
      <c r="B45" s="109"/>
      <c r="C45" s="110" t="s">
        <v>67</v>
      </c>
      <c r="D45" s="111">
        <f>D30+D29+D28+D27+D25+D22+D14+D12+E10+E26</f>
        <v>-14925</v>
      </c>
      <c r="E45" s="112">
        <f>F41+E41+D41-D45-D23</f>
        <v>-44952</v>
      </c>
    </row>
    <row r="46" spans="2:12" x14ac:dyDescent="0.2">
      <c r="E46" s="102"/>
    </row>
    <row r="47" spans="2:12" x14ac:dyDescent="0.2">
      <c r="B47" s="6" t="s">
        <v>3</v>
      </c>
    </row>
    <row r="48" spans="2:12" x14ac:dyDescent="0.2">
      <c r="B48" s="7" t="s">
        <v>4</v>
      </c>
      <c r="C48" s="7" t="s">
        <v>5</v>
      </c>
      <c r="D48" s="7" t="s">
        <v>6</v>
      </c>
      <c r="E48" s="7" t="s">
        <v>7</v>
      </c>
      <c r="F48" s="7" t="s">
        <v>8</v>
      </c>
      <c r="G48" s="7" t="s">
        <v>9</v>
      </c>
      <c r="H48" s="7" t="s">
        <v>10</v>
      </c>
      <c r="I48" s="8" t="s">
        <v>11</v>
      </c>
    </row>
    <row r="49" spans="2:9" x14ac:dyDescent="0.2">
      <c r="B49" s="9" t="s">
        <v>52</v>
      </c>
      <c r="C49" s="10"/>
      <c r="D49" s="10" t="s">
        <v>53</v>
      </c>
      <c r="E49" s="12" t="s">
        <v>54</v>
      </c>
      <c r="F49" s="32" t="s">
        <v>172</v>
      </c>
      <c r="G49" s="11">
        <v>1591</v>
      </c>
      <c r="H49" s="14">
        <v>25950</v>
      </c>
      <c r="I49" s="12" t="s">
        <v>12</v>
      </c>
    </row>
    <row r="50" spans="2:9" x14ac:dyDescent="0.2">
      <c r="B50" s="34" t="s">
        <v>170</v>
      </c>
      <c r="C50" s="35"/>
      <c r="D50" s="35" t="s">
        <v>53</v>
      </c>
      <c r="E50" s="33" t="s">
        <v>54</v>
      </c>
      <c r="F50" s="36" t="s">
        <v>173</v>
      </c>
      <c r="G50" s="35">
        <v>1668</v>
      </c>
      <c r="H50" s="37">
        <v>25950</v>
      </c>
      <c r="I50" s="33" t="s">
        <v>270</v>
      </c>
    </row>
    <row r="51" spans="2:9" x14ac:dyDescent="0.2">
      <c r="B51" s="9" t="s">
        <v>237</v>
      </c>
      <c r="C51" s="12"/>
      <c r="D51" s="11" t="s">
        <v>53</v>
      </c>
      <c r="E51" s="12" t="s">
        <v>54</v>
      </c>
      <c r="F51" s="114" t="s">
        <v>174</v>
      </c>
      <c r="G51" s="12">
        <v>1702</v>
      </c>
      <c r="H51" s="236">
        <v>34600</v>
      </c>
      <c r="I51" s="12" t="s">
        <v>493</v>
      </c>
    </row>
    <row r="52" spans="2:9" x14ac:dyDescent="0.2">
      <c r="B52" s="16"/>
      <c r="C52" s="16"/>
      <c r="D52" s="16"/>
      <c r="E52" s="16"/>
      <c r="F52" s="16"/>
      <c r="G52" s="16"/>
      <c r="H52" s="17">
        <f>SUM(H49:H51)</f>
        <v>86500</v>
      </c>
      <c r="I52" s="16"/>
    </row>
    <row r="53" spans="2:9" ht="15" thickBot="1" x14ac:dyDescent="0.25"/>
    <row r="54" spans="2:9" x14ac:dyDescent="0.2">
      <c r="B54" s="84" t="s">
        <v>90</v>
      </c>
      <c r="C54" s="85">
        <f>H52</f>
        <v>86500</v>
      </c>
    </row>
    <row r="55" spans="2:9" x14ac:dyDescent="0.2">
      <c r="B55" s="86" t="s">
        <v>91</v>
      </c>
      <c r="C55" s="87">
        <f>G41</f>
        <v>-86544</v>
      </c>
    </row>
    <row r="56" spans="2:9" ht="15" thickBot="1" x14ac:dyDescent="0.25">
      <c r="B56" s="88" t="s">
        <v>83</v>
      </c>
      <c r="C56" s="89">
        <f>C54+C55</f>
        <v>-44</v>
      </c>
    </row>
  </sheetData>
  <mergeCells count="4">
    <mergeCell ref="J2:K2"/>
    <mergeCell ref="J9:K9"/>
    <mergeCell ref="J15:L15"/>
    <mergeCell ref="J21:K2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rightToLeft="1" workbookViewId="0">
      <selection activeCell="I31" sqref="I31"/>
    </sheetView>
  </sheetViews>
  <sheetFormatPr defaultRowHeight="14.25" x14ac:dyDescent="0.2"/>
  <cols>
    <col min="10" max="10" width="38.625" bestFit="1" customWidth="1"/>
  </cols>
  <sheetData>
    <row r="1" spans="1:10" x14ac:dyDescent="0.2">
      <c r="G1" s="47"/>
    </row>
    <row r="2" spans="1:10" x14ac:dyDescent="0.2">
      <c r="A2" s="54" t="s">
        <v>50</v>
      </c>
      <c r="B2" s="53">
        <v>-787</v>
      </c>
      <c r="C2" s="53" t="s">
        <v>88</v>
      </c>
      <c r="H2" t="s">
        <v>49</v>
      </c>
    </row>
    <row r="3" spans="1:10" x14ac:dyDescent="0.2">
      <c r="A3" s="50" t="s">
        <v>55</v>
      </c>
      <c r="B3" s="51">
        <v>-1145</v>
      </c>
      <c r="C3" s="53" t="s">
        <v>89</v>
      </c>
      <c r="H3" s="50" t="s">
        <v>48</v>
      </c>
      <c r="I3" s="101">
        <v>-857</v>
      </c>
      <c r="J3" s="79" t="s">
        <v>85</v>
      </c>
    </row>
    <row r="4" spans="1:10" x14ac:dyDescent="0.2">
      <c r="A4" s="50"/>
      <c r="B4" s="120">
        <f>SUM(B2:B3)</f>
        <v>-1932</v>
      </c>
      <c r="C4" s="53"/>
      <c r="H4" s="54" t="s">
        <v>50</v>
      </c>
      <c r="I4" s="101">
        <v>-622</v>
      </c>
      <c r="J4" s="53" t="s">
        <v>98</v>
      </c>
    </row>
    <row r="5" spans="1:10" x14ac:dyDescent="0.2">
      <c r="A5" s="50" t="s">
        <v>116</v>
      </c>
      <c r="B5" s="51">
        <v>-1218</v>
      </c>
      <c r="C5" s="53" t="s">
        <v>115</v>
      </c>
      <c r="H5" s="50" t="s">
        <v>95</v>
      </c>
      <c r="I5" s="101">
        <v>-765</v>
      </c>
      <c r="J5" s="90" t="s">
        <v>96</v>
      </c>
    </row>
    <row r="6" spans="1:10" x14ac:dyDescent="0.2">
      <c r="A6" s="50" t="s">
        <v>136</v>
      </c>
      <c r="B6" s="51">
        <v>-484</v>
      </c>
      <c r="C6" s="53" t="s">
        <v>135</v>
      </c>
      <c r="H6" s="50" t="s">
        <v>105</v>
      </c>
      <c r="I6" s="101">
        <v>-1127</v>
      </c>
      <c r="J6" s="90" t="s">
        <v>106</v>
      </c>
    </row>
    <row r="7" spans="1:10" x14ac:dyDescent="0.2">
      <c r="A7" s="50" t="s">
        <v>151</v>
      </c>
      <c r="B7" s="51">
        <v>-1738</v>
      </c>
      <c r="C7" s="53" t="s">
        <v>152</v>
      </c>
      <c r="H7" s="50" t="s">
        <v>128</v>
      </c>
      <c r="I7" s="101">
        <v>-800</v>
      </c>
      <c r="J7" s="90" t="s">
        <v>127</v>
      </c>
    </row>
    <row r="8" spans="1:10" x14ac:dyDescent="0.2">
      <c r="A8" s="50" t="s">
        <v>154</v>
      </c>
      <c r="B8" s="51">
        <v>-880</v>
      </c>
      <c r="C8" s="53" t="s">
        <v>155</v>
      </c>
      <c r="H8" s="50" t="s">
        <v>109</v>
      </c>
      <c r="I8" s="101">
        <v>-1104</v>
      </c>
      <c r="J8" s="54" t="s">
        <v>110</v>
      </c>
    </row>
    <row r="9" spans="1:10" x14ac:dyDescent="0.2">
      <c r="A9" s="50" t="s">
        <v>161</v>
      </c>
      <c r="B9" s="51">
        <v>-1122</v>
      </c>
      <c r="C9" s="53" t="s">
        <v>162</v>
      </c>
      <c r="H9" s="50" t="s">
        <v>112</v>
      </c>
      <c r="I9" s="101">
        <v>-196</v>
      </c>
      <c r="J9" s="90" t="s">
        <v>111</v>
      </c>
    </row>
    <row r="10" spans="1:10" ht="15" x14ac:dyDescent="0.25">
      <c r="B10" s="122">
        <f>SUM(B5:B9)</f>
        <v>-5442</v>
      </c>
      <c r="H10" s="50" t="s">
        <v>191</v>
      </c>
      <c r="I10" s="52">
        <v>-295</v>
      </c>
      <c r="J10" s="53" t="s">
        <v>192</v>
      </c>
    </row>
    <row r="11" spans="1:10" x14ac:dyDescent="0.2">
      <c r="A11" s="50" t="s">
        <v>165</v>
      </c>
      <c r="B11" s="51">
        <v>-2858</v>
      </c>
      <c r="C11" s="53" t="s">
        <v>166</v>
      </c>
      <c r="H11" s="50" t="s">
        <v>194</v>
      </c>
      <c r="I11" s="52">
        <v>-47</v>
      </c>
      <c r="J11" s="53" t="s">
        <v>193</v>
      </c>
    </row>
    <row r="12" spans="1:10" x14ac:dyDescent="0.2">
      <c r="A12" s="50" t="s">
        <v>185</v>
      </c>
      <c r="B12" s="51">
        <v>-111</v>
      </c>
      <c r="C12" s="53" t="s">
        <v>187</v>
      </c>
      <c r="I12" s="102">
        <f>SUM(I3:I11)</f>
        <v>-5813</v>
      </c>
    </row>
    <row r="13" spans="1:10" x14ac:dyDescent="0.2">
      <c r="A13" s="50"/>
      <c r="B13" s="120">
        <f>SUM(B11:B12)</f>
        <v>-2969</v>
      </c>
      <c r="C13" s="53"/>
    </row>
    <row r="14" spans="1:10" x14ac:dyDescent="0.2">
      <c r="A14" s="50" t="s">
        <v>218</v>
      </c>
      <c r="B14" s="51">
        <v>-1323</v>
      </c>
      <c r="C14" s="53" t="s">
        <v>219</v>
      </c>
      <c r="G14" s="22"/>
      <c r="H14" s="48" t="s">
        <v>4</v>
      </c>
      <c r="I14" s="48" t="s">
        <v>47</v>
      </c>
      <c r="J14" s="48" t="s">
        <v>51</v>
      </c>
    </row>
    <row r="15" spans="1:10" x14ac:dyDescent="0.2">
      <c r="A15" s="22"/>
      <c r="G15" s="106"/>
      <c r="H15" s="80" t="s">
        <v>46</v>
      </c>
      <c r="I15" s="101">
        <v>-203</v>
      </c>
      <c r="J15" s="81" t="s">
        <v>84</v>
      </c>
    </row>
    <row r="16" spans="1:10" x14ac:dyDescent="0.2">
      <c r="G16" s="106"/>
      <c r="H16" s="54" t="s">
        <v>50</v>
      </c>
      <c r="I16" s="81">
        <v>-2581</v>
      </c>
      <c r="J16" s="53" t="s">
        <v>86</v>
      </c>
    </row>
    <row r="17" spans="1:10" x14ac:dyDescent="0.2">
      <c r="A17" s="50" t="s">
        <v>117</v>
      </c>
      <c r="B17" s="104">
        <v>-26667</v>
      </c>
      <c r="C17" s="90" t="s">
        <v>132</v>
      </c>
      <c r="H17" s="50" t="s">
        <v>50</v>
      </c>
      <c r="I17" s="101">
        <v>-149</v>
      </c>
      <c r="J17" s="53" t="s">
        <v>137</v>
      </c>
    </row>
    <row r="18" spans="1:10" x14ac:dyDescent="0.2">
      <c r="A18" s="50" t="s">
        <v>210</v>
      </c>
      <c r="B18" s="115">
        <v>-26667</v>
      </c>
      <c r="C18" s="53" t="s">
        <v>211</v>
      </c>
      <c r="H18" s="50" t="s">
        <v>94</v>
      </c>
      <c r="I18" s="101">
        <v>-149</v>
      </c>
      <c r="J18" s="53" t="s">
        <v>99</v>
      </c>
    </row>
    <row r="19" spans="1:10" ht="15" x14ac:dyDescent="0.25">
      <c r="B19" s="121">
        <f>SUM(B17:B18)</f>
        <v>-53334</v>
      </c>
      <c r="H19" s="50" t="s">
        <v>104</v>
      </c>
      <c r="I19" s="101">
        <v>-149</v>
      </c>
      <c r="J19" s="90" t="s">
        <v>138</v>
      </c>
    </row>
    <row r="20" spans="1:10" x14ac:dyDescent="0.2">
      <c r="H20" s="50" t="s">
        <v>151</v>
      </c>
      <c r="I20" s="52">
        <v>-2112</v>
      </c>
      <c r="J20" s="53" t="s">
        <v>150</v>
      </c>
    </row>
    <row r="21" spans="1:10" x14ac:dyDescent="0.2">
      <c r="B21" s="100">
        <f>B19+B13+B10+B4+B14</f>
        <v>-65000</v>
      </c>
      <c r="H21" s="50" t="s">
        <v>97</v>
      </c>
      <c r="I21" s="104">
        <v>-2896</v>
      </c>
      <c r="J21" s="53" t="s">
        <v>195</v>
      </c>
    </row>
    <row r="22" spans="1:10" x14ac:dyDescent="0.2">
      <c r="H22" s="50" t="s">
        <v>97</v>
      </c>
      <c r="I22" s="104">
        <v>-2896</v>
      </c>
      <c r="J22" s="53" t="s">
        <v>196</v>
      </c>
    </row>
    <row r="23" spans="1:10" x14ac:dyDescent="0.2">
      <c r="H23" s="50" t="s">
        <v>97</v>
      </c>
      <c r="I23" s="104">
        <v>-2896</v>
      </c>
      <c r="J23" s="53" t="s">
        <v>197</v>
      </c>
    </row>
    <row r="24" spans="1:10" x14ac:dyDescent="0.2">
      <c r="H24" s="50" t="s">
        <v>156</v>
      </c>
      <c r="I24" s="52">
        <v>-97</v>
      </c>
      <c r="J24" s="53" t="s">
        <v>198</v>
      </c>
    </row>
    <row r="25" spans="1:10" x14ac:dyDescent="0.2">
      <c r="H25" s="50" t="s">
        <v>202</v>
      </c>
      <c r="I25" s="52">
        <v>-1085</v>
      </c>
      <c r="J25" s="53" t="s">
        <v>220</v>
      </c>
    </row>
    <row r="26" spans="1:10" x14ac:dyDescent="0.2">
      <c r="H26" s="50" t="s">
        <v>218</v>
      </c>
      <c r="I26" s="52">
        <v>-518</v>
      </c>
      <c r="J26" s="53" t="s">
        <v>219</v>
      </c>
    </row>
    <row r="27" spans="1:10" ht="19.5" x14ac:dyDescent="0.55000000000000004">
      <c r="I27" s="123">
        <f>SUM(I15:I26)</f>
        <v>-15731</v>
      </c>
    </row>
    <row r="30" spans="1:10" x14ac:dyDescent="0.2">
      <c r="I30" s="102">
        <f>I27+I12+B21</f>
        <v>-86544</v>
      </c>
    </row>
  </sheetData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rightToLeft="1" topLeftCell="A16" workbookViewId="0">
      <selection activeCell="F34" sqref="F34"/>
    </sheetView>
  </sheetViews>
  <sheetFormatPr defaultRowHeight="14.25" x14ac:dyDescent="0.2"/>
  <cols>
    <col min="1" max="1" width="21.5" customWidth="1"/>
    <col min="2" max="2" width="30.625" customWidth="1"/>
    <col min="3" max="3" width="17.75" customWidth="1"/>
    <col min="6" max="6" width="38.875" bestFit="1" customWidth="1"/>
    <col min="257" max="257" width="21.5" customWidth="1"/>
    <col min="258" max="258" width="30.625" customWidth="1"/>
    <col min="259" max="259" width="17.75" customWidth="1"/>
    <col min="513" max="513" width="21.5" customWidth="1"/>
    <col min="514" max="514" width="30.625" customWidth="1"/>
    <col min="515" max="515" width="17.75" customWidth="1"/>
    <col min="769" max="769" width="21.5" customWidth="1"/>
    <col min="770" max="770" width="30.625" customWidth="1"/>
    <col min="771" max="771" width="17.75" customWidth="1"/>
    <col min="1025" max="1025" width="21.5" customWidth="1"/>
    <col min="1026" max="1026" width="30.625" customWidth="1"/>
    <col min="1027" max="1027" width="17.75" customWidth="1"/>
    <col min="1281" max="1281" width="21.5" customWidth="1"/>
    <col min="1282" max="1282" width="30.625" customWidth="1"/>
    <col min="1283" max="1283" width="17.75" customWidth="1"/>
    <col min="1537" max="1537" width="21.5" customWidth="1"/>
    <col min="1538" max="1538" width="30.625" customWidth="1"/>
    <col min="1539" max="1539" width="17.75" customWidth="1"/>
    <col min="1793" max="1793" width="21.5" customWidth="1"/>
    <col min="1794" max="1794" width="30.625" customWidth="1"/>
    <col min="1795" max="1795" width="17.75" customWidth="1"/>
    <col min="2049" max="2049" width="21.5" customWidth="1"/>
    <col min="2050" max="2050" width="30.625" customWidth="1"/>
    <col min="2051" max="2051" width="17.75" customWidth="1"/>
    <col min="2305" max="2305" width="21.5" customWidth="1"/>
    <col min="2306" max="2306" width="30.625" customWidth="1"/>
    <col min="2307" max="2307" width="17.75" customWidth="1"/>
    <col min="2561" max="2561" width="21.5" customWidth="1"/>
    <col min="2562" max="2562" width="30.625" customWidth="1"/>
    <col min="2563" max="2563" width="17.75" customWidth="1"/>
    <col min="2817" max="2817" width="21.5" customWidth="1"/>
    <col min="2818" max="2818" width="30.625" customWidth="1"/>
    <col min="2819" max="2819" width="17.75" customWidth="1"/>
    <col min="3073" max="3073" width="21.5" customWidth="1"/>
    <col min="3074" max="3074" width="30.625" customWidth="1"/>
    <col min="3075" max="3075" width="17.75" customWidth="1"/>
    <col min="3329" max="3329" width="21.5" customWidth="1"/>
    <col min="3330" max="3330" width="30.625" customWidth="1"/>
    <col min="3331" max="3331" width="17.75" customWidth="1"/>
    <col min="3585" max="3585" width="21.5" customWidth="1"/>
    <col min="3586" max="3586" width="30.625" customWidth="1"/>
    <col min="3587" max="3587" width="17.75" customWidth="1"/>
    <col min="3841" max="3841" width="21.5" customWidth="1"/>
    <col min="3842" max="3842" width="30.625" customWidth="1"/>
    <col min="3843" max="3843" width="17.75" customWidth="1"/>
    <col min="4097" max="4097" width="21.5" customWidth="1"/>
    <col min="4098" max="4098" width="30.625" customWidth="1"/>
    <col min="4099" max="4099" width="17.75" customWidth="1"/>
    <col min="4353" max="4353" width="21.5" customWidth="1"/>
    <col min="4354" max="4354" width="30.625" customWidth="1"/>
    <col min="4355" max="4355" width="17.75" customWidth="1"/>
    <col min="4609" max="4609" width="21.5" customWidth="1"/>
    <col min="4610" max="4610" width="30.625" customWidth="1"/>
    <col min="4611" max="4611" width="17.75" customWidth="1"/>
    <col min="4865" max="4865" width="21.5" customWidth="1"/>
    <col min="4866" max="4866" width="30.625" customWidth="1"/>
    <col min="4867" max="4867" width="17.75" customWidth="1"/>
    <col min="5121" max="5121" width="21.5" customWidth="1"/>
    <col min="5122" max="5122" width="30.625" customWidth="1"/>
    <col min="5123" max="5123" width="17.75" customWidth="1"/>
    <col min="5377" max="5377" width="21.5" customWidth="1"/>
    <col min="5378" max="5378" width="30.625" customWidth="1"/>
    <col min="5379" max="5379" width="17.75" customWidth="1"/>
    <col min="5633" max="5633" width="21.5" customWidth="1"/>
    <col min="5634" max="5634" width="30.625" customWidth="1"/>
    <col min="5635" max="5635" width="17.75" customWidth="1"/>
    <col min="5889" max="5889" width="21.5" customWidth="1"/>
    <col min="5890" max="5890" width="30.625" customWidth="1"/>
    <col min="5891" max="5891" width="17.75" customWidth="1"/>
    <col min="6145" max="6145" width="21.5" customWidth="1"/>
    <col min="6146" max="6146" width="30.625" customWidth="1"/>
    <col min="6147" max="6147" width="17.75" customWidth="1"/>
    <col min="6401" max="6401" width="21.5" customWidth="1"/>
    <col min="6402" max="6402" width="30.625" customWidth="1"/>
    <col min="6403" max="6403" width="17.75" customWidth="1"/>
    <col min="6657" max="6657" width="21.5" customWidth="1"/>
    <col min="6658" max="6658" width="30.625" customWidth="1"/>
    <col min="6659" max="6659" width="17.75" customWidth="1"/>
    <col min="6913" max="6913" width="21.5" customWidth="1"/>
    <col min="6914" max="6914" width="30.625" customWidth="1"/>
    <col min="6915" max="6915" width="17.75" customWidth="1"/>
    <col min="7169" max="7169" width="21.5" customWidth="1"/>
    <col min="7170" max="7170" width="30.625" customWidth="1"/>
    <col min="7171" max="7171" width="17.75" customWidth="1"/>
    <col min="7425" max="7425" width="21.5" customWidth="1"/>
    <col min="7426" max="7426" width="30.625" customWidth="1"/>
    <col min="7427" max="7427" width="17.75" customWidth="1"/>
    <col min="7681" max="7681" width="21.5" customWidth="1"/>
    <col min="7682" max="7682" width="30.625" customWidth="1"/>
    <col min="7683" max="7683" width="17.75" customWidth="1"/>
    <col min="7937" max="7937" width="21.5" customWidth="1"/>
    <col min="7938" max="7938" width="30.625" customWidth="1"/>
    <col min="7939" max="7939" width="17.75" customWidth="1"/>
    <col min="8193" max="8193" width="21.5" customWidth="1"/>
    <col min="8194" max="8194" width="30.625" customWidth="1"/>
    <col min="8195" max="8195" width="17.75" customWidth="1"/>
    <col min="8449" max="8449" width="21.5" customWidth="1"/>
    <col min="8450" max="8450" width="30.625" customWidth="1"/>
    <col min="8451" max="8451" width="17.75" customWidth="1"/>
    <col min="8705" max="8705" width="21.5" customWidth="1"/>
    <col min="8706" max="8706" width="30.625" customWidth="1"/>
    <col min="8707" max="8707" width="17.75" customWidth="1"/>
    <col min="8961" max="8961" width="21.5" customWidth="1"/>
    <col min="8962" max="8962" width="30.625" customWidth="1"/>
    <col min="8963" max="8963" width="17.75" customWidth="1"/>
    <col min="9217" max="9217" width="21.5" customWidth="1"/>
    <col min="9218" max="9218" width="30.625" customWidth="1"/>
    <col min="9219" max="9219" width="17.75" customWidth="1"/>
    <col min="9473" max="9473" width="21.5" customWidth="1"/>
    <col min="9474" max="9474" width="30.625" customWidth="1"/>
    <col min="9475" max="9475" width="17.75" customWidth="1"/>
    <col min="9729" max="9729" width="21.5" customWidth="1"/>
    <col min="9730" max="9730" width="30.625" customWidth="1"/>
    <col min="9731" max="9731" width="17.75" customWidth="1"/>
    <col min="9985" max="9985" width="21.5" customWidth="1"/>
    <col min="9986" max="9986" width="30.625" customWidth="1"/>
    <col min="9987" max="9987" width="17.75" customWidth="1"/>
    <col min="10241" max="10241" width="21.5" customWidth="1"/>
    <col min="10242" max="10242" width="30.625" customWidth="1"/>
    <col min="10243" max="10243" width="17.75" customWidth="1"/>
    <col min="10497" max="10497" width="21.5" customWidth="1"/>
    <col min="10498" max="10498" width="30.625" customWidth="1"/>
    <col min="10499" max="10499" width="17.75" customWidth="1"/>
    <col min="10753" max="10753" width="21.5" customWidth="1"/>
    <col min="10754" max="10754" width="30.625" customWidth="1"/>
    <col min="10755" max="10755" width="17.75" customWidth="1"/>
    <col min="11009" max="11009" width="21.5" customWidth="1"/>
    <col min="11010" max="11010" width="30.625" customWidth="1"/>
    <col min="11011" max="11011" width="17.75" customWidth="1"/>
    <col min="11265" max="11265" width="21.5" customWidth="1"/>
    <col min="11266" max="11266" width="30.625" customWidth="1"/>
    <col min="11267" max="11267" width="17.75" customWidth="1"/>
    <col min="11521" max="11521" width="21.5" customWidth="1"/>
    <col min="11522" max="11522" width="30.625" customWidth="1"/>
    <col min="11523" max="11523" width="17.75" customWidth="1"/>
    <col min="11777" max="11777" width="21.5" customWidth="1"/>
    <col min="11778" max="11778" width="30.625" customWidth="1"/>
    <col min="11779" max="11779" width="17.75" customWidth="1"/>
    <col min="12033" max="12033" width="21.5" customWidth="1"/>
    <col min="12034" max="12034" width="30.625" customWidth="1"/>
    <col min="12035" max="12035" width="17.75" customWidth="1"/>
    <col min="12289" max="12289" width="21.5" customWidth="1"/>
    <col min="12290" max="12290" width="30.625" customWidth="1"/>
    <col min="12291" max="12291" width="17.75" customWidth="1"/>
    <col min="12545" max="12545" width="21.5" customWidth="1"/>
    <col min="12546" max="12546" width="30.625" customWidth="1"/>
    <col min="12547" max="12547" width="17.75" customWidth="1"/>
    <col min="12801" max="12801" width="21.5" customWidth="1"/>
    <col min="12802" max="12802" width="30.625" customWidth="1"/>
    <col min="12803" max="12803" width="17.75" customWidth="1"/>
    <col min="13057" max="13057" width="21.5" customWidth="1"/>
    <col min="13058" max="13058" width="30.625" customWidth="1"/>
    <col min="13059" max="13059" width="17.75" customWidth="1"/>
    <col min="13313" max="13313" width="21.5" customWidth="1"/>
    <col min="13314" max="13314" width="30.625" customWidth="1"/>
    <col min="13315" max="13315" width="17.75" customWidth="1"/>
    <col min="13569" max="13569" width="21.5" customWidth="1"/>
    <col min="13570" max="13570" width="30.625" customWidth="1"/>
    <col min="13571" max="13571" width="17.75" customWidth="1"/>
    <col min="13825" max="13825" width="21.5" customWidth="1"/>
    <col min="13826" max="13826" width="30.625" customWidth="1"/>
    <col min="13827" max="13827" width="17.75" customWidth="1"/>
    <col min="14081" max="14081" width="21.5" customWidth="1"/>
    <col min="14082" max="14082" width="30.625" customWidth="1"/>
    <col min="14083" max="14083" width="17.75" customWidth="1"/>
    <col min="14337" max="14337" width="21.5" customWidth="1"/>
    <col min="14338" max="14338" width="30.625" customWidth="1"/>
    <col min="14339" max="14339" width="17.75" customWidth="1"/>
    <col min="14593" max="14593" width="21.5" customWidth="1"/>
    <col min="14594" max="14594" width="30.625" customWidth="1"/>
    <col min="14595" max="14595" width="17.75" customWidth="1"/>
    <col min="14849" max="14849" width="21.5" customWidth="1"/>
    <col min="14850" max="14850" width="30.625" customWidth="1"/>
    <col min="14851" max="14851" width="17.75" customWidth="1"/>
    <col min="15105" max="15105" width="21.5" customWidth="1"/>
    <col min="15106" max="15106" width="30.625" customWidth="1"/>
    <col min="15107" max="15107" width="17.75" customWidth="1"/>
    <col min="15361" max="15361" width="21.5" customWidth="1"/>
    <col min="15362" max="15362" width="30.625" customWidth="1"/>
    <col min="15363" max="15363" width="17.75" customWidth="1"/>
    <col min="15617" max="15617" width="21.5" customWidth="1"/>
    <col min="15618" max="15618" width="30.625" customWidth="1"/>
    <col min="15619" max="15619" width="17.75" customWidth="1"/>
    <col min="15873" max="15873" width="21.5" customWidth="1"/>
    <col min="15874" max="15874" width="30.625" customWidth="1"/>
    <col min="15875" max="15875" width="17.75" customWidth="1"/>
    <col min="16129" max="16129" width="21.5" customWidth="1"/>
    <col min="16130" max="16130" width="30.625" customWidth="1"/>
    <col min="16131" max="16131" width="17.75" customWidth="1"/>
  </cols>
  <sheetData>
    <row r="2" spans="1:8" ht="23.25" x14ac:dyDescent="0.35">
      <c r="B2" s="1" t="s">
        <v>20</v>
      </c>
      <c r="C2" s="1"/>
      <c r="D2" s="1"/>
      <c r="E2" s="1"/>
      <c r="F2" s="1"/>
      <c r="G2" s="1"/>
    </row>
    <row r="3" spans="1:8" ht="15.75" x14ac:dyDescent="0.25">
      <c r="A3" s="2" t="s">
        <v>0</v>
      </c>
      <c r="E3" s="3"/>
      <c r="F3" s="3"/>
      <c r="G3" s="3"/>
    </row>
    <row r="4" spans="1:8" x14ac:dyDescent="0.2">
      <c r="A4" s="4"/>
    </row>
    <row r="5" spans="1:8" x14ac:dyDescent="0.2">
      <c r="A5" s="4" t="s">
        <v>1</v>
      </c>
      <c r="B5" s="5"/>
      <c r="C5" s="4" t="s">
        <v>2</v>
      </c>
      <c r="D5" s="4"/>
    </row>
    <row r="6" spans="1:8" x14ac:dyDescent="0.2">
      <c r="A6" s="6" t="s">
        <v>3</v>
      </c>
    </row>
    <row r="7" spans="1:8" x14ac:dyDescent="0.2">
      <c r="A7" s="7" t="s">
        <v>4</v>
      </c>
      <c r="B7" s="7" t="s">
        <v>5</v>
      </c>
      <c r="C7" s="7" t="s">
        <v>6</v>
      </c>
      <c r="D7" s="7" t="s">
        <v>7</v>
      </c>
      <c r="E7" s="7" t="s">
        <v>8</v>
      </c>
      <c r="F7" s="7" t="s">
        <v>9</v>
      </c>
      <c r="G7" s="7" t="s">
        <v>10</v>
      </c>
      <c r="H7" s="8" t="s">
        <v>11</v>
      </c>
    </row>
    <row r="8" spans="1:8" x14ac:dyDescent="0.2">
      <c r="A8" s="9" t="s">
        <v>21</v>
      </c>
      <c r="B8" s="10" t="s">
        <v>22</v>
      </c>
      <c r="C8" s="11" t="s">
        <v>23</v>
      </c>
      <c r="D8" s="12"/>
      <c r="E8" s="13"/>
      <c r="F8" s="11">
        <v>1555</v>
      </c>
      <c r="G8" s="14">
        <v>27680</v>
      </c>
      <c r="H8" s="12" t="s">
        <v>12</v>
      </c>
    </row>
    <row r="9" spans="1:8" x14ac:dyDescent="0.2">
      <c r="A9" s="9"/>
      <c r="B9" s="10" t="s">
        <v>24</v>
      </c>
      <c r="C9" s="10" t="s">
        <v>66</v>
      </c>
      <c r="D9" s="12"/>
      <c r="E9" s="11"/>
      <c r="F9" s="11"/>
      <c r="G9" s="14">
        <v>4900</v>
      </c>
      <c r="H9" s="12" t="s">
        <v>12</v>
      </c>
    </row>
    <row r="10" spans="1:8" x14ac:dyDescent="0.2">
      <c r="A10" s="9"/>
      <c r="B10" s="10" t="s">
        <v>26</v>
      </c>
      <c r="C10" s="10" t="s">
        <v>25</v>
      </c>
      <c r="D10" s="31" t="s">
        <v>28</v>
      </c>
      <c r="E10" s="12" t="s">
        <v>27</v>
      </c>
      <c r="F10" s="11">
        <v>1562</v>
      </c>
      <c r="G10" s="14">
        <v>1750</v>
      </c>
      <c r="H10" s="12"/>
    </row>
    <row r="11" spans="1:8" x14ac:dyDescent="0.2">
      <c r="A11" s="9"/>
      <c r="B11" s="12"/>
      <c r="C11" s="11"/>
      <c r="D11" s="12"/>
      <c r="E11" s="12"/>
      <c r="F11" s="12"/>
      <c r="G11" s="14"/>
      <c r="H11" s="12"/>
    </row>
    <row r="12" spans="1:8" x14ac:dyDescent="0.2">
      <c r="A12" s="9"/>
      <c r="B12" s="12"/>
      <c r="C12" s="12"/>
      <c r="D12" s="12"/>
      <c r="E12" s="12"/>
      <c r="F12" s="12"/>
      <c r="G12" s="14"/>
      <c r="H12" s="12"/>
    </row>
    <row r="13" spans="1:8" x14ac:dyDescent="0.2">
      <c r="A13" s="9"/>
      <c r="B13" s="12"/>
      <c r="C13" s="12"/>
      <c r="D13" s="12"/>
      <c r="E13" s="12"/>
      <c r="F13" s="12"/>
      <c r="G13" s="14"/>
      <c r="H13" s="12"/>
    </row>
    <row r="14" spans="1:8" x14ac:dyDescent="0.2">
      <c r="A14" s="9"/>
      <c r="B14" s="12"/>
      <c r="C14" s="12"/>
      <c r="D14" s="12"/>
      <c r="E14" s="12"/>
      <c r="F14" s="12"/>
      <c r="G14" s="14"/>
      <c r="H14" s="12"/>
    </row>
    <row r="15" spans="1:8" x14ac:dyDescent="0.2">
      <c r="A15" s="15"/>
      <c r="B15" s="12"/>
      <c r="C15" s="12"/>
      <c r="D15" s="12"/>
      <c r="E15" s="12"/>
      <c r="F15" s="12"/>
      <c r="G15" s="14"/>
      <c r="H15" s="12"/>
    </row>
    <row r="16" spans="1:8" x14ac:dyDescent="0.2">
      <c r="A16" s="16"/>
      <c r="B16" s="16"/>
      <c r="C16" s="16"/>
      <c r="D16" s="16"/>
      <c r="E16" s="16"/>
      <c r="F16" s="16"/>
      <c r="G16" s="17">
        <f>SUM(G8:G15)</f>
        <v>34330</v>
      </c>
      <c r="H16" s="16"/>
    </row>
    <row r="17" spans="1:8" x14ac:dyDescent="0.2">
      <c r="A17" s="18"/>
      <c r="B17" s="19"/>
      <c r="C17" s="19"/>
      <c r="D17" s="19"/>
      <c r="E17" s="19"/>
      <c r="F17" s="19"/>
      <c r="G17" s="19"/>
      <c r="H17" s="20"/>
    </row>
    <row r="18" spans="1:8" x14ac:dyDescent="0.2">
      <c r="A18" s="6" t="s">
        <v>13</v>
      </c>
      <c r="B18" s="19"/>
      <c r="C18" s="19"/>
      <c r="D18" s="19"/>
      <c r="E18" s="19"/>
      <c r="F18" s="19"/>
      <c r="G18" s="19"/>
      <c r="H18" s="20"/>
    </row>
    <row r="19" spans="1:8" x14ac:dyDescent="0.2">
      <c r="A19" s="7" t="s">
        <v>4</v>
      </c>
      <c r="B19" s="7" t="s">
        <v>14</v>
      </c>
      <c r="C19" s="7" t="s">
        <v>15</v>
      </c>
      <c r="D19" s="7" t="s">
        <v>16</v>
      </c>
      <c r="E19" s="7" t="s">
        <v>17</v>
      </c>
      <c r="F19" s="7" t="s">
        <v>10</v>
      </c>
    </row>
    <row r="20" spans="1:8" x14ac:dyDescent="0.2">
      <c r="A20" s="15" t="s">
        <v>31</v>
      </c>
      <c r="B20" s="12" t="s">
        <v>30</v>
      </c>
      <c r="C20" s="12" t="s">
        <v>29</v>
      </c>
      <c r="D20" s="12"/>
      <c r="E20" s="12">
        <v>182</v>
      </c>
      <c r="F20" s="12">
        <v>-1181</v>
      </c>
    </row>
    <row r="21" spans="1:8" x14ac:dyDescent="0.2">
      <c r="A21" s="15" t="s">
        <v>32</v>
      </c>
      <c r="B21" s="12" t="s">
        <v>33</v>
      </c>
      <c r="C21" s="12" t="s">
        <v>34</v>
      </c>
      <c r="D21" s="12">
        <v>53892144</v>
      </c>
      <c r="E21" s="21">
        <v>239</v>
      </c>
      <c r="F21" s="21">
        <v>-1024</v>
      </c>
      <c r="G21" s="22"/>
    </row>
    <row r="22" spans="1:8" x14ac:dyDescent="0.2">
      <c r="A22" s="15" t="s">
        <v>32</v>
      </c>
      <c r="B22" s="12" t="s">
        <v>36</v>
      </c>
      <c r="C22" s="12" t="s">
        <v>35</v>
      </c>
      <c r="D22" s="12">
        <v>53892144</v>
      </c>
      <c r="E22" s="12">
        <v>483</v>
      </c>
      <c r="F22" s="12">
        <v>-407</v>
      </c>
    </row>
    <row r="23" spans="1:8" x14ac:dyDescent="0.2">
      <c r="A23" s="15" t="s">
        <v>32</v>
      </c>
      <c r="B23" s="12" t="s">
        <v>45</v>
      </c>
      <c r="C23" s="12" t="s">
        <v>35</v>
      </c>
      <c r="D23" s="12">
        <v>53892144</v>
      </c>
      <c r="E23" s="12">
        <v>657</v>
      </c>
      <c r="F23" s="12">
        <v>-280</v>
      </c>
    </row>
    <row r="24" spans="1:8" x14ac:dyDescent="0.2">
      <c r="A24" s="15" t="s">
        <v>37</v>
      </c>
      <c r="B24" s="12" t="s">
        <v>38</v>
      </c>
      <c r="C24" s="12"/>
      <c r="D24" s="12">
        <v>69312</v>
      </c>
      <c r="E24" s="12"/>
      <c r="F24" s="12">
        <v>-2522</v>
      </c>
      <c r="G24" s="22"/>
    </row>
    <row r="25" spans="1:8" x14ac:dyDescent="0.2">
      <c r="A25" s="15" t="s">
        <v>41</v>
      </c>
      <c r="B25" s="12" t="s">
        <v>42</v>
      </c>
      <c r="C25" s="12" t="s">
        <v>44</v>
      </c>
      <c r="D25" s="12"/>
      <c r="E25" s="12"/>
      <c r="F25" s="12">
        <v>-4671</v>
      </c>
      <c r="G25" s="22"/>
    </row>
    <row r="26" spans="1:8" x14ac:dyDescent="0.2">
      <c r="A26" s="15"/>
      <c r="B26" s="12" t="s">
        <v>43</v>
      </c>
      <c r="C26" s="12" t="s">
        <v>44</v>
      </c>
      <c r="D26" s="12"/>
      <c r="E26" s="12"/>
      <c r="F26" s="12">
        <v>-796</v>
      </c>
      <c r="G26" s="22"/>
    </row>
    <row r="27" spans="1:8" x14ac:dyDescent="0.2">
      <c r="A27" s="15"/>
      <c r="B27" s="12"/>
      <c r="C27" s="12"/>
      <c r="D27" s="12"/>
      <c r="E27" s="12"/>
      <c r="F27" s="12"/>
      <c r="G27" s="22"/>
    </row>
    <row r="28" spans="1:8" x14ac:dyDescent="0.2">
      <c r="A28" s="15"/>
      <c r="B28" s="12"/>
      <c r="C28" s="12"/>
      <c r="D28" s="12"/>
      <c r="E28" s="12"/>
      <c r="F28" s="12"/>
      <c r="G28" s="22"/>
    </row>
    <row r="29" spans="1:8" x14ac:dyDescent="0.2">
      <c r="A29" s="15"/>
      <c r="B29" s="12"/>
      <c r="C29" s="12"/>
      <c r="D29" s="12"/>
      <c r="E29" s="12"/>
      <c r="F29" s="12"/>
      <c r="G29" s="22"/>
    </row>
    <row r="30" spans="1:8" x14ac:dyDescent="0.2">
      <c r="A30" s="15"/>
      <c r="B30" s="12"/>
      <c r="C30" s="12"/>
      <c r="D30" s="12"/>
      <c r="E30" s="12"/>
      <c r="F30" s="12"/>
      <c r="G30" s="22"/>
    </row>
    <row r="31" spans="1:8" x14ac:dyDescent="0.2">
      <c r="A31" s="15"/>
      <c r="B31" s="12"/>
      <c r="C31" s="12"/>
      <c r="D31" s="12"/>
      <c r="E31" s="12"/>
      <c r="F31" s="12"/>
      <c r="G31" s="22"/>
    </row>
    <row r="32" spans="1:8" x14ac:dyDescent="0.2">
      <c r="A32" s="11"/>
      <c r="B32" s="11"/>
      <c r="C32" s="11"/>
      <c r="D32" s="11"/>
      <c r="E32" s="11"/>
      <c r="F32" s="11"/>
      <c r="G32" s="22"/>
    </row>
    <row r="33" spans="1:8" x14ac:dyDescent="0.2">
      <c r="A33" s="23"/>
      <c r="B33" s="24"/>
      <c r="C33" s="24"/>
      <c r="D33" s="24"/>
      <c r="E33" s="25"/>
      <c r="F33" s="25">
        <f>SUM(F20:F32)</f>
        <v>-10881</v>
      </c>
    </row>
    <row r="34" spans="1:8" x14ac:dyDescent="0.2">
      <c r="A34" s="3"/>
      <c r="F34" s="102"/>
    </row>
    <row r="35" spans="1:8" x14ac:dyDescent="0.2">
      <c r="H35" s="26"/>
    </row>
    <row r="36" spans="1:8" x14ac:dyDescent="0.2">
      <c r="A36" s="21" t="s">
        <v>12</v>
      </c>
      <c r="B36" s="10">
        <f>G16</f>
        <v>34330</v>
      </c>
      <c r="D36" s="19"/>
      <c r="E36" s="19"/>
      <c r="F36" s="19"/>
      <c r="G36" s="19"/>
      <c r="H36" s="19"/>
    </row>
    <row r="37" spans="1:8" x14ac:dyDescent="0.2">
      <c r="A37" s="12" t="s">
        <v>18</v>
      </c>
      <c r="B37" s="27"/>
      <c r="D37" s="19"/>
      <c r="E37" s="19"/>
      <c r="F37" s="19"/>
      <c r="G37" s="19"/>
      <c r="H37" s="19"/>
    </row>
    <row r="38" spans="1:8" x14ac:dyDescent="0.2">
      <c r="A38" s="28" t="s">
        <v>13</v>
      </c>
      <c r="B38" s="28">
        <f>F33</f>
        <v>-10881</v>
      </c>
      <c r="D38" s="29"/>
      <c r="E38" s="19"/>
      <c r="F38" s="19"/>
      <c r="G38" s="19"/>
      <c r="H38" s="19"/>
    </row>
    <row r="39" spans="1:8" ht="15.75" x14ac:dyDescent="0.25">
      <c r="A39" s="30" t="s">
        <v>19</v>
      </c>
      <c r="B39" s="30">
        <f>B36+F33</f>
        <v>23449</v>
      </c>
      <c r="D39" s="19"/>
      <c r="E39" s="19"/>
      <c r="F39" s="19"/>
      <c r="G39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5"/>
  <sheetViews>
    <sheetView rightToLeft="1" topLeftCell="A4" workbookViewId="0">
      <pane ySplit="15" topLeftCell="A19" activePane="bottomLeft" state="frozen"/>
      <selection activeCell="A4" sqref="A4"/>
      <selection pane="bottomLeft" activeCell="B20" sqref="B20"/>
    </sheetView>
  </sheetViews>
  <sheetFormatPr defaultRowHeight="14.25" x14ac:dyDescent="0.2"/>
  <cols>
    <col min="2" max="2" width="10.875" customWidth="1"/>
    <col min="4" max="4" width="12.5" customWidth="1"/>
    <col min="5" max="5" width="35.125" customWidth="1"/>
    <col min="6" max="6" width="8.625" customWidth="1"/>
    <col min="7" max="7" width="10.625" customWidth="1"/>
    <col min="9" max="9" width="11.5" customWidth="1"/>
    <col min="10" max="10" width="12.875" customWidth="1"/>
  </cols>
  <sheetData>
    <row r="2" spans="2:12" ht="23.25" x14ac:dyDescent="0.35">
      <c r="B2" s="304" t="s">
        <v>221</v>
      </c>
      <c r="C2" s="304"/>
      <c r="D2" s="304"/>
      <c r="E2" s="304"/>
      <c r="F2" s="304"/>
      <c r="G2" s="304"/>
      <c r="H2" s="304"/>
      <c r="I2" s="304"/>
    </row>
    <row r="3" spans="2:12" ht="15.75" x14ac:dyDescent="0.25">
      <c r="B3" s="2" t="s">
        <v>0</v>
      </c>
      <c r="F3" s="3"/>
      <c r="G3" s="3"/>
      <c r="H3" s="3"/>
      <c r="L3" t="s">
        <v>238</v>
      </c>
    </row>
    <row r="4" spans="2:12" x14ac:dyDescent="0.2">
      <c r="B4" s="4"/>
      <c r="L4" t="s">
        <v>239</v>
      </c>
    </row>
    <row r="5" spans="2:12" x14ac:dyDescent="0.2">
      <c r="B5" s="4" t="s">
        <v>1</v>
      </c>
      <c r="C5" s="5" t="s">
        <v>123</v>
      </c>
      <c r="D5" s="4" t="s">
        <v>2</v>
      </c>
      <c r="E5" s="3" t="s">
        <v>222</v>
      </c>
    </row>
    <row r="6" spans="2:12" x14ac:dyDescent="0.2">
      <c r="B6" s="6" t="s">
        <v>3</v>
      </c>
    </row>
    <row r="7" spans="2:12" x14ac:dyDescent="0.2">
      <c r="B7" s="7" t="s">
        <v>4</v>
      </c>
      <c r="C7" s="7" t="s">
        <v>5</v>
      </c>
      <c r="D7" s="7" t="s">
        <v>6</v>
      </c>
      <c r="E7" s="7" t="s">
        <v>7</v>
      </c>
      <c r="F7" s="7" t="s">
        <v>8</v>
      </c>
      <c r="G7" s="7" t="s">
        <v>9</v>
      </c>
      <c r="H7" s="7" t="s">
        <v>10</v>
      </c>
      <c r="I7" s="7" t="s">
        <v>59</v>
      </c>
      <c r="J7" s="8" t="s">
        <v>11</v>
      </c>
    </row>
    <row r="8" spans="2:12" x14ac:dyDescent="0.2">
      <c r="B8" s="9" t="s">
        <v>791</v>
      </c>
      <c r="C8" s="10"/>
      <c r="D8" s="11">
        <v>2019</v>
      </c>
      <c r="E8" s="12" t="s">
        <v>223</v>
      </c>
      <c r="F8" s="13"/>
      <c r="G8" s="11"/>
      <c r="H8" s="14">
        <f>'מוטי שונות 2019'!C215</f>
        <v>41899.630000000005</v>
      </c>
      <c r="I8" s="14"/>
      <c r="J8" s="12"/>
    </row>
    <row r="9" spans="2:12" x14ac:dyDescent="0.2">
      <c r="B9" s="9" t="s">
        <v>1049</v>
      </c>
      <c r="C9" s="12"/>
      <c r="D9" s="12" t="s">
        <v>23</v>
      </c>
      <c r="E9" s="12" t="s">
        <v>1050</v>
      </c>
      <c r="F9" s="126"/>
      <c r="G9" s="12">
        <v>1858</v>
      </c>
      <c r="H9" s="273">
        <v>5040</v>
      </c>
      <c r="I9" s="14"/>
      <c r="J9" s="12" t="s">
        <v>1051</v>
      </c>
      <c r="K9" t="s">
        <v>1097</v>
      </c>
    </row>
    <row r="10" spans="2:12" x14ac:dyDescent="0.2">
      <c r="B10" s="9"/>
      <c r="C10" s="12"/>
      <c r="D10" s="12"/>
      <c r="E10" s="12"/>
      <c r="F10" s="12"/>
      <c r="G10" s="12"/>
      <c r="H10" s="14"/>
      <c r="I10" s="14"/>
      <c r="J10" s="12"/>
    </row>
    <row r="11" spans="2:12" x14ac:dyDescent="0.2">
      <c r="B11" s="9"/>
      <c r="C11" s="12"/>
      <c r="D11" s="12"/>
      <c r="E11" s="12"/>
      <c r="F11" s="12"/>
      <c r="G11" s="12"/>
      <c r="H11" s="14"/>
      <c r="I11" s="14"/>
      <c r="J11" s="12"/>
    </row>
    <row r="12" spans="2:12" x14ac:dyDescent="0.2">
      <c r="B12" s="9"/>
      <c r="C12" s="12"/>
      <c r="D12" s="12"/>
      <c r="E12" s="12"/>
      <c r="F12" s="12"/>
      <c r="G12" s="12"/>
      <c r="H12" s="14"/>
      <c r="I12" s="14"/>
      <c r="J12" s="12"/>
    </row>
    <row r="13" spans="2:12" x14ac:dyDescent="0.2">
      <c r="B13" s="9"/>
      <c r="C13" s="12"/>
      <c r="D13" s="12"/>
      <c r="E13" s="12"/>
      <c r="F13" s="12"/>
      <c r="G13" s="12"/>
      <c r="H13" s="14"/>
      <c r="I13" s="14"/>
      <c r="J13" s="12"/>
    </row>
    <row r="14" spans="2:12" x14ac:dyDescent="0.2">
      <c r="B14" s="15"/>
      <c r="C14" s="12"/>
      <c r="D14" s="12"/>
      <c r="E14" s="12"/>
      <c r="F14" s="12"/>
      <c r="G14" s="12"/>
      <c r="H14" s="14"/>
      <c r="I14" s="14"/>
      <c r="J14" s="12"/>
    </row>
    <row r="15" spans="2:12" x14ac:dyDescent="0.2">
      <c r="B15" s="16"/>
      <c r="C15" s="16"/>
      <c r="D15" s="16"/>
      <c r="E15" s="16"/>
      <c r="F15" s="16"/>
      <c r="G15" s="16"/>
      <c r="H15" s="17">
        <f>SUM(H8:H14)</f>
        <v>46939.630000000005</v>
      </c>
      <c r="I15" s="17">
        <f>SUM(I8:I14)</f>
        <v>0</v>
      </c>
      <c r="J15" s="16"/>
    </row>
    <row r="16" spans="2:12" x14ac:dyDescent="0.2">
      <c r="B16" s="18"/>
      <c r="C16" s="19"/>
      <c r="D16" s="19"/>
      <c r="E16" s="19"/>
      <c r="F16" s="19"/>
      <c r="G16" s="19"/>
      <c r="H16" s="19"/>
      <c r="I16" s="20"/>
    </row>
    <row r="17" spans="2:13" x14ac:dyDescent="0.2">
      <c r="B17" s="6" t="s">
        <v>13</v>
      </c>
      <c r="C17" s="19"/>
      <c r="D17" s="19"/>
      <c r="E17" s="19"/>
      <c r="F17" s="19"/>
      <c r="G17" s="19"/>
      <c r="H17" s="19"/>
      <c r="I17" s="20"/>
    </row>
    <row r="18" spans="2:13" x14ac:dyDescent="0.2">
      <c r="B18" s="7" t="s">
        <v>4</v>
      </c>
      <c r="C18" s="7" t="s">
        <v>14</v>
      </c>
      <c r="D18" s="7" t="s">
        <v>15</v>
      </c>
      <c r="E18" s="7" t="s">
        <v>51</v>
      </c>
      <c r="F18" s="7"/>
      <c r="G18" s="7" t="s">
        <v>17</v>
      </c>
      <c r="H18" s="7" t="s">
        <v>10</v>
      </c>
      <c r="I18" s="7" t="s">
        <v>92</v>
      </c>
      <c r="J18" s="7" t="s">
        <v>16</v>
      </c>
    </row>
    <row r="19" spans="2:13" x14ac:dyDescent="0.2">
      <c r="B19" s="11" t="s">
        <v>819</v>
      </c>
      <c r="C19" s="11"/>
      <c r="D19" s="107" t="s">
        <v>336</v>
      </c>
      <c r="E19" s="107" t="s">
        <v>820</v>
      </c>
      <c r="F19" s="107"/>
      <c r="G19" s="107" t="s">
        <v>855</v>
      </c>
      <c r="H19" s="274">
        <v>-40.270000000000003</v>
      </c>
      <c r="I19" s="107"/>
      <c r="J19" s="10">
        <v>57528</v>
      </c>
      <c r="K19" s="22"/>
      <c r="L19" s="22"/>
      <c r="M19" s="22"/>
    </row>
    <row r="20" spans="2:13" x14ac:dyDescent="0.2">
      <c r="B20" s="15"/>
      <c r="C20" s="12"/>
      <c r="D20" s="12"/>
      <c r="E20" s="12"/>
      <c r="F20" s="12"/>
      <c r="G20" s="12"/>
      <c r="H20" s="128"/>
      <c r="I20" s="11"/>
      <c r="J20" s="12"/>
      <c r="K20" s="22"/>
      <c r="L20" s="22"/>
      <c r="M20" s="22"/>
    </row>
    <row r="21" spans="2:13" x14ac:dyDescent="0.2">
      <c r="B21" s="15"/>
      <c r="C21" s="12"/>
      <c r="D21" s="12"/>
      <c r="E21" s="12"/>
      <c r="F21" s="12"/>
      <c r="G21" s="12"/>
      <c r="H21" s="128"/>
      <c r="I21" s="11"/>
      <c r="J21" s="12"/>
      <c r="K21" s="22"/>
      <c r="L21" s="22"/>
      <c r="M21" s="22"/>
    </row>
    <row r="22" spans="2:13" x14ac:dyDescent="0.2">
      <c r="B22" s="11"/>
      <c r="C22" s="11"/>
      <c r="D22" s="107"/>
      <c r="E22" s="107"/>
      <c r="F22" s="107"/>
      <c r="G22" s="107"/>
      <c r="H22" s="129"/>
      <c r="I22" s="107"/>
      <c r="J22" s="11"/>
    </row>
    <row r="23" spans="2:13" x14ac:dyDescent="0.2">
      <c r="B23" s="11"/>
      <c r="C23" s="11"/>
      <c r="D23" s="107"/>
      <c r="E23" s="107"/>
      <c r="F23" s="107"/>
      <c r="G23" s="107"/>
      <c r="H23" s="129"/>
      <c r="I23" s="107"/>
      <c r="J23" s="11"/>
    </row>
    <row r="24" spans="2:13" x14ac:dyDescent="0.2">
      <c r="B24" s="11"/>
      <c r="C24" s="11"/>
      <c r="D24" s="107"/>
      <c r="E24" s="107"/>
      <c r="F24" s="107"/>
      <c r="G24" s="107"/>
      <c r="H24" s="129"/>
      <c r="I24" s="107"/>
      <c r="J24" s="11"/>
    </row>
    <row r="25" spans="2:13" x14ac:dyDescent="0.2">
      <c r="B25" s="11"/>
      <c r="C25" s="11"/>
      <c r="D25" s="107"/>
      <c r="E25" s="107"/>
      <c r="F25" s="107"/>
      <c r="G25" s="107"/>
      <c r="H25" s="129"/>
      <c r="I25" s="107"/>
      <c r="J25" s="11"/>
    </row>
    <row r="26" spans="2:13" x14ac:dyDescent="0.2">
      <c r="B26" s="11"/>
      <c r="C26" s="11"/>
      <c r="D26" s="107"/>
      <c r="E26" s="107"/>
      <c r="F26" s="107"/>
      <c r="G26" s="107"/>
      <c r="H26" s="129"/>
      <c r="I26" s="107"/>
      <c r="J26" s="11"/>
    </row>
    <row r="27" spans="2:13" x14ac:dyDescent="0.2">
      <c r="B27" s="11"/>
      <c r="C27" s="11"/>
      <c r="D27" s="107"/>
      <c r="E27" s="119"/>
      <c r="F27" s="107"/>
      <c r="G27" s="107"/>
      <c r="H27" s="129"/>
      <c r="I27" s="107"/>
      <c r="J27" s="10"/>
    </row>
    <row r="28" spans="2:13" x14ac:dyDescent="0.2">
      <c r="B28" s="23"/>
      <c r="C28" s="24"/>
      <c r="D28" s="24"/>
      <c r="E28" s="24"/>
      <c r="F28" s="24"/>
      <c r="G28" s="25"/>
      <c r="H28" s="130">
        <f>SUM(H19:H27)</f>
        <v>-40.270000000000003</v>
      </c>
      <c r="I28" s="25">
        <f>SUM(I19:I27)</f>
        <v>0</v>
      </c>
      <c r="J28" s="24"/>
    </row>
    <row r="29" spans="2:13" x14ac:dyDescent="0.2">
      <c r="B29" s="3"/>
      <c r="H29" s="102"/>
      <c r="I29" s="19"/>
    </row>
    <row r="30" spans="2:13" x14ac:dyDescent="0.2">
      <c r="E30" s="19"/>
      <c r="H30" s="102"/>
      <c r="I30" s="19"/>
    </row>
    <row r="31" spans="2:13" x14ac:dyDescent="0.2">
      <c r="B31" s="21" t="s">
        <v>12</v>
      </c>
      <c r="C31" s="27">
        <f>H15</f>
        <v>46939.630000000005</v>
      </c>
      <c r="E31" s="19"/>
      <c r="F31" s="19"/>
      <c r="G31" s="19"/>
      <c r="H31" s="113"/>
      <c r="I31" s="19"/>
    </row>
    <row r="32" spans="2:13" x14ac:dyDescent="0.2">
      <c r="B32" s="12" t="s">
        <v>18</v>
      </c>
      <c r="C32" s="27">
        <f>I15</f>
        <v>0</v>
      </c>
      <c r="E32" s="19"/>
      <c r="F32" s="19"/>
      <c r="G32" s="19"/>
      <c r="H32" s="19"/>
      <c r="I32" s="19"/>
    </row>
    <row r="33" spans="2:9" x14ac:dyDescent="0.2">
      <c r="B33" s="28" t="s">
        <v>13</v>
      </c>
      <c r="C33" s="157">
        <f>H28+I28</f>
        <v>-40.270000000000003</v>
      </c>
      <c r="E33" s="29"/>
      <c r="F33" s="19"/>
      <c r="G33" s="19"/>
      <c r="H33" s="19"/>
      <c r="I33" s="19"/>
    </row>
    <row r="34" spans="2:9" ht="15.75" x14ac:dyDescent="0.25">
      <c r="B34" s="30" t="s">
        <v>19</v>
      </c>
      <c r="C34" s="108">
        <f>C31+C32+C33</f>
        <v>46899.360000000008</v>
      </c>
      <c r="E34" s="19"/>
      <c r="F34" s="19"/>
      <c r="G34" s="19"/>
      <c r="H34" s="19"/>
      <c r="I34" s="19"/>
    </row>
    <row r="35" spans="2:9" x14ac:dyDescent="0.2">
      <c r="I35" s="19"/>
    </row>
  </sheetData>
  <mergeCells count="1">
    <mergeCell ref="B2:I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rightToLeft="1" workbookViewId="0">
      <selection activeCell="I25" sqref="I25"/>
    </sheetView>
  </sheetViews>
  <sheetFormatPr defaultRowHeight="14.25" x14ac:dyDescent="0.2"/>
  <cols>
    <col min="8" max="8" width="28.75" customWidth="1"/>
  </cols>
  <sheetData>
    <row r="1" spans="1:15" x14ac:dyDescent="0.2">
      <c r="A1" s="243" t="s">
        <v>386</v>
      </c>
      <c r="B1" s="244" t="s">
        <v>786</v>
      </c>
      <c r="C1" s="245"/>
      <c r="D1" s="246" t="s">
        <v>387</v>
      </c>
      <c r="E1" s="244" t="s">
        <v>787</v>
      </c>
      <c r="F1" s="177"/>
      <c r="G1" s="177"/>
      <c r="H1" s="177"/>
      <c r="I1" s="177"/>
      <c r="M1" s="178" t="s">
        <v>583</v>
      </c>
      <c r="N1" s="178"/>
      <c r="O1" s="178"/>
    </row>
    <row r="2" spans="1:15" x14ac:dyDescent="0.2">
      <c r="A2" s="243" t="s">
        <v>76</v>
      </c>
      <c r="B2" s="247"/>
      <c r="C2" s="245"/>
      <c r="D2" s="245"/>
      <c r="E2" s="245"/>
      <c r="F2" s="177"/>
      <c r="G2" s="177"/>
      <c r="M2" s="169" t="s">
        <v>585</v>
      </c>
      <c r="N2" s="169" t="s">
        <v>586</v>
      </c>
      <c r="O2" s="169" t="s">
        <v>11</v>
      </c>
    </row>
    <row r="3" spans="1:15" x14ac:dyDescent="0.2">
      <c r="A3" s="243" t="s">
        <v>760</v>
      </c>
      <c r="B3" s="243" t="s">
        <v>1</v>
      </c>
      <c r="C3" s="248" t="s">
        <v>222</v>
      </c>
      <c r="D3" s="243" t="s">
        <v>2</v>
      </c>
      <c r="E3" s="249" t="s">
        <v>761</v>
      </c>
      <c r="F3" s="250"/>
      <c r="G3" s="251"/>
      <c r="M3" s="175" t="s">
        <v>762</v>
      </c>
      <c r="N3" s="175" t="s">
        <v>618</v>
      </c>
      <c r="O3" s="175"/>
    </row>
    <row r="4" spans="1:15" x14ac:dyDescent="0.2">
      <c r="A4" s="177"/>
      <c r="B4" s="177"/>
      <c r="C4" s="177"/>
      <c r="D4" s="177"/>
      <c r="E4" s="177"/>
      <c r="F4" s="177"/>
      <c r="G4" s="177"/>
      <c r="H4" s="177"/>
      <c r="I4" s="177"/>
      <c r="M4" s="175" t="s">
        <v>685</v>
      </c>
      <c r="N4" s="175" t="s">
        <v>763</v>
      </c>
      <c r="O4" s="175" t="s">
        <v>764</v>
      </c>
    </row>
    <row r="5" spans="1:15" x14ac:dyDescent="0.2">
      <c r="A5" s="59" t="s">
        <v>4</v>
      </c>
      <c r="B5" s="59" t="s">
        <v>5</v>
      </c>
      <c r="C5" s="59" t="s">
        <v>389</v>
      </c>
      <c r="D5" s="59" t="s">
        <v>47</v>
      </c>
      <c r="E5" s="59" t="s">
        <v>49</v>
      </c>
      <c r="F5" s="59" t="s">
        <v>640</v>
      </c>
      <c r="G5" s="59"/>
      <c r="H5" s="59" t="s">
        <v>51</v>
      </c>
      <c r="M5" s="175" t="s">
        <v>686</v>
      </c>
      <c r="N5" s="175" t="s">
        <v>765</v>
      </c>
      <c r="O5" s="175" t="s">
        <v>766</v>
      </c>
    </row>
    <row r="6" spans="1:15" x14ac:dyDescent="0.2">
      <c r="A6" s="217" t="s">
        <v>826</v>
      </c>
      <c r="B6" s="107"/>
      <c r="C6" s="264"/>
      <c r="D6" s="264"/>
      <c r="E6" s="271">
        <v>-264.93</v>
      </c>
      <c r="F6" s="265"/>
      <c r="G6" s="227">
        <v>84387</v>
      </c>
      <c r="H6" s="252" t="s">
        <v>827</v>
      </c>
      <c r="I6" t="s">
        <v>543</v>
      </c>
    </row>
    <row r="7" spans="1:15" x14ac:dyDescent="0.2">
      <c r="A7" s="217" t="s">
        <v>826</v>
      </c>
      <c r="B7" s="107"/>
      <c r="C7" s="264"/>
      <c r="D7" s="264"/>
      <c r="E7" s="271">
        <v>-241.74</v>
      </c>
      <c r="F7" s="265"/>
      <c r="G7" s="227">
        <v>84387</v>
      </c>
      <c r="H7" s="252" t="s">
        <v>828</v>
      </c>
      <c r="I7" t="s">
        <v>543</v>
      </c>
    </row>
    <row r="8" spans="1:15" x14ac:dyDescent="0.2">
      <c r="A8" s="217" t="s">
        <v>844</v>
      </c>
      <c r="B8" s="107"/>
      <c r="C8" s="264"/>
      <c r="D8" s="264"/>
      <c r="E8" s="271">
        <v>-28.2</v>
      </c>
      <c r="F8" s="265"/>
      <c r="G8" s="227">
        <v>103252</v>
      </c>
      <c r="H8" s="252" t="s">
        <v>881</v>
      </c>
    </row>
    <row r="9" spans="1:15" x14ac:dyDescent="0.2">
      <c r="A9" s="217" t="s">
        <v>847</v>
      </c>
      <c r="B9" s="107"/>
      <c r="C9" s="264"/>
      <c r="D9" s="264"/>
      <c r="E9" s="271">
        <v>-151.19999999999999</v>
      </c>
      <c r="F9" s="265"/>
      <c r="G9" s="227">
        <v>103252</v>
      </c>
      <c r="H9" s="252" t="s">
        <v>864</v>
      </c>
    </row>
    <row r="10" spans="1:15" x14ac:dyDescent="0.2">
      <c r="A10" s="217" t="s">
        <v>882</v>
      </c>
      <c r="B10" s="107"/>
      <c r="C10" s="264"/>
      <c r="D10" s="264"/>
      <c r="E10" s="271">
        <v>-136.80000000000001</v>
      </c>
      <c r="F10" s="265"/>
      <c r="G10" s="227">
        <v>23159</v>
      </c>
      <c r="H10" s="252" t="s">
        <v>1008</v>
      </c>
    </row>
    <row r="11" spans="1:15" x14ac:dyDescent="0.2">
      <c r="A11" s="217" t="s">
        <v>940</v>
      </c>
      <c r="B11" s="107"/>
      <c r="C11" s="270">
        <v>-8222.5499999999993</v>
      </c>
      <c r="D11" s="264"/>
      <c r="E11" s="265"/>
      <c r="F11" s="265"/>
      <c r="G11" s="227"/>
      <c r="H11" s="252" t="s">
        <v>945</v>
      </c>
      <c r="K11">
        <f>7366.72+855.83</f>
        <v>8222.5500000000011</v>
      </c>
    </row>
    <row r="12" spans="1:15" x14ac:dyDescent="0.2">
      <c r="A12" s="217" t="s">
        <v>987</v>
      </c>
      <c r="B12" s="107"/>
      <c r="C12" s="270">
        <v>-10433.34</v>
      </c>
      <c r="D12" s="264"/>
      <c r="E12" s="265"/>
      <c r="F12" s="265"/>
      <c r="G12" s="227"/>
      <c r="H12" s="252" t="s">
        <v>990</v>
      </c>
      <c r="K12">
        <f>7473.5+2959.84</f>
        <v>10433.34</v>
      </c>
    </row>
    <row r="13" spans="1:15" x14ac:dyDescent="0.2">
      <c r="A13" s="217" t="s">
        <v>987</v>
      </c>
      <c r="B13" s="107"/>
      <c r="C13" s="270">
        <v>-6199.46</v>
      </c>
      <c r="D13" s="264"/>
      <c r="E13" s="265"/>
      <c r="F13" s="265"/>
      <c r="G13" s="227"/>
      <c r="H13" s="119" t="s">
        <v>993</v>
      </c>
      <c r="K13">
        <f>5582.24+617.22</f>
        <v>6199.46</v>
      </c>
    </row>
    <row r="14" spans="1:15" x14ac:dyDescent="0.2">
      <c r="A14" s="217" t="s">
        <v>1030</v>
      </c>
      <c r="B14" s="107"/>
      <c r="C14" s="270">
        <v>-9202.9500000000007</v>
      </c>
      <c r="D14" s="264"/>
      <c r="E14" s="265"/>
      <c r="F14" s="265"/>
      <c r="G14" s="227"/>
      <c r="H14" s="119" t="s">
        <v>1031</v>
      </c>
      <c r="K14">
        <f>7280+1922.95</f>
        <v>9202.9500000000007</v>
      </c>
    </row>
    <row r="15" spans="1:15" x14ac:dyDescent="0.2">
      <c r="A15" s="217" t="s">
        <v>1076</v>
      </c>
      <c r="B15" s="107"/>
      <c r="C15" s="270">
        <f>-11337.16+2000</f>
        <v>-9337.16</v>
      </c>
      <c r="D15" s="270">
        <v>-2000</v>
      </c>
      <c r="E15" s="265"/>
      <c r="F15" s="265"/>
      <c r="G15" s="227"/>
      <c r="H15" s="119" t="s">
        <v>1080</v>
      </c>
      <c r="K15">
        <f>9087.4+2249.76</f>
        <v>11337.16</v>
      </c>
    </row>
    <row r="16" spans="1:15" x14ac:dyDescent="0.2">
      <c r="A16" s="217" t="s">
        <v>1117</v>
      </c>
      <c r="B16" s="107"/>
      <c r="C16" s="270">
        <v>-12137.53</v>
      </c>
      <c r="D16" s="264"/>
      <c r="E16" s="265"/>
      <c r="F16" s="265"/>
      <c r="G16" s="227"/>
      <c r="H16" s="119" t="s">
        <v>1122</v>
      </c>
      <c r="K16">
        <f>9546+2591.53</f>
        <v>12137.53</v>
      </c>
    </row>
    <row r="17" spans="1:9" x14ac:dyDescent="0.2">
      <c r="A17" s="217" t="s">
        <v>1154</v>
      </c>
      <c r="B17" s="107"/>
      <c r="C17" s="264">
        <v>-13917.36</v>
      </c>
      <c r="D17" s="264"/>
      <c r="E17" s="265"/>
      <c r="F17" s="265"/>
      <c r="G17" s="227"/>
      <c r="H17" s="119" t="s">
        <v>1156</v>
      </c>
    </row>
    <row r="18" spans="1:9" x14ac:dyDescent="0.2">
      <c r="A18" s="217" t="s">
        <v>1242</v>
      </c>
      <c r="B18" s="107"/>
      <c r="C18" s="264"/>
      <c r="D18" s="264"/>
      <c r="E18" s="265">
        <v>-117</v>
      </c>
      <c r="F18" s="265"/>
      <c r="G18" s="227"/>
      <c r="H18" s="119" t="s">
        <v>1243</v>
      </c>
    </row>
    <row r="19" spans="1:9" x14ac:dyDescent="0.2">
      <c r="A19" s="217" t="s">
        <v>1182</v>
      </c>
      <c r="B19" s="107"/>
      <c r="C19" s="264"/>
      <c r="D19" s="264"/>
      <c r="E19" s="265">
        <v>-929</v>
      </c>
      <c r="F19" s="265"/>
      <c r="G19" s="227">
        <v>105683</v>
      </c>
      <c r="H19" s="119" t="s">
        <v>1183</v>
      </c>
    </row>
    <row r="20" spans="1:9" x14ac:dyDescent="0.2">
      <c r="A20" s="217" t="s">
        <v>1190</v>
      </c>
      <c r="B20" s="107"/>
      <c r="C20" s="264">
        <v>-10550</v>
      </c>
      <c r="D20" s="264"/>
      <c r="E20" s="265"/>
      <c r="F20" s="265"/>
      <c r="G20" s="227"/>
      <c r="H20" s="119" t="s">
        <v>1191</v>
      </c>
    </row>
    <row r="21" spans="1:9" x14ac:dyDescent="0.2">
      <c r="A21" s="217" t="s">
        <v>1190</v>
      </c>
      <c r="B21" s="252"/>
      <c r="C21" s="264"/>
      <c r="D21" s="264"/>
      <c r="E21" s="265">
        <v>-27</v>
      </c>
      <c r="F21" s="265"/>
      <c r="G21" s="227"/>
      <c r="H21" s="119" t="s">
        <v>1261</v>
      </c>
      <c r="I21" t="s">
        <v>543</v>
      </c>
    </row>
    <row r="22" spans="1:9" x14ac:dyDescent="0.2">
      <c r="A22" s="217" t="s">
        <v>1262</v>
      </c>
      <c r="B22" s="252"/>
      <c r="C22" s="264"/>
      <c r="D22" s="264"/>
      <c r="E22" s="265">
        <v>-242</v>
      </c>
      <c r="F22" s="265"/>
      <c r="G22" s="227"/>
      <c r="H22" s="119" t="s">
        <v>1263</v>
      </c>
      <c r="I22" s="3" t="s">
        <v>543</v>
      </c>
    </row>
    <row r="23" spans="1:9" x14ac:dyDescent="0.2">
      <c r="A23" s="217" t="s">
        <v>1262</v>
      </c>
      <c r="B23" s="252"/>
      <c r="C23" s="264"/>
      <c r="D23" s="264"/>
      <c r="E23" s="265">
        <v>-281.81</v>
      </c>
      <c r="F23" s="265"/>
      <c r="G23" s="227"/>
      <c r="H23" s="119" t="s">
        <v>1264</v>
      </c>
      <c r="I23" t="s">
        <v>543</v>
      </c>
    </row>
    <row r="24" spans="1:9" x14ac:dyDescent="0.2">
      <c r="A24" s="217" t="s">
        <v>1262</v>
      </c>
      <c r="B24" s="252"/>
      <c r="C24" s="264"/>
      <c r="D24" s="264"/>
      <c r="E24" s="265">
        <v>-242.38</v>
      </c>
      <c r="F24" s="265"/>
      <c r="G24" s="227"/>
      <c r="H24" s="119" t="s">
        <v>1265</v>
      </c>
      <c r="I24" t="s">
        <v>543</v>
      </c>
    </row>
    <row r="25" spans="1:9" x14ac:dyDescent="0.2">
      <c r="A25" s="217"/>
      <c r="B25" s="252"/>
      <c r="C25" s="264"/>
      <c r="D25" s="264"/>
      <c r="E25" s="265"/>
      <c r="F25" s="265"/>
      <c r="G25" s="227"/>
      <c r="H25" s="119"/>
    </row>
    <row r="26" spans="1:9" x14ac:dyDescent="0.2">
      <c r="A26" s="217"/>
      <c r="B26" s="252"/>
      <c r="C26" s="264"/>
      <c r="D26" s="264"/>
      <c r="E26" s="265"/>
      <c r="F26" s="265"/>
      <c r="G26" s="227"/>
      <c r="H26" s="119"/>
    </row>
    <row r="27" spans="1:9" x14ac:dyDescent="0.2">
      <c r="A27" s="217"/>
      <c r="B27" s="252"/>
      <c r="C27" s="264"/>
      <c r="D27" s="264"/>
      <c r="E27" s="265"/>
      <c r="F27" s="265"/>
      <c r="G27" s="227"/>
      <c r="H27" s="119"/>
    </row>
    <row r="28" spans="1:9" x14ac:dyDescent="0.2">
      <c r="A28" s="217"/>
      <c r="B28" s="252"/>
      <c r="C28" s="264"/>
      <c r="D28" s="264"/>
      <c r="E28" s="265"/>
      <c r="F28" s="265"/>
      <c r="G28" s="227"/>
      <c r="H28" s="119"/>
    </row>
    <row r="29" spans="1:9" x14ac:dyDescent="0.2">
      <c r="A29" s="119"/>
      <c r="B29" s="119"/>
      <c r="C29" s="218">
        <v>-30000</v>
      </c>
      <c r="D29" s="218"/>
      <c r="E29" s="218"/>
      <c r="F29" s="218"/>
      <c r="G29" s="227"/>
      <c r="H29" s="252" t="s">
        <v>1172</v>
      </c>
      <c r="I29" t="s">
        <v>1173</v>
      </c>
    </row>
    <row r="30" spans="1:9" x14ac:dyDescent="0.2">
      <c r="A30" s="202"/>
      <c r="B30" s="202"/>
      <c r="C30" s="253"/>
      <c r="D30" s="253"/>
      <c r="E30" s="253"/>
      <c r="F30" s="253"/>
      <c r="G30" s="253"/>
      <c r="H30" s="55"/>
    </row>
    <row r="31" spans="1:9" x14ac:dyDescent="0.2">
      <c r="A31" s="56" t="s">
        <v>77</v>
      </c>
      <c r="B31" s="57"/>
      <c r="C31" s="254">
        <f>SUM(C6:C30)</f>
        <v>-110000.35</v>
      </c>
      <c r="D31" s="254">
        <f>SUM(D6:D30)</f>
        <v>-2000</v>
      </c>
      <c r="E31" s="254">
        <f>SUM(E6:E30)</f>
        <v>-2662.06</v>
      </c>
      <c r="F31" s="254">
        <f>SUM(F6:F30)</f>
        <v>0</v>
      </c>
      <c r="G31" s="254"/>
      <c r="H31" s="53"/>
      <c r="I31" s="3" t="s">
        <v>395</v>
      </c>
    </row>
    <row r="32" spans="1:9" ht="15" x14ac:dyDescent="0.25">
      <c r="A32" s="59" t="s">
        <v>78</v>
      </c>
      <c r="B32" s="60"/>
      <c r="C32" s="61">
        <v>110000</v>
      </c>
      <c r="D32" s="61">
        <v>2000</v>
      </c>
      <c r="E32" s="61">
        <v>18435</v>
      </c>
      <c r="F32" s="61"/>
      <c r="G32" s="61"/>
      <c r="H32" s="63">
        <f>SUM(C32:G32)</f>
        <v>130435</v>
      </c>
      <c r="I32" s="255">
        <v>19565</v>
      </c>
    </row>
    <row r="33" spans="1:9" ht="15" x14ac:dyDescent="0.25">
      <c r="A33" s="256" t="s">
        <v>79</v>
      </c>
      <c r="B33" s="257"/>
      <c r="C33" s="64">
        <f>C32+C31</f>
        <v>-0.35000000000582077</v>
      </c>
      <c r="D33" s="64">
        <f>D32+D31</f>
        <v>0</v>
      </c>
      <c r="E33" s="64">
        <f>E32+E31</f>
        <v>15772.94</v>
      </c>
      <c r="F33" s="64">
        <f>F32+F31</f>
        <v>0</v>
      </c>
      <c r="G33" s="64"/>
      <c r="H33" s="66"/>
    </row>
    <row r="34" spans="1:9" ht="18" x14ac:dyDescent="0.25">
      <c r="A34" s="258" t="s">
        <v>83</v>
      </c>
      <c r="B34" s="259">
        <f>SUM(C33:G33)</f>
        <v>15772.589999999995</v>
      </c>
      <c r="C34" s="260"/>
      <c r="D34" s="260"/>
      <c r="E34" s="176"/>
      <c r="F34" s="176"/>
      <c r="G34" s="176"/>
      <c r="H34" s="176"/>
      <c r="I34" s="261"/>
    </row>
    <row r="35" spans="1:9" ht="18" x14ac:dyDescent="0.25">
      <c r="A35" s="258"/>
      <c r="B35" s="259"/>
      <c r="C35" s="260"/>
      <c r="D35" s="260"/>
      <c r="E35" s="176"/>
      <c r="F35" s="176"/>
      <c r="G35" s="176"/>
      <c r="H35" s="176"/>
      <c r="I35" s="261"/>
    </row>
    <row r="36" spans="1:9" x14ac:dyDescent="0.2">
      <c r="B36" s="262"/>
      <c r="C36" s="177"/>
      <c r="D36" s="177"/>
      <c r="E36" s="177"/>
      <c r="F36" s="177"/>
      <c r="G36" s="177"/>
      <c r="H36" s="177"/>
      <c r="I36" s="177"/>
    </row>
    <row r="37" spans="1:9" x14ac:dyDescent="0.2">
      <c r="B37" s="177"/>
      <c r="C37" s="177"/>
      <c r="D37" s="177"/>
      <c r="E37" s="177"/>
      <c r="F37" s="177"/>
      <c r="G37" s="177"/>
      <c r="H37" s="177"/>
      <c r="I37" s="177"/>
    </row>
    <row r="38" spans="1:9" x14ac:dyDescent="0.2">
      <c r="A38" s="10"/>
      <c r="B38" s="164" t="s">
        <v>574</v>
      </c>
      <c r="C38" s="165"/>
      <c r="D38" s="165"/>
      <c r="E38" s="165">
        <v>0</v>
      </c>
      <c r="F38" s="165"/>
      <c r="G38" s="166"/>
      <c r="H38" s="167"/>
      <c r="I38" s="177"/>
    </row>
    <row r="39" spans="1:9" ht="38.25" x14ac:dyDescent="0.2">
      <c r="A39" s="10"/>
      <c r="B39" s="168" t="s">
        <v>575</v>
      </c>
      <c r="C39" s="168" t="s">
        <v>576</v>
      </c>
      <c r="D39" s="168" t="s">
        <v>577</v>
      </c>
      <c r="E39" s="168" t="s">
        <v>578</v>
      </c>
      <c r="F39" s="168" t="s">
        <v>579</v>
      </c>
      <c r="G39" s="168" t="s">
        <v>580</v>
      </c>
      <c r="H39" s="169" t="s">
        <v>11</v>
      </c>
      <c r="I39" s="177"/>
    </row>
    <row r="40" spans="1:9" x14ac:dyDescent="0.2">
      <c r="A40" s="305" t="s">
        <v>62</v>
      </c>
      <c r="B40" s="169" t="s">
        <v>581</v>
      </c>
      <c r="C40" s="170" t="s">
        <v>767</v>
      </c>
      <c r="D40" s="119">
        <v>1800</v>
      </c>
      <c r="E40" s="272">
        <v>75000</v>
      </c>
      <c r="F40" s="272">
        <f>-E40/1.15+75000</f>
        <v>9782.6086956521685</v>
      </c>
      <c r="G40" s="171">
        <f>E40-F40</f>
        <v>65217.391304347831</v>
      </c>
      <c r="H40" s="119" t="s">
        <v>768</v>
      </c>
      <c r="I40" s="177" t="s">
        <v>788</v>
      </c>
    </row>
    <row r="41" spans="1:9" x14ac:dyDescent="0.2">
      <c r="A41" s="305"/>
      <c r="B41" s="169" t="s">
        <v>582</v>
      </c>
      <c r="C41" s="119"/>
      <c r="D41" s="119"/>
      <c r="E41" s="171"/>
      <c r="F41" s="171"/>
      <c r="G41" s="171"/>
      <c r="H41" s="119"/>
      <c r="I41" s="177"/>
    </row>
    <row r="42" spans="1:9" x14ac:dyDescent="0.2">
      <c r="A42" s="305" t="s">
        <v>63</v>
      </c>
      <c r="B42" s="169" t="s">
        <v>581</v>
      </c>
      <c r="C42" s="119"/>
      <c r="D42" s="119"/>
      <c r="E42" s="171"/>
      <c r="F42" s="171"/>
      <c r="G42" s="171"/>
      <c r="H42" s="119"/>
      <c r="I42" s="177"/>
    </row>
    <row r="43" spans="1:9" x14ac:dyDescent="0.2">
      <c r="A43" s="305"/>
      <c r="B43" s="169" t="s">
        <v>582</v>
      </c>
      <c r="C43" s="119"/>
      <c r="D43" s="119"/>
      <c r="E43" s="171"/>
      <c r="F43" s="171"/>
      <c r="G43" s="171"/>
      <c r="H43" s="119"/>
      <c r="I43" s="177"/>
    </row>
    <row r="44" spans="1:9" x14ac:dyDescent="0.2">
      <c r="A44" s="10"/>
      <c r="B44" s="172" t="s">
        <v>65</v>
      </c>
      <c r="C44" s="172"/>
      <c r="D44" s="172"/>
      <c r="E44" s="173">
        <f>SUM(E40:E41)</f>
        <v>75000</v>
      </c>
      <c r="F44" s="174">
        <f>SUM(F40:F41)</f>
        <v>9782.6086956521685</v>
      </c>
      <c r="G44" s="174">
        <f>SUM(G40:G41)</f>
        <v>65217.391304347831</v>
      </c>
      <c r="H44" s="175"/>
      <c r="I44" s="177"/>
    </row>
    <row r="45" spans="1:9" x14ac:dyDescent="0.2">
      <c r="A45" s="176"/>
      <c r="B45" s="176"/>
      <c r="C45" s="177"/>
      <c r="D45" s="176"/>
      <c r="E45" s="177"/>
      <c r="F45" s="177"/>
      <c r="G45" s="177"/>
      <c r="H45" s="177"/>
      <c r="I45" s="177"/>
    </row>
    <row r="46" spans="1:9" x14ac:dyDescent="0.2">
      <c r="B46" s="176"/>
      <c r="C46" s="177"/>
      <c r="D46" s="176"/>
      <c r="E46" s="177"/>
      <c r="F46" s="177"/>
      <c r="G46" s="177"/>
      <c r="H46" s="177"/>
      <c r="I46" s="177"/>
    </row>
    <row r="47" spans="1:9" x14ac:dyDescent="0.2">
      <c r="B47" s="176"/>
      <c r="C47" s="177"/>
      <c r="D47" s="176"/>
      <c r="E47" s="177"/>
      <c r="F47" s="177"/>
      <c r="G47" s="177"/>
      <c r="H47" s="177"/>
      <c r="I47" s="177"/>
    </row>
    <row r="48" spans="1:9" x14ac:dyDescent="0.2">
      <c r="A48" s="179" t="s">
        <v>584</v>
      </c>
      <c r="B48" s="180">
        <v>300000</v>
      </c>
      <c r="C48" s="180"/>
      <c r="D48" s="176"/>
      <c r="H48" s="177"/>
    </row>
    <row r="49" spans="1:8" x14ac:dyDescent="0.2">
      <c r="A49" s="181" t="s">
        <v>587</v>
      </c>
      <c r="B49" s="182">
        <f>125500+125196</f>
        <v>250696</v>
      </c>
      <c r="C49" s="182"/>
      <c r="D49" s="176"/>
      <c r="H49" s="177"/>
    </row>
    <row r="50" spans="1:8" x14ac:dyDescent="0.2">
      <c r="A50" s="168" t="s">
        <v>395</v>
      </c>
      <c r="B50" s="182">
        <f>B49*0.15</f>
        <v>37604.400000000001</v>
      </c>
      <c r="C50" s="182"/>
      <c r="D50" s="177"/>
      <c r="H50" s="177"/>
    </row>
  </sheetData>
  <mergeCells count="2">
    <mergeCell ref="A40:A41"/>
    <mergeCell ref="A42:A4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4"/>
  <sheetViews>
    <sheetView rightToLeft="1" tabSelected="1" zoomScaleNormal="100" workbookViewId="0">
      <selection activeCell="A22" sqref="A22"/>
    </sheetView>
  </sheetViews>
  <sheetFormatPr defaultRowHeight="14.25" x14ac:dyDescent="0.2"/>
  <cols>
    <col min="10" max="10" width="38.5" customWidth="1"/>
    <col min="12" max="12" width="18.625" customWidth="1"/>
  </cols>
  <sheetData>
    <row r="1" spans="1:13" x14ac:dyDescent="0.2">
      <c r="A1" s="132"/>
      <c r="B1" s="132"/>
      <c r="C1" s="132"/>
      <c r="D1" s="132"/>
      <c r="E1" s="132"/>
      <c r="F1" s="132"/>
      <c r="K1" s="203" t="s">
        <v>615</v>
      </c>
      <c r="L1" s="203" t="s">
        <v>616</v>
      </c>
      <c r="M1" s="203"/>
    </row>
    <row r="2" spans="1:13" ht="15" x14ac:dyDescent="0.2">
      <c r="A2" s="149"/>
      <c r="B2" s="150" t="s">
        <v>617</v>
      </c>
      <c r="C2" s="149"/>
      <c r="D2" s="149"/>
      <c r="E2" s="149"/>
      <c r="F2" s="149"/>
      <c r="K2" s="203" t="s">
        <v>1171</v>
      </c>
      <c r="L2" s="203" t="s">
        <v>619</v>
      </c>
      <c r="M2" s="203"/>
    </row>
    <row r="3" spans="1:13" x14ac:dyDescent="0.2">
      <c r="A3" s="149"/>
      <c r="B3" s="149"/>
      <c r="C3" s="149"/>
      <c r="D3" s="149"/>
      <c r="E3" s="149"/>
      <c r="F3" s="149"/>
      <c r="G3" t="s">
        <v>620</v>
      </c>
      <c r="K3" s="203" t="s">
        <v>621</v>
      </c>
      <c r="L3" s="203" t="s">
        <v>622</v>
      </c>
      <c r="M3" s="203"/>
    </row>
    <row r="4" spans="1:13" x14ac:dyDescent="0.2">
      <c r="A4" s="70" t="s">
        <v>386</v>
      </c>
      <c r="B4" s="149" t="s">
        <v>639</v>
      </c>
      <c r="C4" s="149"/>
      <c r="D4" s="149" t="s">
        <v>387</v>
      </c>
      <c r="E4" s="149" t="s">
        <v>638</v>
      </c>
      <c r="F4" s="149"/>
      <c r="G4" s="187" t="s">
        <v>623</v>
      </c>
      <c r="K4" s="204" t="s">
        <v>624</v>
      </c>
      <c r="L4" s="203" t="s">
        <v>625</v>
      </c>
      <c r="M4" s="203"/>
    </row>
    <row r="5" spans="1:13" x14ac:dyDescent="0.2">
      <c r="A5" s="70" t="s">
        <v>76</v>
      </c>
      <c r="B5" s="151"/>
      <c r="C5" s="149"/>
      <c r="D5" s="149"/>
      <c r="E5" s="149"/>
      <c r="F5" s="149"/>
    </row>
    <row r="6" spans="1:13" x14ac:dyDescent="0.2">
      <c r="A6" s="70" t="s">
        <v>626</v>
      </c>
      <c r="B6" s="70" t="s">
        <v>1</v>
      </c>
      <c r="C6" s="152" t="s">
        <v>444</v>
      </c>
      <c r="D6" s="70" t="s">
        <v>2</v>
      </c>
      <c r="E6" s="153" t="s">
        <v>627</v>
      </c>
      <c r="F6" s="154"/>
      <c r="K6" t="s">
        <v>628</v>
      </c>
      <c r="L6" t="s">
        <v>629</v>
      </c>
    </row>
    <row r="7" spans="1:13" x14ac:dyDescent="0.2">
      <c r="A7" s="132"/>
      <c r="B7" s="132"/>
      <c r="C7" s="132"/>
      <c r="D7" s="132"/>
      <c r="E7" s="132"/>
      <c r="F7" s="132"/>
    </row>
    <row r="8" spans="1:13" x14ac:dyDescent="0.2">
      <c r="A8" s="205" t="s">
        <v>4</v>
      </c>
      <c r="B8" s="205" t="s">
        <v>5</v>
      </c>
      <c r="C8" s="205" t="s">
        <v>389</v>
      </c>
      <c r="D8" s="205" t="s">
        <v>47</v>
      </c>
      <c r="E8" s="205" t="s">
        <v>265</v>
      </c>
      <c r="F8" s="205" t="s">
        <v>49</v>
      </c>
      <c r="G8" s="205" t="s">
        <v>640</v>
      </c>
      <c r="H8" s="205" t="s">
        <v>641</v>
      </c>
      <c r="I8" s="205" t="s">
        <v>16</v>
      </c>
      <c r="J8" s="205" t="s">
        <v>51</v>
      </c>
      <c r="L8" t="s">
        <v>63</v>
      </c>
      <c r="M8" t="s">
        <v>690</v>
      </c>
    </row>
    <row r="9" spans="1:13" x14ac:dyDescent="0.2">
      <c r="A9" s="155" t="s">
        <v>1106</v>
      </c>
      <c r="B9" s="155"/>
      <c r="C9" s="155"/>
      <c r="D9" s="155"/>
      <c r="E9" s="155"/>
      <c r="F9" s="155">
        <v>-29</v>
      </c>
      <c r="G9" s="155"/>
      <c r="H9" s="155"/>
      <c r="I9" s="155">
        <v>105683</v>
      </c>
      <c r="J9" s="155" t="s">
        <v>1170</v>
      </c>
    </row>
    <row r="10" spans="1:13" x14ac:dyDescent="0.2">
      <c r="A10" s="155" t="s">
        <v>1144</v>
      </c>
      <c r="B10" s="155"/>
      <c r="C10" s="155"/>
      <c r="D10" s="155"/>
      <c r="E10" s="155"/>
      <c r="F10" s="155">
        <v>-99.6</v>
      </c>
      <c r="G10" s="155"/>
      <c r="H10" s="155"/>
      <c r="I10" s="155">
        <v>105683</v>
      </c>
      <c r="J10" s="155" t="s">
        <v>1170</v>
      </c>
    </row>
    <row r="11" spans="1:13" x14ac:dyDescent="0.2">
      <c r="A11" s="155" t="s">
        <v>1147</v>
      </c>
      <c r="B11" s="155"/>
      <c r="C11" s="155"/>
      <c r="D11" s="155"/>
      <c r="E11" s="155"/>
      <c r="F11" s="155">
        <v>-72.7</v>
      </c>
      <c r="G11" s="155"/>
      <c r="H11" s="155"/>
      <c r="I11" s="155">
        <v>95919</v>
      </c>
      <c r="J11" s="155" t="s">
        <v>1152</v>
      </c>
    </row>
    <row r="12" spans="1:13" x14ac:dyDescent="0.2">
      <c r="A12" s="155" t="s">
        <v>1154</v>
      </c>
      <c r="B12" s="155"/>
      <c r="C12" s="155">
        <v>-2743.5</v>
      </c>
      <c r="D12" s="155"/>
      <c r="E12" s="155"/>
      <c r="F12" s="155"/>
      <c r="G12" s="155"/>
      <c r="H12" s="155"/>
      <c r="I12" s="155"/>
      <c r="J12" s="155" t="s">
        <v>1157</v>
      </c>
    </row>
    <row r="13" spans="1:13" x14ac:dyDescent="0.2">
      <c r="A13" s="155" t="s">
        <v>1154</v>
      </c>
      <c r="B13" s="155"/>
      <c r="C13" s="155">
        <v>-4512.38</v>
      </c>
      <c r="D13" s="155"/>
      <c r="E13" s="155"/>
      <c r="F13" s="155"/>
      <c r="G13" s="155"/>
      <c r="H13" s="155"/>
      <c r="I13" s="155"/>
      <c r="J13" s="155" t="s">
        <v>1158</v>
      </c>
    </row>
    <row r="14" spans="1:13" x14ac:dyDescent="0.2">
      <c r="A14" s="155" t="s">
        <v>1154</v>
      </c>
      <c r="B14" s="155"/>
      <c r="C14" s="155">
        <v>-4453.46</v>
      </c>
      <c r="D14" s="155"/>
      <c r="E14" s="155"/>
      <c r="F14" s="155"/>
      <c r="G14" s="155"/>
      <c r="H14" s="155"/>
      <c r="I14" s="155"/>
      <c r="J14" s="155" t="s">
        <v>1159</v>
      </c>
    </row>
    <row r="15" spans="1:13" x14ac:dyDescent="0.2">
      <c r="A15" s="155" t="s">
        <v>1154</v>
      </c>
      <c r="B15" s="155"/>
      <c r="C15" s="155">
        <v>-2517.17</v>
      </c>
      <c r="D15" s="155"/>
      <c r="E15" s="155"/>
      <c r="F15" s="155"/>
      <c r="G15" s="155"/>
      <c r="H15" s="155"/>
      <c r="I15" s="155"/>
      <c r="J15" s="155" t="s">
        <v>1160</v>
      </c>
    </row>
    <row r="16" spans="1:13" x14ac:dyDescent="0.2">
      <c r="A16" s="155" t="s">
        <v>1154</v>
      </c>
      <c r="B16" s="155"/>
      <c r="C16" s="155"/>
      <c r="D16" s="155">
        <f>-(1510*1.29*1.25)-(510*2.58*1.25)</f>
        <v>-4079.625</v>
      </c>
      <c r="E16" s="155"/>
      <c r="F16" s="155"/>
      <c r="G16" s="155"/>
      <c r="H16" s="155"/>
      <c r="I16" s="155"/>
      <c r="J16" s="155" t="s">
        <v>1161</v>
      </c>
    </row>
    <row r="17" spans="1:14" x14ac:dyDescent="0.2">
      <c r="A17" s="155" t="s">
        <v>1190</v>
      </c>
      <c r="B17" s="155"/>
      <c r="C17" s="155">
        <f>-12161.04+10550</f>
        <v>-1611.0400000000009</v>
      </c>
      <c r="D17" s="155"/>
      <c r="E17" s="155"/>
      <c r="F17" s="155"/>
      <c r="G17" s="155"/>
      <c r="H17" s="155"/>
      <c r="I17" s="155"/>
      <c r="J17" s="155" t="s">
        <v>1191</v>
      </c>
    </row>
    <row r="18" spans="1:14" x14ac:dyDescent="0.2">
      <c r="A18" s="155" t="s">
        <v>1190</v>
      </c>
      <c r="B18" s="155"/>
      <c r="C18" s="155"/>
      <c r="D18" s="155">
        <f>-(2560*1.29*1.25)-(630*2.58*1.25)</f>
        <v>-6159.75</v>
      </c>
      <c r="E18" s="155"/>
      <c r="F18" s="155"/>
      <c r="G18" s="155"/>
      <c r="H18" s="155"/>
      <c r="I18" s="155"/>
      <c r="J18" s="155" t="s">
        <v>1205</v>
      </c>
    </row>
    <row r="19" spans="1:14" x14ac:dyDescent="0.2">
      <c r="A19" s="155" t="s">
        <v>1190</v>
      </c>
      <c r="B19" s="155"/>
      <c r="C19" s="155"/>
      <c r="D19" s="155">
        <f>-3706.95+(9*38*1.25)+(200*1.29*1.25)</f>
        <v>-2956.95</v>
      </c>
      <c r="E19" s="155"/>
      <c r="F19" s="155"/>
      <c r="G19" s="155"/>
      <c r="H19" s="155"/>
      <c r="I19" s="155"/>
      <c r="J19" s="155" t="s">
        <v>1206</v>
      </c>
    </row>
    <row r="20" spans="1:14" x14ac:dyDescent="0.2">
      <c r="A20" s="155" t="s">
        <v>1275</v>
      </c>
      <c r="B20" s="155"/>
      <c r="C20" s="155"/>
      <c r="D20" s="155"/>
      <c r="E20" s="155"/>
      <c r="F20" s="155">
        <v>-260</v>
      </c>
      <c r="G20" s="155"/>
      <c r="H20" s="155"/>
      <c r="I20" s="155"/>
      <c r="J20" s="155" t="s">
        <v>1276</v>
      </c>
    </row>
    <row r="21" spans="1:14" x14ac:dyDescent="0.2">
      <c r="A21" s="155" t="s">
        <v>1171</v>
      </c>
      <c r="B21" s="155"/>
      <c r="C21" s="155"/>
      <c r="D21" s="155">
        <f>-(1190*1.29*1.25)-(510*2.58*1.25)</f>
        <v>-3563.625</v>
      </c>
      <c r="E21" s="155"/>
      <c r="F21" s="155"/>
      <c r="G21" s="155"/>
      <c r="H21" s="155"/>
      <c r="I21" s="155"/>
      <c r="J21" s="155" t="s">
        <v>1284</v>
      </c>
    </row>
    <row r="22" spans="1:14" x14ac:dyDescent="0.2">
      <c r="A22" s="155"/>
      <c r="B22" s="155"/>
      <c r="C22" s="155"/>
      <c r="D22" s="155"/>
      <c r="E22" s="155"/>
      <c r="F22" s="155"/>
      <c r="G22" s="155"/>
      <c r="H22" s="155"/>
      <c r="I22" s="155"/>
      <c r="J22" s="155"/>
    </row>
    <row r="23" spans="1:14" x14ac:dyDescent="0.2">
      <c r="A23" s="155"/>
      <c r="B23" s="155"/>
      <c r="C23" s="155">
        <v>-30000</v>
      </c>
      <c r="D23" s="155"/>
      <c r="E23" s="155"/>
      <c r="F23" s="155"/>
      <c r="G23" s="155"/>
      <c r="H23" s="155"/>
      <c r="I23" s="155"/>
      <c r="J23" s="155" t="s">
        <v>1172</v>
      </c>
    </row>
    <row r="24" spans="1:14" x14ac:dyDescent="0.2">
      <c r="A24" s="155"/>
      <c r="B24" s="155"/>
      <c r="C24" s="155"/>
      <c r="D24" s="155"/>
      <c r="E24" s="155"/>
      <c r="F24" s="155"/>
      <c r="G24" s="155"/>
      <c r="H24" s="155">
        <v>-500</v>
      </c>
      <c r="I24" s="155"/>
      <c r="J24" s="155"/>
    </row>
    <row r="25" spans="1:14" x14ac:dyDescent="0.2">
      <c r="A25" s="206" t="s">
        <v>77</v>
      </c>
      <c r="B25" s="205"/>
      <c r="C25" s="207">
        <f t="shared" ref="C25:H25" si="0">SUM(C9:C24)</f>
        <v>-45837.55</v>
      </c>
      <c r="D25" s="207">
        <f t="shared" si="0"/>
        <v>-16759.95</v>
      </c>
      <c r="E25" s="207">
        <f t="shared" si="0"/>
        <v>0</v>
      </c>
      <c r="F25" s="207">
        <f t="shared" si="0"/>
        <v>-461.3</v>
      </c>
      <c r="G25" s="207">
        <f t="shared" si="0"/>
        <v>0</v>
      </c>
      <c r="H25" s="207">
        <f t="shared" si="0"/>
        <v>-500</v>
      </c>
      <c r="I25" s="207"/>
      <c r="J25" s="207">
        <f>SUM(C25:H25)</f>
        <v>-63558.8</v>
      </c>
    </row>
    <row r="26" spans="1:14" ht="15" x14ac:dyDescent="0.25">
      <c r="A26" s="136" t="s">
        <v>78</v>
      </c>
      <c r="B26" s="137"/>
      <c r="C26" s="138">
        <v>46000</v>
      </c>
      <c r="D26" s="138">
        <v>16000</v>
      </c>
      <c r="E26" s="138">
        <v>4000</v>
      </c>
      <c r="F26" s="138">
        <v>20000</v>
      </c>
      <c r="G26" s="139">
        <v>457</v>
      </c>
      <c r="H26" s="138">
        <v>500</v>
      </c>
      <c r="I26" s="138"/>
      <c r="J26" s="269">
        <f>SUM(C26:H26)</f>
        <v>86957</v>
      </c>
    </row>
    <row r="27" spans="1:14" ht="15.75" thickBot="1" x14ac:dyDescent="0.3">
      <c r="A27" s="208" t="s">
        <v>79</v>
      </c>
      <c r="B27" s="209"/>
      <c r="C27" s="210">
        <f t="shared" ref="C27:H27" si="1">C26+C25</f>
        <v>162.44999999999709</v>
      </c>
      <c r="D27" s="210">
        <f t="shared" si="1"/>
        <v>-759.95000000000073</v>
      </c>
      <c r="E27" s="210">
        <f t="shared" si="1"/>
        <v>4000</v>
      </c>
      <c r="F27" s="210">
        <f t="shared" si="1"/>
        <v>19538.7</v>
      </c>
      <c r="G27" s="210">
        <f t="shared" si="1"/>
        <v>457</v>
      </c>
      <c r="H27" s="210">
        <f t="shared" si="1"/>
        <v>0</v>
      </c>
      <c r="I27" s="210"/>
      <c r="J27" s="211"/>
    </row>
    <row r="28" spans="1:14" ht="18.75" thickBot="1" x14ac:dyDescent="0.3">
      <c r="A28" s="212" t="s">
        <v>83</v>
      </c>
      <c r="B28" s="213">
        <f>SUM(C27:H27)</f>
        <v>23398.199999999997</v>
      </c>
      <c r="C28" s="132"/>
      <c r="D28" s="132"/>
      <c r="E28" s="146"/>
      <c r="F28" s="146"/>
      <c r="G28" s="146"/>
      <c r="H28" s="135"/>
      <c r="I28" s="135"/>
    </row>
    <row r="29" spans="1:14" x14ac:dyDescent="0.2">
      <c r="A29" s="132"/>
      <c r="B29" s="132"/>
      <c r="C29" s="132"/>
      <c r="D29" s="132"/>
      <c r="E29" s="132"/>
      <c r="F29" s="132"/>
    </row>
    <row r="30" spans="1:14" x14ac:dyDescent="0.2">
      <c r="A30" s="132"/>
      <c r="B30" s="132"/>
      <c r="C30" s="132"/>
      <c r="D30" s="132"/>
      <c r="E30" s="132"/>
      <c r="F30" s="132"/>
    </row>
    <row r="31" spans="1:14" x14ac:dyDescent="0.2">
      <c r="A31" s="205" t="s">
        <v>4</v>
      </c>
      <c r="B31" s="205" t="s">
        <v>5</v>
      </c>
      <c r="C31" s="205" t="s">
        <v>389</v>
      </c>
      <c r="D31" s="205" t="s">
        <v>47</v>
      </c>
      <c r="E31" s="205" t="s">
        <v>265</v>
      </c>
      <c r="F31" s="205" t="s">
        <v>49</v>
      </c>
      <c r="G31" s="205" t="s">
        <v>640</v>
      </c>
      <c r="H31" s="205" t="s">
        <v>641</v>
      </c>
      <c r="I31" s="205" t="s">
        <v>16</v>
      </c>
      <c r="J31" s="205" t="s">
        <v>51</v>
      </c>
      <c r="L31" t="s">
        <v>63</v>
      </c>
      <c r="M31" t="s">
        <v>690</v>
      </c>
    </row>
    <row r="32" spans="1:14" x14ac:dyDescent="0.2">
      <c r="A32" s="15" t="s">
        <v>601</v>
      </c>
      <c r="B32" s="241"/>
      <c r="C32" s="128"/>
      <c r="D32" s="128"/>
      <c r="E32" s="218">
        <v>-5753</v>
      </c>
      <c r="F32" s="218"/>
      <c r="G32" s="218"/>
      <c r="H32" s="218"/>
      <c r="I32" s="119">
        <v>95047</v>
      </c>
      <c r="J32" s="81" t="s">
        <v>692</v>
      </c>
      <c r="L32" s="203"/>
      <c r="M32" s="203"/>
      <c r="N32" s="203"/>
    </row>
    <row r="33" spans="1:14" x14ac:dyDescent="0.2">
      <c r="A33" s="15" t="s">
        <v>601</v>
      </c>
      <c r="B33" s="241"/>
      <c r="C33" s="128"/>
      <c r="D33" s="128"/>
      <c r="E33" s="218">
        <v>-7494</v>
      </c>
      <c r="F33" s="218"/>
      <c r="G33" s="218"/>
      <c r="H33" s="218"/>
      <c r="I33" s="119">
        <v>17833</v>
      </c>
      <c r="J33" s="81" t="s">
        <v>730</v>
      </c>
      <c r="L33" s="203"/>
      <c r="M33" s="203"/>
      <c r="N33" s="203"/>
    </row>
    <row r="34" spans="1:14" x14ac:dyDescent="0.2">
      <c r="A34" s="15" t="s">
        <v>655</v>
      </c>
      <c r="B34" s="241"/>
      <c r="C34" s="128"/>
      <c r="D34" s="239">
        <v>-1598</v>
      </c>
      <c r="E34" s="218"/>
      <c r="F34" s="218"/>
      <c r="G34" s="218"/>
      <c r="H34" s="218"/>
      <c r="I34" s="119"/>
      <c r="J34" s="81" t="s">
        <v>656</v>
      </c>
      <c r="L34" s="203"/>
      <c r="M34" s="203"/>
      <c r="N34" s="203"/>
    </row>
    <row r="35" spans="1:14" x14ac:dyDescent="0.2">
      <c r="A35" s="15" t="s">
        <v>655</v>
      </c>
      <c r="B35" s="241"/>
      <c r="C35" s="239">
        <v>-6919.35</v>
      </c>
      <c r="D35" s="128"/>
      <c r="E35" s="218"/>
      <c r="F35" s="218"/>
      <c r="G35" s="218"/>
      <c r="H35" s="218"/>
      <c r="I35" s="119"/>
      <c r="J35" s="81" t="s">
        <v>754</v>
      </c>
    </row>
    <row r="36" spans="1:14" x14ac:dyDescent="0.2">
      <c r="A36" s="15" t="s">
        <v>655</v>
      </c>
      <c r="B36" s="241"/>
      <c r="C36" s="128"/>
      <c r="D36" s="128"/>
      <c r="E36" s="218"/>
      <c r="F36" s="218">
        <v>-484.9</v>
      </c>
      <c r="G36" s="218"/>
      <c r="H36" s="218"/>
      <c r="I36" s="119">
        <v>17833</v>
      </c>
      <c r="J36" s="53" t="s">
        <v>722</v>
      </c>
    </row>
    <row r="37" spans="1:14" x14ac:dyDescent="0.2">
      <c r="A37" s="15" t="s">
        <v>675</v>
      </c>
      <c r="B37" s="241"/>
      <c r="C37" s="128"/>
      <c r="D37" s="128"/>
      <c r="E37" s="218"/>
      <c r="F37" s="218">
        <v>-146.69999999999999</v>
      </c>
      <c r="G37" s="218"/>
      <c r="H37" s="218"/>
      <c r="I37" s="119">
        <v>17833</v>
      </c>
      <c r="J37" s="53" t="s">
        <v>722</v>
      </c>
    </row>
    <row r="38" spans="1:14" x14ac:dyDescent="0.2">
      <c r="A38" s="15" t="s">
        <v>676</v>
      </c>
      <c r="B38" s="241"/>
      <c r="C38" s="128"/>
      <c r="D38" s="128"/>
      <c r="E38" s="218"/>
      <c r="F38" s="218">
        <v>-133.80000000000001</v>
      </c>
      <c r="G38" s="218"/>
      <c r="H38" s="218"/>
      <c r="I38" s="119">
        <v>17833</v>
      </c>
      <c r="J38" s="53" t="s">
        <v>721</v>
      </c>
    </row>
    <row r="39" spans="1:14" x14ac:dyDescent="0.2">
      <c r="A39" s="15" t="s">
        <v>677</v>
      </c>
      <c r="B39" s="241"/>
      <c r="C39" s="128"/>
      <c r="D39" s="128"/>
      <c r="E39" s="218"/>
      <c r="F39" s="218">
        <f>-12-640.8+300-68</f>
        <v>-420.79999999999995</v>
      </c>
      <c r="G39" s="218"/>
      <c r="H39" s="218"/>
      <c r="I39" s="119">
        <v>17833</v>
      </c>
      <c r="J39" s="53" t="s">
        <v>722</v>
      </c>
    </row>
    <row r="40" spans="1:14" x14ac:dyDescent="0.2">
      <c r="A40" s="15" t="s">
        <v>693</v>
      </c>
      <c r="B40" s="241"/>
      <c r="C40" s="128"/>
      <c r="D40" s="128"/>
      <c r="E40" s="218"/>
      <c r="F40" s="218">
        <v>-1158.3</v>
      </c>
      <c r="G40" s="218"/>
      <c r="H40" s="218"/>
      <c r="I40" s="119"/>
      <c r="J40" s="53" t="s">
        <v>694</v>
      </c>
    </row>
    <row r="41" spans="1:14" x14ac:dyDescent="0.2">
      <c r="A41" s="15" t="s">
        <v>703</v>
      </c>
      <c r="B41" s="218"/>
      <c r="C41" s="218"/>
      <c r="D41" s="218">
        <f>-(909*1.29*1.25)</f>
        <v>-1465.7625000000003</v>
      </c>
      <c r="E41" s="218"/>
      <c r="F41" s="218"/>
      <c r="G41" s="218"/>
      <c r="H41" s="218"/>
      <c r="I41" s="218"/>
      <c r="J41" s="81" t="s">
        <v>711</v>
      </c>
    </row>
    <row r="42" spans="1:14" x14ac:dyDescent="0.2">
      <c r="A42" s="119" t="s">
        <v>703</v>
      </c>
      <c r="B42" s="218"/>
      <c r="C42" s="218">
        <v>-6721.07</v>
      </c>
      <c r="D42" s="218"/>
      <c r="E42" s="218"/>
      <c r="F42" s="218"/>
      <c r="G42" s="218"/>
      <c r="H42" s="218"/>
      <c r="I42" s="218"/>
      <c r="J42" s="231" t="s">
        <v>712</v>
      </c>
    </row>
    <row r="43" spans="1:14" x14ac:dyDescent="0.2">
      <c r="A43" s="119" t="s">
        <v>703</v>
      </c>
      <c r="B43" s="218"/>
      <c r="C43" s="218"/>
      <c r="D43" s="218"/>
      <c r="E43" s="218"/>
      <c r="F43" s="218">
        <v>-27</v>
      </c>
      <c r="G43" s="218"/>
      <c r="H43" s="218"/>
      <c r="I43" s="227">
        <v>66183215</v>
      </c>
      <c r="J43" s="53" t="s">
        <v>782</v>
      </c>
    </row>
    <row r="44" spans="1:14" x14ac:dyDescent="0.2">
      <c r="A44" s="119" t="s">
        <v>718</v>
      </c>
      <c r="B44" s="218"/>
      <c r="C44" s="218"/>
      <c r="D44" s="218"/>
      <c r="E44" s="218"/>
      <c r="F44" s="218">
        <v>-166.1</v>
      </c>
      <c r="G44" s="218"/>
      <c r="H44" s="218"/>
      <c r="I44" s="227">
        <v>66183215</v>
      </c>
      <c r="J44" s="53" t="s">
        <v>782</v>
      </c>
    </row>
    <row r="45" spans="1:14" x14ac:dyDescent="0.2">
      <c r="A45" s="119" t="s">
        <v>732</v>
      </c>
      <c r="B45" s="218"/>
      <c r="C45" s="218"/>
      <c r="D45" s="218"/>
      <c r="E45" s="218"/>
      <c r="F45" s="218">
        <v>-30.1</v>
      </c>
      <c r="G45" s="218"/>
      <c r="H45" s="218"/>
      <c r="I45" s="227">
        <v>66183215</v>
      </c>
      <c r="J45" s="53" t="s">
        <v>782</v>
      </c>
    </row>
    <row r="46" spans="1:14" x14ac:dyDescent="0.2">
      <c r="A46" s="119" t="s">
        <v>726</v>
      </c>
      <c r="B46" s="218"/>
      <c r="C46" s="218"/>
      <c r="D46" s="218"/>
      <c r="E46" s="218"/>
      <c r="F46" s="218">
        <v>-10</v>
      </c>
      <c r="G46" s="218"/>
      <c r="H46" s="218"/>
      <c r="I46" s="227">
        <v>66183215</v>
      </c>
      <c r="J46" s="53" t="s">
        <v>782</v>
      </c>
    </row>
    <row r="47" spans="1:14" x14ac:dyDescent="0.2">
      <c r="A47" s="119" t="s">
        <v>727</v>
      </c>
      <c r="B47" s="218"/>
      <c r="C47" s="218"/>
      <c r="D47" s="218"/>
      <c r="E47" s="218"/>
      <c r="F47" s="218">
        <v>-94.8</v>
      </c>
      <c r="G47" s="218"/>
      <c r="H47" s="218"/>
      <c r="I47" s="227">
        <v>66183215</v>
      </c>
      <c r="J47" s="53" t="s">
        <v>782</v>
      </c>
    </row>
    <row r="48" spans="1:14" x14ac:dyDescent="0.2">
      <c r="A48" s="119" t="s">
        <v>731</v>
      </c>
      <c r="B48" s="218"/>
      <c r="C48" s="218"/>
      <c r="D48" s="218"/>
      <c r="E48" s="218"/>
      <c r="F48" s="218">
        <v>-276</v>
      </c>
      <c r="G48" s="218"/>
      <c r="H48" s="218"/>
      <c r="I48" s="227">
        <v>17779</v>
      </c>
      <c r="J48" s="53" t="s">
        <v>740</v>
      </c>
      <c r="K48" t="s">
        <v>317</v>
      </c>
    </row>
    <row r="49" spans="1:15" x14ac:dyDescent="0.2">
      <c r="A49" s="119" t="s">
        <v>747</v>
      </c>
      <c r="B49" s="218"/>
      <c r="C49" s="218"/>
      <c r="D49" s="218"/>
      <c r="E49" s="218"/>
      <c r="F49" s="218">
        <v>-290.55</v>
      </c>
      <c r="G49" s="218"/>
      <c r="H49" s="218"/>
      <c r="I49" s="227">
        <v>85021</v>
      </c>
      <c r="J49" s="53" t="s">
        <v>821</v>
      </c>
      <c r="M49" s="134"/>
      <c r="N49" s="135"/>
      <c r="O49" s="134"/>
    </row>
    <row r="50" spans="1:15" x14ac:dyDescent="0.2">
      <c r="A50" s="217" t="s">
        <v>749</v>
      </c>
      <c r="B50" s="218"/>
      <c r="C50" s="218"/>
      <c r="D50" s="218">
        <f>-(2251.05-1290)*1.25</f>
        <v>-1201.3125000000002</v>
      </c>
      <c r="E50" s="218"/>
      <c r="F50" s="218"/>
      <c r="G50" s="218"/>
      <c r="H50" s="218"/>
      <c r="I50" s="227"/>
      <c r="J50" s="81" t="s">
        <v>750</v>
      </c>
      <c r="M50" s="134"/>
      <c r="N50" s="135"/>
      <c r="O50" s="134"/>
    </row>
    <row r="51" spans="1:15" x14ac:dyDescent="0.2">
      <c r="A51" s="217" t="s">
        <v>749</v>
      </c>
      <c r="B51" s="218"/>
      <c r="C51" s="218">
        <v>-6268.89</v>
      </c>
      <c r="D51" s="218"/>
      <c r="E51" s="218"/>
      <c r="F51" s="218"/>
      <c r="G51" s="218"/>
      <c r="H51" s="218"/>
      <c r="I51" s="227"/>
      <c r="J51" s="81" t="s">
        <v>751</v>
      </c>
      <c r="M51" s="134"/>
      <c r="N51" s="135"/>
      <c r="O51" s="134"/>
    </row>
    <row r="52" spans="1:15" x14ac:dyDescent="0.2">
      <c r="A52" s="217" t="s">
        <v>749</v>
      </c>
      <c r="B52" s="218"/>
      <c r="C52" s="218">
        <v>-6268.89</v>
      </c>
      <c r="D52" s="218"/>
      <c r="E52" s="218"/>
      <c r="F52" s="218"/>
      <c r="G52" s="218"/>
      <c r="H52" s="218"/>
      <c r="I52" s="227"/>
      <c r="J52" s="81" t="s">
        <v>753</v>
      </c>
      <c r="M52" s="134"/>
      <c r="N52" s="135"/>
      <c r="O52" s="134"/>
    </row>
    <row r="53" spans="1:15" x14ac:dyDescent="0.2">
      <c r="A53" s="217" t="s">
        <v>795</v>
      </c>
      <c r="B53" s="218"/>
      <c r="C53" s="218"/>
      <c r="D53" s="218"/>
      <c r="E53" s="218"/>
      <c r="F53" s="218">
        <v>-264.06</v>
      </c>
      <c r="G53" s="218"/>
      <c r="H53" s="218"/>
      <c r="I53" s="227">
        <v>91045</v>
      </c>
      <c r="J53" s="81" t="s">
        <v>796</v>
      </c>
      <c r="K53" t="s">
        <v>317</v>
      </c>
      <c r="M53" s="134"/>
      <c r="N53" s="135"/>
      <c r="O53" s="134"/>
    </row>
    <row r="54" spans="1:15" x14ac:dyDescent="0.2">
      <c r="A54" s="217" t="s">
        <v>797</v>
      </c>
      <c r="B54" s="218"/>
      <c r="C54" s="218"/>
      <c r="D54" s="218"/>
      <c r="E54" s="218"/>
      <c r="F54" s="218">
        <v>-246.21</v>
      </c>
      <c r="G54" s="218"/>
      <c r="H54" s="218"/>
      <c r="I54" s="227">
        <v>91045</v>
      </c>
      <c r="J54" s="81" t="s">
        <v>798</v>
      </c>
      <c r="K54" t="s">
        <v>317</v>
      </c>
      <c r="M54" s="134"/>
      <c r="N54" s="135"/>
      <c r="O54" s="134"/>
    </row>
    <row r="55" spans="1:15" x14ac:dyDescent="0.2">
      <c r="A55" s="217" t="s">
        <v>797</v>
      </c>
      <c r="B55" s="218"/>
      <c r="C55" s="218"/>
      <c r="D55" s="218"/>
      <c r="E55" s="218"/>
      <c r="F55" s="218">
        <v>-256.91000000000003</v>
      </c>
      <c r="G55" s="218"/>
      <c r="H55" s="218"/>
      <c r="I55" s="227">
        <v>91045</v>
      </c>
      <c r="J55" s="81" t="s">
        <v>799</v>
      </c>
      <c r="K55" t="s">
        <v>317</v>
      </c>
      <c r="M55" s="134"/>
      <c r="N55" s="135"/>
      <c r="O55" s="134"/>
    </row>
    <row r="56" spans="1:15" x14ac:dyDescent="0.2">
      <c r="A56" s="217" t="s">
        <v>758</v>
      </c>
      <c r="B56" s="218"/>
      <c r="C56" s="218"/>
      <c r="D56" s="218"/>
      <c r="E56" s="218"/>
      <c r="F56" s="218">
        <v>-96</v>
      </c>
      <c r="G56" s="218"/>
      <c r="H56" s="218"/>
      <c r="I56" s="227">
        <v>85021</v>
      </c>
      <c r="J56" s="81" t="s">
        <v>815</v>
      </c>
      <c r="M56" s="134"/>
      <c r="N56" s="135"/>
      <c r="O56" s="134"/>
    </row>
    <row r="57" spans="1:15" x14ac:dyDescent="0.2">
      <c r="A57" s="217" t="s">
        <v>758</v>
      </c>
      <c r="B57" s="218"/>
      <c r="C57" s="218"/>
      <c r="D57" s="218"/>
      <c r="E57" s="218"/>
      <c r="F57" s="218">
        <v>-81.7</v>
      </c>
      <c r="G57" s="218"/>
      <c r="H57" s="218"/>
      <c r="I57" s="227">
        <v>85021</v>
      </c>
      <c r="J57" s="81" t="s">
        <v>821</v>
      </c>
      <c r="M57" s="134"/>
      <c r="N57" s="135"/>
      <c r="O57" s="134"/>
    </row>
    <row r="58" spans="1:15" x14ac:dyDescent="0.2">
      <c r="A58" s="217" t="s">
        <v>776</v>
      </c>
      <c r="B58" s="218"/>
      <c r="C58" s="218"/>
      <c r="D58" s="218">
        <v>-461</v>
      </c>
      <c r="E58" s="218"/>
      <c r="F58" s="218"/>
      <c r="G58" s="218"/>
      <c r="H58" s="218"/>
      <c r="I58" s="227">
        <v>66183215</v>
      </c>
      <c r="J58" s="81" t="s">
        <v>777</v>
      </c>
      <c r="M58" s="134"/>
      <c r="N58" s="135"/>
      <c r="O58" s="134"/>
    </row>
    <row r="59" spans="1:15" x14ac:dyDescent="0.2">
      <c r="A59" s="217" t="s">
        <v>772</v>
      </c>
      <c r="B59" s="218"/>
      <c r="C59" s="218"/>
      <c r="D59" s="218">
        <v>-107.07</v>
      </c>
      <c r="E59" s="218"/>
      <c r="F59" s="218"/>
      <c r="G59" s="218"/>
      <c r="H59" s="218"/>
      <c r="I59" s="227">
        <v>91045</v>
      </c>
      <c r="J59" s="81" t="s">
        <v>778</v>
      </c>
      <c r="M59" s="134"/>
      <c r="N59" s="135"/>
      <c r="O59" s="134"/>
    </row>
    <row r="60" spans="1:15" x14ac:dyDescent="0.2">
      <c r="A60" s="217" t="s">
        <v>783</v>
      </c>
      <c r="B60" s="218"/>
      <c r="C60" s="218"/>
      <c r="D60" s="218"/>
      <c r="E60" s="218"/>
      <c r="F60" s="218">
        <v>-19.5</v>
      </c>
      <c r="G60" s="218"/>
      <c r="H60" s="218"/>
      <c r="I60" s="227">
        <v>85021</v>
      </c>
      <c r="J60" s="81" t="s">
        <v>815</v>
      </c>
      <c r="M60" s="134"/>
      <c r="N60" s="135"/>
      <c r="O60" s="134"/>
    </row>
    <row r="61" spans="1:15" x14ac:dyDescent="0.2">
      <c r="A61" s="217" t="s">
        <v>791</v>
      </c>
      <c r="B61" s="218"/>
      <c r="C61" s="218"/>
      <c r="D61" s="218"/>
      <c r="E61" s="218"/>
      <c r="F61" s="283">
        <v>-303.3</v>
      </c>
      <c r="G61" s="218"/>
      <c r="H61" s="218"/>
      <c r="I61" s="227">
        <v>103252</v>
      </c>
      <c r="J61" s="81" t="s">
        <v>864</v>
      </c>
      <c r="M61" s="134"/>
      <c r="N61" s="135"/>
      <c r="O61" s="134"/>
    </row>
    <row r="62" spans="1:15" x14ac:dyDescent="0.2">
      <c r="A62" s="217" t="s">
        <v>829</v>
      </c>
      <c r="B62" s="218"/>
      <c r="C62" s="218"/>
      <c r="D62" s="218"/>
      <c r="E62" s="218"/>
      <c r="F62" s="283">
        <v>-260.91000000000003</v>
      </c>
      <c r="G62" s="218"/>
      <c r="H62" s="218"/>
      <c r="I62" s="227">
        <v>84387</v>
      </c>
      <c r="J62" s="81" t="s">
        <v>830</v>
      </c>
      <c r="K62" t="s">
        <v>317</v>
      </c>
      <c r="M62" s="134"/>
      <c r="N62" s="135"/>
      <c r="O62" s="134"/>
    </row>
    <row r="63" spans="1:15" x14ac:dyDescent="0.2">
      <c r="A63" s="217" t="s">
        <v>810</v>
      </c>
      <c r="B63" s="218"/>
      <c r="C63" s="218">
        <v>-9623.18</v>
      </c>
      <c r="D63" s="218"/>
      <c r="E63" s="218"/>
      <c r="F63" s="218"/>
      <c r="G63" s="218"/>
      <c r="H63" s="218"/>
      <c r="I63" s="227"/>
      <c r="J63" s="81" t="s">
        <v>813</v>
      </c>
      <c r="M63" s="134"/>
      <c r="N63" s="135"/>
      <c r="O63" s="134"/>
    </row>
    <row r="64" spans="1:15" x14ac:dyDescent="0.2">
      <c r="A64" s="217" t="s">
        <v>831</v>
      </c>
      <c r="B64" s="218"/>
      <c r="C64" s="218"/>
      <c r="D64" s="218"/>
      <c r="E64" s="218"/>
      <c r="F64" s="283">
        <v>-250.34</v>
      </c>
      <c r="G64" s="218"/>
      <c r="H64" s="218"/>
      <c r="I64" s="227">
        <v>84387</v>
      </c>
      <c r="J64" s="81" t="s">
        <v>832</v>
      </c>
      <c r="K64" t="s">
        <v>317</v>
      </c>
      <c r="M64" s="134"/>
      <c r="N64" s="135"/>
      <c r="O64" s="134"/>
    </row>
    <row r="65" spans="1:15" x14ac:dyDescent="0.2">
      <c r="A65" s="217" t="s">
        <v>823</v>
      </c>
      <c r="B65" s="218"/>
      <c r="C65" s="218"/>
      <c r="D65" s="218"/>
      <c r="E65" s="218"/>
      <c r="F65" s="283">
        <v>-270</v>
      </c>
      <c r="G65" s="218"/>
      <c r="H65" s="218"/>
      <c r="I65" s="227">
        <v>103252</v>
      </c>
      <c r="J65" s="81" t="s">
        <v>864</v>
      </c>
      <c r="M65" s="134"/>
      <c r="N65" s="135"/>
      <c r="O65" s="134"/>
    </row>
    <row r="66" spans="1:15" x14ac:dyDescent="0.2">
      <c r="A66" s="217" t="s">
        <v>850</v>
      </c>
      <c r="B66" s="218"/>
      <c r="C66" s="218"/>
      <c r="D66" s="218"/>
      <c r="E66" s="218"/>
      <c r="F66" s="283">
        <v>-45</v>
      </c>
      <c r="G66" s="218"/>
      <c r="H66" s="218"/>
      <c r="I66" s="227">
        <v>84387</v>
      </c>
      <c r="J66" s="81" t="s">
        <v>851</v>
      </c>
      <c r="K66" t="s">
        <v>852</v>
      </c>
      <c r="M66" s="134"/>
      <c r="N66" s="135"/>
      <c r="O66" s="134"/>
    </row>
    <row r="67" spans="1:15" x14ac:dyDescent="0.2">
      <c r="A67" s="217" t="s">
        <v>847</v>
      </c>
      <c r="B67" s="218"/>
      <c r="C67" s="218"/>
      <c r="D67" s="218"/>
      <c r="E67" s="218"/>
      <c r="F67" s="283">
        <v>-50</v>
      </c>
      <c r="G67" s="218"/>
      <c r="H67" s="218"/>
      <c r="I67" s="227">
        <v>84387</v>
      </c>
      <c r="J67" s="81" t="s">
        <v>853</v>
      </c>
      <c r="K67" t="s">
        <v>852</v>
      </c>
      <c r="M67" s="134"/>
      <c r="N67" s="135"/>
      <c r="O67" s="134"/>
    </row>
    <row r="68" spans="1:15" x14ac:dyDescent="0.2">
      <c r="A68" s="217" t="s">
        <v>842</v>
      </c>
      <c r="B68" s="218"/>
      <c r="C68" s="218"/>
      <c r="D68" s="218"/>
      <c r="E68" s="218"/>
      <c r="F68" s="283">
        <v>-117</v>
      </c>
      <c r="G68" s="218"/>
      <c r="H68" s="218"/>
      <c r="I68" s="227">
        <v>57528</v>
      </c>
      <c r="J68" s="81" t="s">
        <v>849</v>
      </c>
      <c r="M68" s="134"/>
      <c r="N68" s="135"/>
      <c r="O68" s="134"/>
    </row>
    <row r="69" spans="1:15" x14ac:dyDescent="0.2">
      <c r="A69" s="217" t="s">
        <v>868</v>
      </c>
      <c r="B69" s="218"/>
      <c r="C69" s="283">
        <v>-8157.67</v>
      </c>
      <c r="D69" s="218"/>
      <c r="E69" s="218"/>
      <c r="F69" s="218"/>
      <c r="G69" s="218"/>
      <c r="H69" s="218"/>
      <c r="I69" s="227"/>
      <c r="J69" s="81" t="s">
        <v>872</v>
      </c>
      <c r="M69" s="134"/>
      <c r="N69" s="135"/>
      <c r="O69" s="134"/>
    </row>
    <row r="70" spans="1:15" x14ac:dyDescent="0.2">
      <c r="A70" s="217" t="s">
        <v>873</v>
      </c>
      <c r="B70" s="218"/>
      <c r="C70" s="218"/>
      <c r="D70" s="283">
        <v>-339</v>
      </c>
      <c r="E70" s="218"/>
      <c r="F70" s="218"/>
      <c r="G70" s="218"/>
      <c r="H70" s="218"/>
      <c r="I70" s="227">
        <v>103252</v>
      </c>
      <c r="J70" s="81" t="s">
        <v>874</v>
      </c>
      <c r="M70" s="134"/>
      <c r="N70" s="135"/>
      <c r="O70" s="134"/>
    </row>
    <row r="71" spans="1:15" x14ac:dyDescent="0.2">
      <c r="A71" s="217" t="s">
        <v>888</v>
      </c>
      <c r="B71" s="218"/>
      <c r="C71" s="218"/>
      <c r="D71" s="218"/>
      <c r="E71" s="218"/>
      <c r="F71" s="283">
        <v>-130</v>
      </c>
      <c r="G71" s="218"/>
      <c r="H71" s="218"/>
      <c r="I71" s="227">
        <v>103143</v>
      </c>
      <c r="J71" s="81" t="s">
        <v>889</v>
      </c>
      <c r="K71" t="s">
        <v>890</v>
      </c>
      <c r="L71" t="s">
        <v>891</v>
      </c>
      <c r="M71" s="134"/>
      <c r="N71" s="135"/>
      <c r="O71" s="134"/>
    </row>
    <row r="72" spans="1:15" x14ac:dyDescent="0.2">
      <c r="A72" s="217" t="s">
        <v>940</v>
      </c>
      <c r="B72" s="218"/>
      <c r="C72" s="218"/>
      <c r="D72" s="283">
        <v>-8886</v>
      </c>
      <c r="E72" s="218"/>
      <c r="F72" s="218"/>
      <c r="G72" s="218"/>
      <c r="H72" s="218"/>
      <c r="I72" s="227"/>
      <c r="J72" s="81" t="s">
        <v>943</v>
      </c>
      <c r="M72" s="134"/>
      <c r="N72" s="135"/>
      <c r="O72" s="134"/>
    </row>
    <row r="73" spans="1:15" x14ac:dyDescent="0.2">
      <c r="A73" s="217" t="s">
        <v>948</v>
      </c>
      <c r="B73" s="218"/>
      <c r="C73" s="218"/>
      <c r="D73" s="218"/>
      <c r="E73" s="218"/>
      <c r="F73" s="283">
        <v>-231.2</v>
      </c>
      <c r="G73" s="218"/>
      <c r="H73" s="218"/>
      <c r="I73" s="227">
        <v>23118</v>
      </c>
      <c r="J73" s="81" t="s">
        <v>949</v>
      </c>
      <c r="K73" t="s">
        <v>317</v>
      </c>
      <c r="M73" s="134"/>
      <c r="N73" s="135"/>
      <c r="O73" s="134"/>
    </row>
    <row r="74" spans="1:15" x14ac:dyDescent="0.2">
      <c r="A74" s="217" t="s">
        <v>947</v>
      </c>
      <c r="B74" s="218"/>
      <c r="C74" s="218"/>
      <c r="D74" s="218"/>
      <c r="E74" s="218"/>
      <c r="F74" s="283">
        <v>-300</v>
      </c>
      <c r="G74" s="218"/>
      <c r="H74" s="218"/>
      <c r="I74" s="227">
        <v>23118</v>
      </c>
      <c r="J74" s="81" t="s">
        <v>950</v>
      </c>
      <c r="K74" t="s">
        <v>317</v>
      </c>
      <c r="M74" s="134"/>
      <c r="N74" s="135"/>
      <c r="O74" s="134"/>
    </row>
    <row r="75" spans="1:15" x14ac:dyDescent="0.2">
      <c r="A75" s="217" t="s">
        <v>963</v>
      </c>
      <c r="B75" s="218"/>
      <c r="C75" s="218"/>
      <c r="D75" s="218"/>
      <c r="E75" s="218"/>
      <c r="F75" s="283">
        <v>-35</v>
      </c>
      <c r="G75" s="218"/>
      <c r="H75" s="218"/>
      <c r="I75" s="227">
        <v>35226</v>
      </c>
      <c r="J75" s="81" t="s">
        <v>1005</v>
      </c>
      <c r="K75" t="s">
        <v>890</v>
      </c>
      <c r="M75" s="134"/>
      <c r="N75" s="135"/>
      <c r="O75" s="134"/>
    </row>
    <row r="76" spans="1:15" x14ac:dyDescent="0.2">
      <c r="A76" s="217" t="s">
        <v>951</v>
      </c>
      <c r="B76" s="218"/>
      <c r="C76" s="218"/>
      <c r="D76" s="218"/>
      <c r="E76" s="218"/>
      <c r="F76" s="283">
        <v>-291</v>
      </c>
      <c r="G76" s="218"/>
      <c r="H76" s="218"/>
      <c r="I76" s="227">
        <v>23118</v>
      </c>
      <c r="J76" s="81" t="s">
        <v>952</v>
      </c>
      <c r="K76" t="s">
        <v>317</v>
      </c>
      <c r="M76" s="134"/>
      <c r="N76" s="135"/>
      <c r="O76" s="134"/>
    </row>
    <row r="77" spans="1:15" x14ac:dyDescent="0.2">
      <c r="A77" s="217" t="s">
        <v>987</v>
      </c>
      <c r="B77" s="218"/>
      <c r="C77" s="218"/>
      <c r="D77" s="283">
        <v>-1732</v>
      </c>
      <c r="E77" s="218"/>
      <c r="F77" s="218"/>
      <c r="G77" s="218"/>
      <c r="H77" s="218"/>
      <c r="I77" s="227"/>
      <c r="J77" s="81" t="s">
        <v>991</v>
      </c>
      <c r="M77" s="134"/>
      <c r="N77" s="135"/>
      <c r="O77" s="134"/>
    </row>
    <row r="78" spans="1:15" x14ac:dyDescent="0.2">
      <c r="A78" s="217" t="s">
        <v>987</v>
      </c>
      <c r="B78" s="218"/>
      <c r="C78" s="218"/>
      <c r="D78" s="218"/>
      <c r="E78" s="218"/>
      <c r="F78" s="218">
        <v>-45</v>
      </c>
      <c r="G78" s="218"/>
      <c r="H78" s="218"/>
      <c r="I78" s="227">
        <v>35226</v>
      </c>
      <c r="J78" s="81" t="s">
        <v>1020</v>
      </c>
      <c r="K78" t="s">
        <v>317</v>
      </c>
      <c r="M78" s="134"/>
      <c r="N78" s="135"/>
      <c r="O78" s="134"/>
    </row>
    <row r="79" spans="1:15" x14ac:dyDescent="0.2">
      <c r="A79" s="217" t="s">
        <v>994</v>
      </c>
      <c r="B79" s="218"/>
      <c r="C79" s="218"/>
      <c r="D79" s="218"/>
      <c r="E79" s="218"/>
      <c r="F79" s="218">
        <v>-35</v>
      </c>
      <c r="G79" s="218"/>
      <c r="H79" s="218"/>
      <c r="I79" s="227">
        <v>35226</v>
      </c>
      <c r="J79" s="81" t="s">
        <v>1021</v>
      </c>
      <c r="K79" t="s">
        <v>317</v>
      </c>
      <c r="M79" s="134"/>
      <c r="N79" s="135"/>
      <c r="O79" s="134"/>
    </row>
    <row r="80" spans="1:15" x14ac:dyDescent="0.2">
      <c r="A80" s="217" t="s">
        <v>999</v>
      </c>
      <c r="B80" s="218"/>
      <c r="C80" s="218"/>
      <c r="D80" s="218"/>
      <c r="E80" s="218"/>
      <c r="F80" s="283">
        <f>-208.8-108+54-52.2</f>
        <v>-315</v>
      </c>
      <c r="G80" s="218"/>
      <c r="H80" s="218"/>
      <c r="I80" s="227">
        <v>35271</v>
      </c>
      <c r="J80" s="81" t="s">
        <v>1037</v>
      </c>
      <c r="M80" s="134"/>
      <c r="N80" s="135"/>
      <c r="O80" s="134"/>
    </row>
    <row r="81" spans="1:15" x14ac:dyDescent="0.2">
      <c r="A81" s="217" t="s">
        <v>1003</v>
      </c>
      <c r="B81" s="218"/>
      <c r="C81" s="218"/>
      <c r="D81" s="218"/>
      <c r="E81" s="218"/>
      <c r="F81" s="218">
        <v>-150</v>
      </c>
      <c r="G81" s="218"/>
      <c r="H81" s="218"/>
      <c r="I81" s="227">
        <v>35226</v>
      </c>
      <c r="J81" s="81" t="s">
        <v>1004</v>
      </c>
      <c r="K81" t="s">
        <v>852</v>
      </c>
      <c r="M81" s="134"/>
      <c r="N81" s="135"/>
      <c r="O81" s="134"/>
    </row>
    <row r="82" spans="1:15" x14ac:dyDescent="0.2">
      <c r="A82" s="217" t="s">
        <v>1003</v>
      </c>
      <c r="B82" s="218"/>
      <c r="C82" s="218"/>
      <c r="D82" s="218"/>
      <c r="E82" s="218"/>
      <c r="F82" s="218">
        <v>-32.799999999999997</v>
      </c>
      <c r="G82" s="218"/>
      <c r="H82" s="218"/>
      <c r="I82" s="227">
        <v>35226</v>
      </c>
      <c r="J82" s="81" t="s">
        <v>1028</v>
      </c>
      <c r="K82" t="s">
        <v>317</v>
      </c>
      <c r="M82" s="134"/>
      <c r="N82" s="135"/>
      <c r="O82" s="134"/>
    </row>
    <row r="83" spans="1:15" x14ac:dyDescent="0.2">
      <c r="A83" s="217" t="s">
        <v>1010</v>
      </c>
      <c r="B83" s="218"/>
      <c r="C83" s="218"/>
      <c r="D83" s="218"/>
      <c r="E83" s="218"/>
      <c r="F83" s="283">
        <v>-117</v>
      </c>
      <c r="G83" s="218"/>
      <c r="H83" s="218"/>
      <c r="I83" s="227">
        <v>35271</v>
      </c>
      <c r="J83" s="81" t="s">
        <v>1011</v>
      </c>
      <c r="M83" s="134"/>
      <c r="N83" s="135"/>
      <c r="O83" s="134"/>
    </row>
    <row r="84" spans="1:15" x14ac:dyDescent="0.2">
      <c r="A84" s="217" t="s">
        <v>1013</v>
      </c>
      <c r="B84" s="218"/>
      <c r="C84" s="218"/>
      <c r="D84" s="218"/>
      <c r="E84" s="218"/>
      <c r="F84" s="283">
        <f>-742.6+156.6</f>
        <v>-586</v>
      </c>
      <c r="G84" s="218"/>
      <c r="H84" s="218"/>
      <c r="I84" s="227">
        <v>6758</v>
      </c>
      <c r="J84" s="81" t="s">
        <v>1043</v>
      </c>
      <c r="M84" s="134"/>
      <c r="N84" s="135"/>
      <c r="O84" s="134"/>
    </row>
    <row r="85" spans="1:15" x14ac:dyDescent="0.2">
      <c r="A85" s="217" t="s">
        <v>1013</v>
      </c>
      <c r="B85" s="218"/>
      <c r="C85" s="218"/>
      <c r="D85" s="218"/>
      <c r="E85" s="218"/>
      <c r="F85" s="218">
        <v>-117</v>
      </c>
      <c r="G85" s="218"/>
      <c r="H85" s="218"/>
      <c r="I85" s="227">
        <v>35226</v>
      </c>
      <c r="J85" s="81" t="s">
        <v>1014</v>
      </c>
      <c r="K85" t="s">
        <v>852</v>
      </c>
      <c r="M85" s="134"/>
      <c r="N85" s="135"/>
      <c r="O85" s="134"/>
    </row>
    <row r="86" spans="1:15" x14ac:dyDescent="0.2">
      <c r="A86" s="217" t="s">
        <v>615</v>
      </c>
      <c r="B86" s="218"/>
      <c r="C86" s="218"/>
      <c r="D86" s="218"/>
      <c r="E86" s="218"/>
      <c r="F86" s="283">
        <v>-787</v>
      </c>
      <c r="G86" s="218"/>
      <c r="H86" s="218"/>
      <c r="I86" s="227">
        <v>35271</v>
      </c>
      <c r="J86" s="81" t="s">
        <v>1012</v>
      </c>
      <c r="M86" s="134"/>
      <c r="N86" s="135"/>
      <c r="O86" s="134"/>
    </row>
    <row r="87" spans="1:15" x14ac:dyDescent="0.2">
      <c r="A87" s="217" t="s">
        <v>615</v>
      </c>
      <c r="B87" s="218"/>
      <c r="C87" s="218"/>
      <c r="D87" s="218"/>
      <c r="E87" s="218"/>
      <c r="F87" s="218">
        <v>-329</v>
      </c>
      <c r="G87" s="218"/>
      <c r="H87" s="218"/>
      <c r="I87" s="227">
        <v>35226</v>
      </c>
      <c r="J87" s="81" t="s">
        <v>1029</v>
      </c>
      <c r="K87" t="s">
        <v>317</v>
      </c>
      <c r="M87" s="134"/>
      <c r="N87" s="135"/>
      <c r="O87" s="134"/>
    </row>
    <row r="88" spans="1:15" x14ac:dyDescent="0.2">
      <c r="A88" s="217" t="s">
        <v>1039</v>
      </c>
      <c r="B88" s="218"/>
      <c r="C88" s="218"/>
      <c r="D88" s="218"/>
      <c r="E88" s="218"/>
      <c r="F88" s="283">
        <v>-327.10000000000002</v>
      </c>
      <c r="G88" s="218"/>
      <c r="H88" s="218"/>
      <c r="I88" s="227">
        <v>83887</v>
      </c>
      <c r="J88" s="81" t="s">
        <v>1091</v>
      </c>
      <c r="M88" s="134"/>
      <c r="N88" s="135"/>
      <c r="O88" s="134"/>
    </row>
    <row r="89" spans="1:15" x14ac:dyDescent="0.2">
      <c r="A89" s="217" t="s">
        <v>1039</v>
      </c>
      <c r="B89" s="218"/>
      <c r="C89" s="218"/>
      <c r="D89" s="218"/>
      <c r="E89" s="218"/>
      <c r="F89" s="283">
        <v>-117</v>
      </c>
      <c r="G89" s="218"/>
      <c r="H89" s="218"/>
      <c r="I89" s="227">
        <v>6758</v>
      </c>
      <c r="J89" s="81" t="s">
        <v>1052</v>
      </c>
      <c r="M89" s="134"/>
      <c r="N89" s="135"/>
      <c r="O89" s="134"/>
    </row>
    <row r="90" spans="1:15" x14ac:dyDescent="0.2">
      <c r="A90" s="217" t="s">
        <v>1092</v>
      </c>
      <c r="B90" s="218"/>
      <c r="C90" s="218"/>
      <c r="D90" s="218"/>
      <c r="E90" s="218"/>
      <c r="F90" s="283">
        <f>-1143.7-200</f>
        <v>-1343.7</v>
      </c>
      <c r="G90" s="218"/>
      <c r="H90" s="218"/>
      <c r="I90" s="227">
        <v>83887</v>
      </c>
      <c r="J90" s="81" t="s">
        <v>1091</v>
      </c>
      <c r="M90" s="134"/>
      <c r="N90" s="135"/>
      <c r="O90" s="134"/>
    </row>
    <row r="91" spans="1:15" x14ac:dyDescent="0.2">
      <c r="A91" s="217" t="s">
        <v>1057</v>
      </c>
      <c r="B91" s="218"/>
      <c r="C91" s="218"/>
      <c r="D91" s="218"/>
      <c r="E91" s="218"/>
      <c r="F91" s="283">
        <v>-1088</v>
      </c>
      <c r="G91" s="218"/>
      <c r="H91" s="218"/>
      <c r="I91" s="227">
        <v>6758</v>
      </c>
      <c r="J91" s="81" t="s">
        <v>1058</v>
      </c>
      <c r="M91" s="134"/>
      <c r="N91" s="135"/>
      <c r="O91" s="134"/>
    </row>
    <row r="92" spans="1:15" x14ac:dyDescent="0.2">
      <c r="A92" s="217" t="s">
        <v>1076</v>
      </c>
      <c r="B92" s="218"/>
      <c r="C92" s="283">
        <f>-1229.85+189</f>
        <v>-1040.8499999999999</v>
      </c>
      <c r="D92" s="283">
        <v>-189</v>
      </c>
      <c r="E92" s="218"/>
      <c r="F92" s="218"/>
      <c r="G92" s="218"/>
      <c r="H92" s="218"/>
      <c r="I92" s="227"/>
      <c r="J92" s="81" t="s">
        <v>1078</v>
      </c>
      <c r="M92" s="134"/>
      <c r="N92" s="135"/>
      <c r="O92" s="134"/>
    </row>
    <row r="93" spans="1:15" x14ac:dyDescent="0.2">
      <c r="A93" s="217" t="s">
        <v>1085</v>
      </c>
      <c r="B93" s="218"/>
      <c r="C93" s="218"/>
      <c r="D93" s="218"/>
      <c r="E93" s="218"/>
      <c r="F93" s="218"/>
      <c r="G93" s="218"/>
      <c r="H93" s="283">
        <v>-281</v>
      </c>
      <c r="I93" s="227">
        <v>83887</v>
      </c>
      <c r="J93" s="81" t="s">
        <v>1095</v>
      </c>
      <c r="M93" s="134"/>
      <c r="N93" s="135"/>
      <c r="O93" s="134"/>
    </row>
    <row r="94" spans="1:15" x14ac:dyDescent="0.2">
      <c r="A94" s="217" t="s">
        <v>1098</v>
      </c>
      <c r="B94" s="218"/>
      <c r="C94" s="218"/>
      <c r="D94" s="218"/>
      <c r="E94" s="218"/>
      <c r="F94" s="283">
        <v>-98</v>
      </c>
      <c r="G94" s="218"/>
      <c r="H94" s="218"/>
      <c r="I94" s="227">
        <v>83806</v>
      </c>
      <c r="J94" s="81" t="s">
        <v>1099</v>
      </c>
      <c r="M94" s="134"/>
      <c r="N94" s="135"/>
      <c r="O94" s="134"/>
    </row>
    <row r="95" spans="1:15" x14ac:dyDescent="0.2">
      <c r="A95" s="217"/>
      <c r="B95" s="218"/>
      <c r="C95" s="218"/>
      <c r="D95" s="218"/>
      <c r="E95" s="218"/>
      <c r="F95" s="218"/>
      <c r="G95" s="218"/>
      <c r="H95" s="218"/>
      <c r="I95" s="227"/>
      <c r="J95" s="81"/>
      <c r="M95" s="134"/>
      <c r="N95" s="135"/>
      <c r="O95" s="134"/>
    </row>
    <row r="96" spans="1:15" x14ac:dyDescent="0.2">
      <c r="A96" s="217"/>
      <c r="B96" s="218"/>
      <c r="C96" s="218"/>
      <c r="D96" s="218"/>
      <c r="E96" s="218"/>
      <c r="F96" s="218"/>
      <c r="G96" s="218"/>
      <c r="H96" s="218"/>
      <c r="I96" s="227"/>
      <c r="J96" s="53"/>
      <c r="M96" s="134"/>
      <c r="N96" s="135"/>
      <c r="O96" s="134"/>
    </row>
    <row r="97" spans="1:15" x14ac:dyDescent="0.2">
      <c r="A97" s="217"/>
      <c r="B97" s="218"/>
      <c r="C97" s="218"/>
      <c r="D97" s="218"/>
      <c r="E97" s="218"/>
      <c r="F97" s="218"/>
      <c r="G97" s="218">
        <v>-500</v>
      </c>
      <c r="H97" s="218"/>
      <c r="I97" s="227"/>
      <c r="J97" s="53"/>
      <c r="K97">
        <v>10828</v>
      </c>
      <c r="M97" s="134"/>
      <c r="N97" s="135"/>
      <c r="O97" s="134"/>
    </row>
    <row r="98" spans="1:15" x14ac:dyDescent="0.2">
      <c r="A98" s="206" t="s">
        <v>77</v>
      </c>
      <c r="B98" s="205"/>
      <c r="C98" s="207">
        <f t="shared" ref="C98:H98" si="2">SUM(C32:C97)</f>
        <v>-44999.9</v>
      </c>
      <c r="D98" s="207">
        <f t="shared" si="2"/>
        <v>-15979.145</v>
      </c>
      <c r="E98" s="207">
        <f t="shared" si="2"/>
        <v>-13247</v>
      </c>
      <c r="F98" s="207">
        <f t="shared" si="2"/>
        <v>-11974.78</v>
      </c>
      <c r="G98" s="207">
        <f t="shared" si="2"/>
        <v>-500</v>
      </c>
      <c r="H98" s="207">
        <f t="shared" si="2"/>
        <v>-281</v>
      </c>
      <c r="I98" s="207"/>
      <c r="J98" s="207">
        <f>SUM(C98:H98)</f>
        <v>-86981.824999999997</v>
      </c>
      <c r="M98" s="134"/>
      <c r="N98" s="135"/>
      <c r="O98" s="134"/>
    </row>
    <row r="99" spans="1:15" ht="15" x14ac:dyDescent="0.25">
      <c r="A99" s="136" t="s">
        <v>78</v>
      </c>
      <c r="B99" s="137"/>
      <c r="C99" s="138">
        <v>45000</v>
      </c>
      <c r="D99" s="138">
        <v>16000</v>
      </c>
      <c r="E99" s="138">
        <f>14000+1000</f>
        <v>15000</v>
      </c>
      <c r="F99" s="138">
        <v>10000</v>
      </c>
      <c r="G99" s="139">
        <v>500</v>
      </c>
      <c r="H99" s="138">
        <v>457</v>
      </c>
      <c r="I99" s="138"/>
      <c r="J99" s="138">
        <f>SUM(C99:H99)</f>
        <v>86957</v>
      </c>
      <c r="M99" s="134"/>
      <c r="N99" s="135"/>
      <c r="O99" s="134"/>
    </row>
    <row r="100" spans="1:15" ht="15.75" thickBot="1" x14ac:dyDescent="0.3">
      <c r="A100" s="208" t="s">
        <v>79</v>
      </c>
      <c r="B100" s="209"/>
      <c r="C100" s="210">
        <f t="shared" ref="C100:H100" si="3">C99+C98</f>
        <v>9.9999999998544808E-2</v>
      </c>
      <c r="D100" s="210">
        <f t="shared" si="3"/>
        <v>20.854999999999563</v>
      </c>
      <c r="E100" s="210">
        <f t="shared" si="3"/>
        <v>1753</v>
      </c>
      <c r="F100" s="210">
        <f t="shared" si="3"/>
        <v>-1974.7800000000007</v>
      </c>
      <c r="G100" s="210">
        <f t="shared" si="3"/>
        <v>0</v>
      </c>
      <c r="H100" s="210">
        <f t="shared" si="3"/>
        <v>176</v>
      </c>
      <c r="I100" s="210"/>
      <c r="J100" s="211"/>
      <c r="L100" s="134"/>
      <c r="M100" s="135"/>
      <c r="N100" s="134"/>
    </row>
    <row r="101" spans="1:15" ht="18.75" thickBot="1" x14ac:dyDescent="0.3">
      <c r="A101" s="212" t="s">
        <v>83</v>
      </c>
      <c r="B101" s="213">
        <f>SUM(C100:H100)</f>
        <v>-24.825000000002547</v>
      </c>
      <c r="C101" s="132"/>
      <c r="D101" s="132"/>
      <c r="E101" s="146"/>
      <c r="F101" s="146"/>
      <c r="G101" s="146"/>
      <c r="H101" s="135"/>
      <c r="I101" s="135"/>
      <c r="L101" s="134"/>
      <c r="M101" s="135"/>
      <c r="N101" s="134"/>
    </row>
    <row r="102" spans="1:15" x14ac:dyDescent="0.2">
      <c r="A102" s="189"/>
      <c r="B102" s="190"/>
      <c r="C102" s="132"/>
      <c r="D102" s="132"/>
      <c r="E102" s="132"/>
      <c r="F102" s="132"/>
      <c r="G102" s="132"/>
      <c r="H102" s="135"/>
      <c r="I102" s="135"/>
      <c r="L102" s="134"/>
      <c r="M102" s="135"/>
      <c r="N102" s="134"/>
    </row>
    <row r="103" spans="1:15" x14ac:dyDescent="0.2">
      <c r="A103" s="189"/>
      <c r="B103" s="191"/>
      <c r="C103" s="132"/>
      <c r="D103" s="132"/>
      <c r="E103" s="132"/>
      <c r="F103" s="132"/>
      <c r="G103" s="132"/>
      <c r="H103" s="135"/>
      <c r="I103" s="135"/>
      <c r="L103" s="134"/>
      <c r="M103" s="135"/>
      <c r="N103" s="134"/>
    </row>
    <row r="104" spans="1:15" x14ac:dyDescent="0.2">
      <c r="A104" s="189"/>
      <c r="B104" s="191"/>
      <c r="C104" s="132"/>
      <c r="D104" s="132"/>
      <c r="E104" s="132"/>
      <c r="F104" s="132"/>
      <c r="G104" s="132"/>
      <c r="H104" s="135"/>
      <c r="I104" s="135"/>
      <c r="L104" s="134"/>
      <c r="M104" s="135"/>
      <c r="N104" s="134"/>
    </row>
    <row r="105" spans="1:15" x14ac:dyDescent="0.2">
      <c r="A105" s="132"/>
      <c r="B105" s="132"/>
      <c r="C105" s="132"/>
      <c r="D105" s="132"/>
      <c r="E105" s="132"/>
      <c r="F105" s="132"/>
      <c r="G105" s="132"/>
      <c r="H105" s="135"/>
      <c r="I105" s="135"/>
    </row>
    <row r="106" spans="1:15" x14ac:dyDescent="0.2">
      <c r="A106" s="192" t="s">
        <v>574</v>
      </c>
      <c r="B106" s="193"/>
      <c r="C106" s="193"/>
      <c r="D106" s="193"/>
      <c r="E106" s="193"/>
      <c r="F106" s="194"/>
      <c r="G106" s="195"/>
      <c r="H106" s="195"/>
      <c r="I106" s="233"/>
    </row>
    <row r="107" spans="1:15" ht="38.25" x14ac:dyDescent="0.2">
      <c r="A107" s="196" t="s">
        <v>575</v>
      </c>
      <c r="B107" s="196" t="s">
        <v>576</v>
      </c>
      <c r="C107" s="196" t="s">
        <v>577</v>
      </c>
      <c r="D107" s="196" t="s">
        <v>578</v>
      </c>
      <c r="E107" s="196" t="s">
        <v>579</v>
      </c>
      <c r="F107" s="196" t="s">
        <v>580</v>
      </c>
      <c r="G107" s="197" t="s">
        <v>630</v>
      </c>
      <c r="H107" s="197" t="s">
        <v>631</v>
      </c>
      <c r="I107" s="234"/>
    </row>
    <row r="108" spans="1:15" x14ac:dyDescent="0.2">
      <c r="A108" s="53" t="s">
        <v>141</v>
      </c>
      <c r="B108" s="119" t="s">
        <v>652</v>
      </c>
      <c r="C108" s="119">
        <v>1770</v>
      </c>
      <c r="D108" s="218">
        <v>50000</v>
      </c>
      <c r="E108" s="218">
        <v>6521.5</v>
      </c>
      <c r="F108" s="218">
        <f>D108-E108</f>
        <v>43478.5</v>
      </c>
      <c r="G108" s="119"/>
      <c r="H108" s="119" t="s">
        <v>725</v>
      </c>
      <c r="I108" s="232"/>
      <c r="J108">
        <v>98900</v>
      </c>
    </row>
    <row r="109" spans="1:15" x14ac:dyDescent="0.2">
      <c r="A109" s="53" t="s">
        <v>632</v>
      </c>
      <c r="B109" s="119" t="s">
        <v>1248</v>
      </c>
      <c r="C109" s="119">
        <v>1902</v>
      </c>
      <c r="D109" s="218">
        <v>50000</v>
      </c>
      <c r="E109" s="218">
        <v>6521.5</v>
      </c>
      <c r="F109" s="218">
        <f t="shared" ref="F109:F111" si="4">D109-E109</f>
        <v>43478.5</v>
      </c>
      <c r="G109" s="119" t="s">
        <v>1248</v>
      </c>
      <c r="H109" s="119"/>
      <c r="I109" s="232"/>
      <c r="J109">
        <v>98900</v>
      </c>
    </row>
    <row r="110" spans="1:15" x14ac:dyDescent="0.2">
      <c r="A110" s="53" t="s">
        <v>633</v>
      </c>
      <c r="B110" s="119" t="s">
        <v>1248</v>
      </c>
      <c r="C110" s="119">
        <v>1903</v>
      </c>
      <c r="D110" s="218">
        <v>50000</v>
      </c>
      <c r="E110" s="218">
        <v>6521.5</v>
      </c>
      <c r="F110" s="218">
        <f t="shared" si="4"/>
        <v>43478.5</v>
      </c>
      <c r="G110" s="119" t="s">
        <v>1248</v>
      </c>
      <c r="H110" s="119"/>
      <c r="I110" s="232"/>
    </row>
    <row r="111" spans="1:15" x14ac:dyDescent="0.2">
      <c r="A111" s="53" t="s">
        <v>634</v>
      </c>
      <c r="B111" s="119"/>
      <c r="C111" s="119"/>
      <c r="D111" s="218">
        <v>50000</v>
      </c>
      <c r="E111" s="218">
        <v>6521.5</v>
      </c>
      <c r="F111" s="218">
        <f t="shared" si="4"/>
        <v>43478.5</v>
      </c>
      <c r="G111" s="119"/>
      <c r="H111" s="119"/>
      <c r="I111" s="232"/>
    </row>
    <row r="112" spans="1:15" x14ac:dyDescent="0.2">
      <c r="A112" s="53" t="s">
        <v>65</v>
      </c>
      <c r="B112" s="53"/>
      <c r="C112" s="53">
        <f>SUM(C108:C111)</f>
        <v>5575</v>
      </c>
      <c r="D112" s="188">
        <f>SUM(D108:D111)</f>
        <v>200000</v>
      </c>
      <c r="E112" s="188">
        <f>SUM(E108:E111)</f>
        <v>26086</v>
      </c>
      <c r="F112" s="188">
        <f>SUM(F108:F111)</f>
        <v>173914</v>
      </c>
      <c r="G112" s="119"/>
      <c r="H112" s="119"/>
      <c r="I112" s="232"/>
    </row>
    <row r="113" spans="1:9" x14ac:dyDescent="0.2">
      <c r="H113" s="135"/>
      <c r="I113" s="135"/>
    </row>
    <row r="114" spans="1:9" x14ac:dyDescent="0.2">
      <c r="H114" s="135"/>
      <c r="I114" s="135"/>
    </row>
    <row r="115" spans="1:9" x14ac:dyDescent="0.2">
      <c r="H115" s="135"/>
      <c r="I115" s="135"/>
    </row>
    <row r="116" spans="1:9" x14ac:dyDescent="0.2">
      <c r="A116" s="198" t="s">
        <v>583</v>
      </c>
      <c r="B116" s="198"/>
      <c r="C116" s="198"/>
      <c r="D116" s="199"/>
      <c r="E116" s="200" t="s">
        <v>584</v>
      </c>
      <c r="F116" s="188">
        <v>200000</v>
      </c>
      <c r="G116" s="119"/>
      <c r="H116" s="135"/>
      <c r="I116" s="135"/>
    </row>
    <row r="117" spans="1:9" x14ac:dyDescent="0.2">
      <c r="A117" s="53" t="s">
        <v>585</v>
      </c>
      <c r="B117" s="53" t="s">
        <v>586</v>
      </c>
      <c r="C117" s="53" t="s">
        <v>11</v>
      </c>
      <c r="D117" s="199"/>
      <c r="E117" s="201" t="s">
        <v>587</v>
      </c>
      <c r="F117" s="188">
        <f>F116-F118</f>
        <v>173914</v>
      </c>
      <c r="G117" s="119"/>
      <c r="H117" s="135"/>
      <c r="I117" s="135"/>
    </row>
    <row r="118" spans="1:9" x14ac:dyDescent="0.2">
      <c r="A118" s="119" t="s">
        <v>635</v>
      </c>
      <c r="B118" s="119"/>
      <c r="C118" s="119"/>
      <c r="D118" s="132"/>
      <c r="E118" s="201" t="s">
        <v>395</v>
      </c>
      <c r="F118" s="188">
        <f>13043+13043</f>
        <v>26086</v>
      </c>
      <c r="G118" s="119"/>
      <c r="H118" s="135"/>
      <c r="I118" s="135"/>
    </row>
    <row r="119" spans="1:9" x14ac:dyDescent="0.2">
      <c r="A119" s="119" t="s">
        <v>636</v>
      </c>
      <c r="B119" s="119"/>
      <c r="C119" s="119"/>
      <c r="H119" s="135"/>
      <c r="I119" s="135"/>
    </row>
    <row r="120" spans="1:9" x14ac:dyDescent="0.2">
      <c r="A120" s="119" t="s">
        <v>588</v>
      </c>
      <c r="B120" s="119"/>
      <c r="C120" s="119"/>
      <c r="H120" s="135"/>
      <c r="I120" s="135"/>
    </row>
    <row r="121" spans="1:9" x14ac:dyDescent="0.2">
      <c r="A121" s="119" t="s">
        <v>589</v>
      </c>
      <c r="B121" s="119"/>
      <c r="C121" s="119"/>
      <c r="H121" s="135"/>
      <c r="I121" s="135"/>
    </row>
    <row r="122" spans="1:9" x14ac:dyDescent="0.2">
      <c r="A122" s="202" t="s">
        <v>637</v>
      </c>
      <c r="B122" s="202"/>
      <c r="C122" s="202"/>
      <c r="H122" s="135"/>
      <c r="I122" s="135"/>
    </row>
    <row r="123" spans="1:9" x14ac:dyDescent="0.2">
      <c r="A123" s="202"/>
      <c r="B123" s="202"/>
      <c r="C123" s="202"/>
      <c r="H123" s="135"/>
      <c r="I123" s="135"/>
    </row>
    <row r="124" spans="1:9" x14ac:dyDescent="0.2">
      <c r="H124" s="135"/>
      <c r="I124" s="135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4"/>
  <sheetViews>
    <sheetView rightToLeft="1" workbookViewId="0">
      <selection activeCell="G23" sqref="G23"/>
    </sheetView>
  </sheetViews>
  <sheetFormatPr defaultRowHeight="14.25" x14ac:dyDescent="0.2"/>
  <sheetData>
    <row r="1" spans="1:18" x14ac:dyDescent="0.2">
      <c r="A1" s="205" t="s">
        <v>4</v>
      </c>
      <c r="B1" s="205" t="s">
        <v>5</v>
      </c>
      <c r="C1" s="205" t="s">
        <v>389</v>
      </c>
      <c r="D1" s="205" t="s">
        <v>47</v>
      </c>
      <c r="E1" s="205" t="s">
        <v>265</v>
      </c>
      <c r="F1" s="205" t="s">
        <v>49</v>
      </c>
      <c r="G1" s="205" t="s">
        <v>640</v>
      </c>
      <c r="H1" s="205" t="s">
        <v>641</v>
      </c>
      <c r="I1" s="205" t="s">
        <v>16</v>
      </c>
      <c r="J1" s="205" t="s">
        <v>51</v>
      </c>
      <c r="L1" t="s">
        <v>63</v>
      </c>
    </row>
    <row r="2" spans="1:18" x14ac:dyDescent="0.2">
      <c r="A2" s="15" t="s">
        <v>601</v>
      </c>
      <c r="B2" s="241"/>
      <c r="C2" s="128"/>
      <c r="D2" s="128"/>
      <c r="E2" s="294">
        <v>-5753</v>
      </c>
      <c r="F2" s="218"/>
      <c r="G2" s="218"/>
      <c r="H2" s="218"/>
      <c r="I2" s="119">
        <v>95047</v>
      </c>
      <c r="J2" s="81" t="s">
        <v>692</v>
      </c>
      <c r="L2" s="203"/>
    </row>
    <row r="3" spans="1:18" x14ac:dyDescent="0.2">
      <c r="A3" s="15" t="s">
        <v>601</v>
      </c>
      <c r="B3" s="241"/>
      <c r="C3" s="128"/>
      <c r="D3" s="128"/>
      <c r="E3" s="294">
        <v>-7494</v>
      </c>
      <c r="F3" s="218"/>
      <c r="G3" s="218"/>
      <c r="H3" s="218"/>
      <c r="I3" s="119">
        <v>17833</v>
      </c>
      <c r="J3" s="81" t="s">
        <v>730</v>
      </c>
      <c r="L3" s="203"/>
    </row>
    <row r="4" spans="1:18" x14ac:dyDescent="0.2">
      <c r="A4" s="15" t="s">
        <v>655</v>
      </c>
      <c r="B4" s="241"/>
      <c r="C4" s="290"/>
      <c r="D4" s="293">
        <v>-1598</v>
      </c>
      <c r="E4" s="218"/>
      <c r="F4" s="218"/>
      <c r="G4" s="218"/>
      <c r="H4" s="218"/>
      <c r="I4" s="119"/>
      <c r="J4" s="81" t="s">
        <v>656</v>
      </c>
      <c r="L4" s="203"/>
      <c r="O4">
        <f>1219.29+378.71</f>
        <v>1598</v>
      </c>
    </row>
    <row r="5" spans="1:18" x14ac:dyDescent="0.2">
      <c r="A5" s="15" t="s">
        <v>655</v>
      </c>
      <c r="B5" s="241"/>
      <c r="C5" s="293">
        <v>-6919.35</v>
      </c>
      <c r="D5" s="293"/>
      <c r="E5" s="218"/>
      <c r="F5" s="218"/>
      <c r="G5" s="218"/>
      <c r="H5" s="218"/>
      <c r="I5" s="119"/>
      <c r="J5" s="81" t="s">
        <v>754</v>
      </c>
      <c r="O5">
        <f>5601.59+1317.76</f>
        <v>6919.35</v>
      </c>
    </row>
    <row r="6" spans="1:18" x14ac:dyDescent="0.2">
      <c r="A6" s="15" t="s">
        <v>703</v>
      </c>
      <c r="B6" s="218"/>
      <c r="C6" s="218"/>
      <c r="D6" s="294">
        <f>-(909*1.29*1.25)</f>
        <v>-1465.7625000000003</v>
      </c>
      <c r="E6" s="218"/>
      <c r="F6" s="218"/>
      <c r="G6" s="218"/>
      <c r="H6" s="218"/>
      <c r="I6" s="218"/>
      <c r="J6" s="81" t="s">
        <v>711</v>
      </c>
      <c r="O6">
        <f>1114.84+350.92</f>
        <v>1465.76</v>
      </c>
    </row>
    <row r="7" spans="1:18" x14ac:dyDescent="0.2">
      <c r="A7" s="119" t="s">
        <v>703</v>
      </c>
      <c r="B7" s="218"/>
      <c r="C7" s="294">
        <v>-6721.07</v>
      </c>
      <c r="D7" s="294"/>
      <c r="E7" s="218"/>
      <c r="F7" s="218"/>
      <c r="G7" s="218"/>
      <c r="H7" s="218"/>
      <c r="I7" s="218"/>
      <c r="J7" s="231" t="s">
        <v>712</v>
      </c>
      <c r="O7">
        <f>6052.44+668.63</f>
        <v>6721.07</v>
      </c>
      <c r="R7">
        <f>O7+O9+O13+O14</f>
        <v>31562.1</v>
      </c>
    </row>
    <row r="8" spans="1:18" x14ac:dyDescent="0.2">
      <c r="A8" s="217" t="s">
        <v>749</v>
      </c>
      <c r="B8" s="218"/>
      <c r="C8" s="218"/>
      <c r="D8" s="294">
        <f>-(2251.05-1290)*1.25</f>
        <v>-1201.3125000000002</v>
      </c>
      <c r="E8" s="218"/>
      <c r="F8" s="218"/>
      <c r="G8" s="218"/>
      <c r="H8" s="218"/>
      <c r="I8" s="227"/>
      <c r="J8" s="81" t="s">
        <v>750</v>
      </c>
      <c r="O8">
        <f>911.88+289.43</f>
        <v>1201.31</v>
      </c>
    </row>
    <row r="9" spans="1:18" x14ac:dyDescent="0.2">
      <c r="A9" s="217" t="s">
        <v>749</v>
      </c>
      <c r="B9" s="218"/>
      <c r="C9" s="294">
        <v>-7060.18</v>
      </c>
      <c r="D9" s="294"/>
      <c r="E9" s="218"/>
      <c r="F9" s="218"/>
      <c r="G9" s="218"/>
      <c r="H9" s="218"/>
      <c r="I9" s="227"/>
      <c r="J9" s="81" t="s">
        <v>751</v>
      </c>
      <c r="O9">
        <f>6350.72+709.46</f>
        <v>7060.18</v>
      </c>
    </row>
    <row r="10" spans="1:18" x14ac:dyDescent="0.2">
      <c r="A10" s="217" t="s">
        <v>749</v>
      </c>
      <c r="B10" s="218"/>
      <c r="C10" s="294">
        <v>-6268.89</v>
      </c>
      <c r="D10" s="294"/>
      <c r="E10" s="218"/>
      <c r="F10" s="218"/>
      <c r="G10" s="218"/>
      <c r="H10" s="218"/>
      <c r="I10" s="227"/>
      <c r="J10" s="81" t="s">
        <v>753</v>
      </c>
      <c r="O10">
        <f>5639.64+629.25</f>
        <v>6268.89</v>
      </c>
    </row>
    <row r="11" spans="1:18" x14ac:dyDescent="0.2">
      <c r="A11" s="217" t="s">
        <v>776</v>
      </c>
      <c r="B11" s="218"/>
      <c r="C11" s="218"/>
      <c r="D11" s="294">
        <v>-461</v>
      </c>
      <c r="E11" s="218"/>
      <c r="F11" s="218"/>
      <c r="G11" s="218"/>
      <c r="H11" s="218"/>
      <c r="I11" s="227">
        <v>66183215</v>
      </c>
      <c r="J11" s="81" t="s">
        <v>777</v>
      </c>
    </row>
    <row r="12" spans="1:18" x14ac:dyDescent="0.2">
      <c r="A12" s="217" t="s">
        <v>772</v>
      </c>
      <c r="B12" s="218"/>
      <c r="C12" s="218"/>
      <c r="D12" s="294">
        <v>-107.07</v>
      </c>
      <c r="E12" s="218"/>
      <c r="F12" s="218"/>
      <c r="G12" s="218"/>
      <c r="H12" s="218"/>
      <c r="I12" s="227">
        <v>91045</v>
      </c>
      <c r="J12" s="81" t="s">
        <v>778</v>
      </c>
    </row>
    <row r="13" spans="1:18" x14ac:dyDescent="0.2">
      <c r="A13" s="217" t="s">
        <v>810</v>
      </c>
      <c r="B13" s="218"/>
      <c r="C13" s="294">
        <v>-9623.18</v>
      </c>
      <c r="D13" s="294"/>
      <c r="E13" s="218"/>
      <c r="F13" s="218"/>
      <c r="G13" s="218"/>
      <c r="H13" s="218"/>
      <c r="I13" s="227"/>
      <c r="J13" s="81" t="s">
        <v>813</v>
      </c>
      <c r="O13">
        <f>7730.08+1893.1</f>
        <v>9623.18</v>
      </c>
    </row>
    <row r="14" spans="1:18" x14ac:dyDescent="0.2">
      <c r="A14" s="217" t="s">
        <v>868</v>
      </c>
      <c r="B14" s="218"/>
      <c r="C14" s="294">
        <v>-8157.67</v>
      </c>
      <c r="D14" s="294"/>
      <c r="E14" s="218"/>
      <c r="F14" s="218"/>
      <c r="G14" s="218"/>
      <c r="H14" s="218"/>
      <c r="I14" s="227"/>
      <c r="J14" s="81" t="s">
        <v>872</v>
      </c>
      <c r="O14">
        <f>1326.7+6830.97</f>
        <v>8157.67</v>
      </c>
    </row>
    <row r="15" spans="1:18" x14ac:dyDescent="0.2">
      <c r="A15" s="217" t="s">
        <v>873</v>
      </c>
      <c r="B15" s="218"/>
      <c r="C15" s="291"/>
      <c r="D15" s="294">
        <v>-339</v>
      </c>
      <c r="E15" s="218"/>
      <c r="F15" s="218"/>
      <c r="G15" s="218"/>
      <c r="H15" s="218"/>
      <c r="I15" s="227">
        <v>103252</v>
      </c>
      <c r="J15" s="81" t="s">
        <v>874</v>
      </c>
    </row>
    <row r="16" spans="1:18" x14ac:dyDescent="0.2">
      <c r="A16" s="217" t="s">
        <v>940</v>
      </c>
      <c r="B16" s="218"/>
      <c r="C16" s="291"/>
      <c r="D16" s="294">
        <v>-8886</v>
      </c>
      <c r="E16" s="218"/>
      <c r="F16" s="218"/>
      <c r="G16" s="218"/>
      <c r="H16" s="218"/>
      <c r="I16" s="227"/>
      <c r="J16" s="81" t="s">
        <v>943</v>
      </c>
      <c r="O16">
        <f>7943.03+943.01</f>
        <v>8886.0399999999991</v>
      </c>
    </row>
    <row r="17" spans="1:15" x14ac:dyDescent="0.2">
      <c r="A17" s="217" t="s">
        <v>987</v>
      </c>
      <c r="B17" s="218"/>
      <c r="C17" s="291"/>
      <c r="D17" s="294">
        <v>-1732</v>
      </c>
      <c r="E17" s="218"/>
      <c r="F17" s="218"/>
      <c r="G17" s="218"/>
      <c r="H17" s="218"/>
      <c r="I17" s="227"/>
      <c r="J17" s="81" t="s">
        <v>991</v>
      </c>
      <c r="O17">
        <f>1560+171.98</f>
        <v>1731.98</v>
      </c>
    </row>
    <row r="18" spans="1:15" x14ac:dyDescent="0.2">
      <c r="A18" s="217" t="s">
        <v>1076</v>
      </c>
      <c r="B18" s="218"/>
      <c r="C18" s="294">
        <f>-1229.85+189</f>
        <v>-1040.8499999999999</v>
      </c>
      <c r="D18" s="294">
        <v>-189</v>
      </c>
      <c r="E18" s="218"/>
      <c r="F18" s="218"/>
      <c r="G18" s="218"/>
      <c r="H18" s="218"/>
      <c r="I18" s="227"/>
      <c r="J18" s="81" t="s">
        <v>1078</v>
      </c>
      <c r="O18">
        <f>1107.68+122.17</f>
        <v>1229.8500000000001</v>
      </c>
    </row>
    <row r="19" spans="1:15" x14ac:dyDescent="0.2">
      <c r="A19" s="15" t="s">
        <v>655</v>
      </c>
      <c r="B19" s="241"/>
      <c r="C19" s="128"/>
      <c r="D19" s="128"/>
      <c r="E19" s="218"/>
      <c r="F19" s="292">
        <v>-484.9</v>
      </c>
      <c r="G19" s="218"/>
      <c r="H19" s="218"/>
      <c r="I19" s="119">
        <v>17833</v>
      </c>
      <c r="J19" s="119" t="s">
        <v>722</v>
      </c>
    </row>
    <row r="20" spans="1:15" x14ac:dyDescent="0.2">
      <c r="A20" s="15" t="s">
        <v>675</v>
      </c>
      <c r="B20" s="241"/>
      <c r="C20" s="128"/>
      <c r="D20" s="128"/>
      <c r="E20" s="218"/>
      <c r="F20" s="292">
        <v>-146.69999999999999</v>
      </c>
      <c r="G20" s="218"/>
      <c r="H20" s="218"/>
      <c r="I20" s="119">
        <v>17833</v>
      </c>
      <c r="J20" s="119" t="s">
        <v>722</v>
      </c>
    </row>
    <row r="21" spans="1:15" x14ac:dyDescent="0.2">
      <c r="A21" s="15" t="s">
        <v>676</v>
      </c>
      <c r="B21" s="241"/>
      <c r="C21" s="128"/>
      <c r="D21" s="128"/>
      <c r="E21" s="218"/>
      <c r="F21" s="292">
        <v>-133.80000000000001</v>
      </c>
      <c r="G21" s="218"/>
      <c r="H21" s="218"/>
      <c r="I21" s="119">
        <v>17833</v>
      </c>
      <c r="J21" s="119" t="s">
        <v>721</v>
      </c>
    </row>
    <row r="22" spans="1:15" x14ac:dyDescent="0.2">
      <c r="A22" s="15" t="s">
        <v>677</v>
      </c>
      <c r="B22" s="241"/>
      <c r="C22" s="128"/>
      <c r="D22" s="128"/>
      <c r="E22" s="218"/>
      <c r="F22" s="292">
        <f>-12-640.8+300-68</f>
        <v>-420.79999999999995</v>
      </c>
      <c r="G22" s="218"/>
      <c r="H22" s="218"/>
      <c r="I22" s="119">
        <v>17833</v>
      </c>
      <c r="J22" s="119" t="s">
        <v>722</v>
      </c>
    </row>
    <row r="23" spans="1:15" x14ac:dyDescent="0.2">
      <c r="A23" s="163" t="s">
        <v>879</v>
      </c>
      <c r="B23" s="163"/>
      <c r="C23" s="214" t="s">
        <v>921</v>
      </c>
      <c r="D23" s="214" t="s">
        <v>922</v>
      </c>
      <c r="E23" s="214"/>
      <c r="F23" s="277">
        <v>-214</v>
      </c>
      <c r="G23" s="218"/>
      <c r="H23" s="214"/>
      <c r="I23" s="155">
        <v>103143</v>
      </c>
      <c r="J23" s="267" t="s">
        <v>543</v>
      </c>
      <c r="L23" s="214" t="s">
        <v>1186</v>
      </c>
      <c r="N23" t="s">
        <v>1177</v>
      </c>
    </row>
    <row r="24" spans="1:15" x14ac:dyDescent="0.2">
      <c r="A24" s="163" t="s">
        <v>875</v>
      </c>
      <c r="B24" s="163"/>
      <c r="C24" s="214" t="s">
        <v>919</v>
      </c>
      <c r="D24" s="214" t="s">
        <v>923</v>
      </c>
      <c r="E24" s="214"/>
      <c r="F24" s="277">
        <v>-216.31</v>
      </c>
      <c r="G24" s="218"/>
      <c r="H24" s="214"/>
      <c r="I24" s="155">
        <v>103143</v>
      </c>
      <c r="J24" s="267" t="s">
        <v>543</v>
      </c>
      <c r="L24" s="214" t="s">
        <v>1187</v>
      </c>
      <c r="N24" t="s">
        <v>1177</v>
      </c>
    </row>
    <row r="25" spans="1:15" x14ac:dyDescent="0.2">
      <c r="A25" s="15"/>
      <c r="B25" s="241"/>
      <c r="C25" s="128"/>
      <c r="D25" s="128"/>
      <c r="E25" s="218"/>
      <c r="F25" s="218"/>
      <c r="G25" s="218"/>
      <c r="H25" s="218"/>
      <c r="I25" s="119"/>
      <c r="J25" s="53" t="s">
        <v>694</v>
      </c>
      <c r="O25">
        <v>-1158</v>
      </c>
    </row>
    <row r="26" spans="1:15" x14ac:dyDescent="0.2">
      <c r="A26" s="119" t="s">
        <v>703</v>
      </c>
      <c r="B26" s="218"/>
      <c r="C26" s="218"/>
      <c r="D26" s="218"/>
      <c r="E26" s="218"/>
      <c r="F26" s="292">
        <v>-27</v>
      </c>
      <c r="G26" s="218"/>
      <c r="H26" s="218"/>
      <c r="I26" s="227">
        <v>66183215</v>
      </c>
      <c r="J26" s="119" t="s">
        <v>782</v>
      </c>
    </row>
    <row r="27" spans="1:15" x14ac:dyDescent="0.2">
      <c r="A27" s="119" t="s">
        <v>718</v>
      </c>
      <c r="B27" s="218"/>
      <c r="C27" s="218"/>
      <c r="D27" s="218"/>
      <c r="E27" s="218"/>
      <c r="F27" s="292">
        <v>-166.1</v>
      </c>
      <c r="G27" s="218"/>
      <c r="H27" s="218"/>
      <c r="I27" s="227">
        <v>66183215</v>
      </c>
      <c r="J27" s="119" t="s">
        <v>782</v>
      </c>
    </row>
    <row r="28" spans="1:15" x14ac:dyDescent="0.2">
      <c r="A28" s="119" t="s">
        <v>732</v>
      </c>
      <c r="B28" s="218"/>
      <c r="C28" s="218"/>
      <c r="D28" s="218"/>
      <c r="E28" s="218"/>
      <c r="F28" s="292">
        <v>-30.1</v>
      </c>
      <c r="G28" s="218"/>
      <c r="H28" s="218"/>
      <c r="I28" s="227">
        <v>66183215</v>
      </c>
      <c r="J28" s="119" t="s">
        <v>782</v>
      </c>
    </row>
    <row r="29" spans="1:15" x14ac:dyDescent="0.2">
      <c r="A29" s="119" t="s">
        <v>726</v>
      </c>
      <c r="B29" s="218"/>
      <c r="C29" s="218"/>
      <c r="D29" s="218"/>
      <c r="E29" s="218"/>
      <c r="F29" s="292">
        <v>-10</v>
      </c>
      <c r="G29" s="218"/>
      <c r="H29" s="218"/>
      <c r="I29" s="227">
        <v>66183215</v>
      </c>
      <c r="J29" s="119" t="s">
        <v>782</v>
      </c>
    </row>
    <row r="30" spans="1:15" x14ac:dyDescent="0.2">
      <c r="A30" s="119" t="s">
        <v>727</v>
      </c>
      <c r="B30" s="218"/>
      <c r="C30" s="218"/>
      <c r="D30" s="218"/>
      <c r="E30" s="218"/>
      <c r="F30" s="292">
        <v>-94.8</v>
      </c>
      <c r="G30" s="218"/>
      <c r="H30" s="218"/>
      <c r="I30" s="227">
        <v>66183215</v>
      </c>
      <c r="J30" s="119" t="s">
        <v>782</v>
      </c>
    </row>
    <row r="31" spans="1:15" x14ac:dyDescent="0.2">
      <c r="A31" s="119" t="s">
        <v>731</v>
      </c>
      <c r="B31" s="218"/>
      <c r="C31" s="218"/>
      <c r="D31" s="218"/>
      <c r="E31" s="218"/>
      <c r="F31" s="292">
        <v>-276</v>
      </c>
      <c r="G31" s="218"/>
      <c r="H31" s="218"/>
      <c r="I31" s="227">
        <v>17779</v>
      </c>
      <c r="J31" s="119" t="s">
        <v>740</v>
      </c>
      <c r="K31" t="s">
        <v>317</v>
      </c>
    </row>
    <row r="32" spans="1:15" x14ac:dyDescent="0.2">
      <c r="A32" s="119" t="s">
        <v>747</v>
      </c>
      <c r="B32" s="218"/>
      <c r="C32" s="218"/>
      <c r="D32" s="218"/>
      <c r="E32" s="218"/>
      <c r="F32" s="292">
        <v>-290.55</v>
      </c>
      <c r="G32" s="218"/>
      <c r="H32" s="218"/>
      <c r="I32" s="227">
        <v>85021</v>
      </c>
      <c r="J32" s="119" t="s">
        <v>821</v>
      </c>
    </row>
    <row r="33" spans="1:12" x14ac:dyDescent="0.2">
      <c r="A33" s="217" t="s">
        <v>795</v>
      </c>
      <c r="B33" s="218"/>
      <c r="C33" s="218"/>
      <c r="D33" s="218"/>
      <c r="E33" s="218"/>
      <c r="F33" s="292">
        <v>-264.06</v>
      </c>
      <c r="G33" s="218"/>
      <c r="H33" s="218"/>
      <c r="I33" s="227">
        <v>91045</v>
      </c>
      <c r="J33" s="12" t="s">
        <v>796</v>
      </c>
      <c r="K33" t="s">
        <v>317</v>
      </c>
    </row>
    <row r="34" spans="1:12" x14ac:dyDescent="0.2">
      <c r="A34" s="217" t="s">
        <v>797</v>
      </c>
      <c r="B34" s="218"/>
      <c r="C34" s="218"/>
      <c r="D34" s="218"/>
      <c r="E34" s="218"/>
      <c r="F34" s="292">
        <v>-246.21</v>
      </c>
      <c r="G34" s="218"/>
      <c r="H34" s="218"/>
      <c r="I34" s="227">
        <v>91045</v>
      </c>
      <c r="J34" s="12" t="s">
        <v>798</v>
      </c>
      <c r="K34" t="s">
        <v>317</v>
      </c>
    </row>
    <row r="35" spans="1:12" x14ac:dyDescent="0.2">
      <c r="A35" s="217" t="s">
        <v>797</v>
      </c>
      <c r="B35" s="218"/>
      <c r="C35" s="218"/>
      <c r="D35" s="218"/>
      <c r="E35" s="218"/>
      <c r="F35" s="292">
        <v>-256.91000000000003</v>
      </c>
      <c r="G35" s="218"/>
      <c r="H35" s="218"/>
      <c r="I35" s="227">
        <v>91045</v>
      </c>
      <c r="J35" s="12" t="s">
        <v>799</v>
      </c>
      <c r="K35" t="s">
        <v>317</v>
      </c>
    </row>
    <row r="36" spans="1:12" x14ac:dyDescent="0.2">
      <c r="A36" s="217" t="s">
        <v>758</v>
      </c>
      <c r="B36" s="218"/>
      <c r="C36" s="218"/>
      <c r="D36" s="218"/>
      <c r="E36" s="218"/>
      <c r="F36" s="292">
        <v>-96</v>
      </c>
      <c r="G36" s="218"/>
      <c r="H36" s="218"/>
      <c r="I36" s="227">
        <v>85021</v>
      </c>
      <c r="J36" s="12" t="s">
        <v>815</v>
      </c>
    </row>
    <row r="37" spans="1:12" x14ac:dyDescent="0.2">
      <c r="A37" s="217" t="s">
        <v>758</v>
      </c>
      <c r="B37" s="218"/>
      <c r="C37" s="218"/>
      <c r="D37" s="218"/>
      <c r="E37" s="218"/>
      <c r="F37" s="292">
        <v>-81.7</v>
      </c>
      <c r="G37" s="218"/>
      <c r="H37" s="218"/>
      <c r="I37" s="227">
        <v>85021</v>
      </c>
      <c r="J37" s="12" t="s">
        <v>821</v>
      </c>
    </row>
    <row r="38" spans="1:12" x14ac:dyDescent="0.2">
      <c r="A38" s="217" t="s">
        <v>783</v>
      </c>
      <c r="B38" s="218"/>
      <c r="C38" s="218"/>
      <c r="D38" s="218"/>
      <c r="E38" s="218"/>
      <c r="F38" s="292">
        <v>-19.5</v>
      </c>
      <c r="G38" s="218"/>
      <c r="H38" s="218"/>
      <c r="I38" s="227">
        <v>85021</v>
      </c>
      <c r="J38" s="12" t="s">
        <v>815</v>
      </c>
    </row>
    <row r="39" spans="1:12" x14ac:dyDescent="0.2">
      <c r="A39" s="217" t="s">
        <v>791</v>
      </c>
      <c r="B39" s="218"/>
      <c r="C39" s="218"/>
      <c r="D39" s="218"/>
      <c r="E39" s="218"/>
      <c r="F39" s="292">
        <v>-303.3</v>
      </c>
      <c r="G39" s="291"/>
      <c r="H39" s="291"/>
      <c r="I39" s="227">
        <v>103252</v>
      </c>
      <c r="J39" s="12" t="s">
        <v>864</v>
      </c>
    </row>
    <row r="40" spans="1:12" x14ac:dyDescent="0.2">
      <c r="A40" s="217" t="s">
        <v>829</v>
      </c>
      <c r="B40" s="218"/>
      <c r="C40" s="218"/>
      <c r="D40" s="218"/>
      <c r="E40" s="218"/>
      <c r="F40" s="292">
        <v>-260.91000000000003</v>
      </c>
      <c r="G40" s="291"/>
      <c r="H40" s="291"/>
      <c r="I40" s="227">
        <v>84387</v>
      </c>
      <c r="J40" s="12" t="s">
        <v>830</v>
      </c>
      <c r="K40" t="s">
        <v>317</v>
      </c>
    </row>
    <row r="41" spans="1:12" x14ac:dyDescent="0.2">
      <c r="A41" s="217" t="s">
        <v>831</v>
      </c>
      <c r="B41" s="218"/>
      <c r="C41" s="218"/>
      <c r="D41" s="218"/>
      <c r="E41" s="218"/>
      <c r="F41" s="292">
        <v>-250.34</v>
      </c>
      <c r="G41" s="291"/>
      <c r="H41" s="291"/>
      <c r="I41" s="227">
        <v>84387</v>
      </c>
      <c r="J41" s="12" t="s">
        <v>832</v>
      </c>
      <c r="K41" t="s">
        <v>317</v>
      </c>
    </row>
    <row r="42" spans="1:12" x14ac:dyDescent="0.2">
      <c r="A42" s="217" t="s">
        <v>823</v>
      </c>
      <c r="B42" s="218"/>
      <c r="C42" s="218"/>
      <c r="D42" s="218"/>
      <c r="E42" s="218"/>
      <c r="F42" s="292">
        <v>-270</v>
      </c>
      <c r="G42" s="291"/>
      <c r="H42" s="291"/>
      <c r="I42" s="227">
        <v>103252</v>
      </c>
      <c r="J42" s="12" t="s">
        <v>864</v>
      </c>
    </row>
    <row r="43" spans="1:12" x14ac:dyDescent="0.2">
      <c r="A43" s="217" t="s">
        <v>850</v>
      </c>
      <c r="B43" s="218"/>
      <c r="C43" s="218"/>
      <c r="D43" s="218"/>
      <c r="E43" s="218"/>
      <c r="F43" s="292">
        <v>-45</v>
      </c>
      <c r="G43" s="291"/>
      <c r="H43" s="291"/>
      <c r="I43" s="227">
        <v>84387</v>
      </c>
      <c r="J43" s="12" t="s">
        <v>851</v>
      </c>
      <c r="K43" t="s">
        <v>852</v>
      </c>
    </row>
    <row r="44" spans="1:12" x14ac:dyDescent="0.2">
      <c r="A44" s="217" t="s">
        <v>847</v>
      </c>
      <c r="B44" s="218"/>
      <c r="C44" s="218"/>
      <c r="D44" s="218"/>
      <c r="E44" s="218"/>
      <c r="F44" s="292">
        <v>-50</v>
      </c>
      <c r="G44" s="291"/>
      <c r="H44" s="291"/>
      <c r="I44" s="227">
        <v>84387</v>
      </c>
      <c r="J44" s="12" t="s">
        <v>853</v>
      </c>
      <c r="K44" t="s">
        <v>852</v>
      </c>
    </row>
    <row r="45" spans="1:12" x14ac:dyDescent="0.2">
      <c r="A45" s="217" t="s">
        <v>842</v>
      </c>
      <c r="B45" s="218"/>
      <c r="C45" s="218"/>
      <c r="D45" s="218"/>
      <c r="E45" s="218"/>
      <c r="F45" s="292">
        <v>-117</v>
      </c>
      <c r="G45" s="291"/>
      <c r="H45" s="291"/>
      <c r="I45" s="227">
        <v>57528</v>
      </c>
      <c r="J45" s="12" t="s">
        <v>849</v>
      </c>
    </row>
    <row r="46" spans="1:12" x14ac:dyDescent="0.2">
      <c r="A46" s="217" t="s">
        <v>888</v>
      </c>
      <c r="B46" s="218"/>
      <c r="C46" s="218"/>
      <c r="D46" s="218"/>
      <c r="E46" s="218"/>
      <c r="F46" s="292">
        <v>-130</v>
      </c>
      <c r="G46" s="291"/>
      <c r="H46" s="291"/>
      <c r="I46" s="227">
        <v>103143</v>
      </c>
      <c r="J46" s="12" t="s">
        <v>889</v>
      </c>
      <c r="K46" t="s">
        <v>890</v>
      </c>
      <c r="L46" t="s">
        <v>891</v>
      </c>
    </row>
    <row r="47" spans="1:12" x14ac:dyDescent="0.2">
      <c r="A47" s="217" t="s">
        <v>948</v>
      </c>
      <c r="B47" s="218"/>
      <c r="C47" s="218"/>
      <c r="D47" s="218"/>
      <c r="E47" s="218"/>
      <c r="F47" s="292">
        <v>-231.2</v>
      </c>
      <c r="G47" s="291"/>
      <c r="H47" s="291"/>
      <c r="I47" s="227">
        <v>23118</v>
      </c>
      <c r="J47" s="12" t="s">
        <v>949</v>
      </c>
      <c r="K47" t="s">
        <v>317</v>
      </c>
    </row>
    <row r="48" spans="1:12" x14ac:dyDescent="0.2">
      <c r="A48" s="217" t="s">
        <v>947</v>
      </c>
      <c r="B48" s="218"/>
      <c r="C48" s="218"/>
      <c r="D48" s="218"/>
      <c r="E48" s="218"/>
      <c r="F48" s="292">
        <v>-300</v>
      </c>
      <c r="G48" s="291"/>
      <c r="H48" s="291"/>
      <c r="I48" s="227">
        <v>23118</v>
      </c>
      <c r="J48" s="12" t="s">
        <v>950</v>
      </c>
      <c r="K48" t="s">
        <v>317</v>
      </c>
    </row>
    <row r="49" spans="1:11" x14ac:dyDescent="0.2">
      <c r="A49" s="217" t="s">
        <v>963</v>
      </c>
      <c r="B49" s="218"/>
      <c r="C49" s="218"/>
      <c r="D49" s="218"/>
      <c r="E49" s="218"/>
      <c r="F49" s="292">
        <v>-35</v>
      </c>
      <c r="G49" s="291"/>
      <c r="H49" s="291"/>
      <c r="I49" s="227">
        <v>35226</v>
      </c>
      <c r="J49" s="12" t="s">
        <v>1005</v>
      </c>
      <c r="K49" t="s">
        <v>890</v>
      </c>
    </row>
    <row r="50" spans="1:11" x14ac:dyDescent="0.2">
      <c r="A50" s="217" t="s">
        <v>951</v>
      </c>
      <c r="B50" s="218"/>
      <c r="C50" s="218"/>
      <c r="D50" s="218"/>
      <c r="E50" s="218"/>
      <c r="F50" s="292">
        <v>-291</v>
      </c>
      <c r="G50" s="291"/>
      <c r="H50" s="291"/>
      <c r="I50" s="227">
        <v>23118</v>
      </c>
      <c r="J50" s="12" t="s">
        <v>952</v>
      </c>
      <c r="K50" t="s">
        <v>317</v>
      </c>
    </row>
    <row r="51" spans="1:11" x14ac:dyDescent="0.2">
      <c r="A51" s="217" t="s">
        <v>987</v>
      </c>
      <c r="B51" s="218"/>
      <c r="C51" s="218"/>
      <c r="D51" s="218"/>
      <c r="E51" s="218"/>
      <c r="F51" s="292">
        <v>-45</v>
      </c>
      <c r="G51" s="291"/>
      <c r="H51" s="291"/>
      <c r="I51" s="227">
        <v>35226</v>
      </c>
      <c r="J51" s="12" t="s">
        <v>1020</v>
      </c>
      <c r="K51" t="s">
        <v>317</v>
      </c>
    </row>
    <row r="52" spans="1:11" x14ac:dyDescent="0.2">
      <c r="A52" s="217" t="s">
        <v>994</v>
      </c>
      <c r="B52" s="218"/>
      <c r="C52" s="218"/>
      <c r="D52" s="218"/>
      <c r="E52" s="218"/>
      <c r="F52" s="292">
        <v>-35</v>
      </c>
      <c r="G52" s="291"/>
      <c r="H52" s="291"/>
      <c r="I52" s="227">
        <v>35226</v>
      </c>
      <c r="J52" s="12" t="s">
        <v>1021</v>
      </c>
      <c r="K52" t="s">
        <v>317</v>
      </c>
    </row>
    <row r="53" spans="1:11" x14ac:dyDescent="0.2">
      <c r="A53" s="217" t="s">
        <v>999</v>
      </c>
      <c r="B53" s="218"/>
      <c r="C53" s="218"/>
      <c r="D53" s="218"/>
      <c r="E53" s="218"/>
      <c r="F53" s="292">
        <f>-208.8-108+54-52.2</f>
        <v>-315</v>
      </c>
      <c r="G53" s="291"/>
      <c r="H53" s="291"/>
      <c r="I53" s="227">
        <v>35271</v>
      </c>
      <c r="J53" s="12" t="s">
        <v>1037</v>
      </c>
    </row>
    <row r="54" spans="1:11" x14ac:dyDescent="0.2">
      <c r="A54" s="217" t="s">
        <v>1003</v>
      </c>
      <c r="B54" s="218"/>
      <c r="C54" s="218"/>
      <c r="D54" s="218"/>
      <c r="E54" s="218"/>
      <c r="F54" s="292">
        <v>-150</v>
      </c>
      <c r="G54" s="291"/>
      <c r="H54" s="291"/>
      <c r="I54" s="227">
        <v>35226</v>
      </c>
      <c r="J54" s="12" t="s">
        <v>1004</v>
      </c>
      <c r="K54" t="s">
        <v>852</v>
      </c>
    </row>
    <row r="55" spans="1:11" x14ac:dyDescent="0.2">
      <c r="A55" s="217" t="s">
        <v>1003</v>
      </c>
      <c r="B55" s="218"/>
      <c r="C55" s="218"/>
      <c r="D55" s="218"/>
      <c r="E55" s="218"/>
      <c r="F55" s="292">
        <v>-32.799999999999997</v>
      </c>
      <c r="G55" s="291"/>
      <c r="H55" s="291"/>
      <c r="I55" s="227">
        <v>35226</v>
      </c>
      <c r="J55" s="12" t="s">
        <v>1028</v>
      </c>
      <c r="K55" t="s">
        <v>317</v>
      </c>
    </row>
    <row r="56" spans="1:11" x14ac:dyDescent="0.2">
      <c r="A56" s="217" t="s">
        <v>1010</v>
      </c>
      <c r="B56" s="218"/>
      <c r="C56" s="218"/>
      <c r="D56" s="218"/>
      <c r="E56" s="218"/>
      <c r="F56" s="292">
        <v>-117</v>
      </c>
      <c r="G56" s="291"/>
      <c r="H56" s="291"/>
      <c r="I56" s="227">
        <v>35271</v>
      </c>
      <c r="J56" s="12" t="s">
        <v>1011</v>
      </c>
    </row>
    <row r="57" spans="1:11" x14ac:dyDescent="0.2">
      <c r="A57" s="217" t="s">
        <v>1013</v>
      </c>
      <c r="B57" s="218"/>
      <c r="C57" s="218"/>
      <c r="D57" s="218"/>
      <c r="E57" s="218"/>
      <c r="F57" s="292">
        <f>-742.6+156.6</f>
        <v>-586</v>
      </c>
      <c r="G57" s="291"/>
      <c r="H57" s="291"/>
      <c r="I57" s="227">
        <v>6758</v>
      </c>
      <c r="J57" s="12" t="s">
        <v>1043</v>
      </c>
    </row>
    <row r="58" spans="1:11" x14ac:dyDescent="0.2">
      <c r="A58" s="217" t="s">
        <v>1013</v>
      </c>
      <c r="B58" s="218"/>
      <c r="C58" s="218"/>
      <c r="D58" s="218"/>
      <c r="E58" s="218"/>
      <c r="F58" s="292">
        <v>-117</v>
      </c>
      <c r="G58" s="291"/>
      <c r="H58" s="291"/>
      <c r="I58" s="227">
        <v>35226</v>
      </c>
      <c r="J58" s="12" t="s">
        <v>1014</v>
      </c>
      <c r="K58" t="s">
        <v>852</v>
      </c>
    </row>
    <row r="59" spans="1:11" x14ac:dyDescent="0.2">
      <c r="A59" s="217" t="s">
        <v>615</v>
      </c>
      <c r="B59" s="218"/>
      <c r="C59" s="218"/>
      <c r="D59" s="218"/>
      <c r="E59" s="218"/>
      <c r="F59" s="292">
        <v>-787</v>
      </c>
      <c r="G59" s="291"/>
      <c r="H59" s="291"/>
      <c r="I59" s="227">
        <v>35271</v>
      </c>
      <c r="J59" s="12" t="s">
        <v>1012</v>
      </c>
    </row>
    <row r="60" spans="1:11" x14ac:dyDescent="0.2">
      <c r="A60" s="217" t="s">
        <v>615</v>
      </c>
      <c r="B60" s="218"/>
      <c r="C60" s="218"/>
      <c r="D60" s="218"/>
      <c r="E60" s="218"/>
      <c r="F60" s="292">
        <v>-329</v>
      </c>
      <c r="G60" s="291"/>
      <c r="H60" s="291"/>
      <c r="I60" s="227">
        <v>35226</v>
      </c>
      <c r="J60" s="12" t="s">
        <v>1029</v>
      </c>
      <c r="K60" t="s">
        <v>317</v>
      </c>
    </row>
    <row r="61" spans="1:11" x14ac:dyDescent="0.2">
      <c r="A61" s="217" t="s">
        <v>1039</v>
      </c>
      <c r="B61" s="218"/>
      <c r="C61" s="218"/>
      <c r="D61" s="218"/>
      <c r="E61" s="218"/>
      <c r="F61" s="292">
        <v>-327.10000000000002</v>
      </c>
      <c r="G61" s="291"/>
      <c r="H61" s="291"/>
      <c r="I61" s="227">
        <v>83887</v>
      </c>
      <c r="J61" s="12" t="s">
        <v>1091</v>
      </c>
    </row>
    <row r="62" spans="1:11" x14ac:dyDescent="0.2">
      <c r="A62" s="217" t="s">
        <v>1039</v>
      </c>
      <c r="B62" s="218"/>
      <c r="C62" s="218"/>
      <c r="D62" s="218"/>
      <c r="E62" s="218"/>
      <c r="F62" s="292">
        <v>-117</v>
      </c>
      <c r="G62" s="291"/>
      <c r="H62" s="291"/>
      <c r="I62" s="227">
        <v>6758</v>
      </c>
      <c r="J62" s="12" t="s">
        <v>1052</v>
      </c>
    </row>
    <row r="63" spans="1:11" x14ac:dyDescent="0.2">
      <c r="A63" s="217" t="s">
        <v>1092</v>
      </c>
      <c r="B63" s="218"/>
      <c r="C63" s="218"/>
      <c r="D63" s="218"/>
      <c r="E63" s="218"/>
      <c r="F63" s="292">
        <f>-1143.7-200</f>
        <v>-1343.7</v>
      </c>
      <c r="G63" s="291"/>
      <c r="H63" s="291"/>
      <c r="I63" s="227">
        <v>83887</v>
      </c>
      <c r="J63" s="12" t="s">
        <v>1091</v>
      </c>
    </row>
    <row r="64" spans="1:11" x14ac:dyDescent="0.2">
      <c r="A64" s="217" t="s">
        <v>1057</v>
      </c>
      <c r="B64" s="218"/>
      <c r="C64" s="218"/>
      <c r="D64" s="218"/>
      <c r="E64" s="218"/>
      <c r="F64" s="292">
        <v>-1088</v>
      </c>
      <c r="G64" s="291"/>
      <c r="H64" s="291"/>
      <c r="I64" s="227">
        <v>6758</v>
      </c>
      <c r="J64" s="12" t="s">
        <v>1058</v>
      </c>
    </row>
    <row r="65" spans="1:12" x14ac:dyDescent="0.2">
      <c r="A65" s="217" t="s">
        <v>1085</v>
      </c>
      <c r="B65" s="218"/>
      <c r="C65" s="218"/>
      <c r="D65" s="218"/>
      <c r="E65" s="218"/>
      <c r="F65" s="291"/>
      <c r="G65" s="291"/>
      <c r="H65" s="294">
        <v>-281</v>
      </c>
      <c r="I65" s="227">
        <v>83887</v>
      </c>
      <c r="J65" s="81" t="s">
        <v>1095</v>
      </c>
    </row>
    <row r="66" spans="1:12" x14ac:dyDescent="0.2">
      <c r="A66" s="217" t="s">
        <v>1098</v>
      </c>
      <c r="B66" s="218"/>
      <c r="C66" s="218"/>
      <c r="D66" s="218"/>
      <c r="E66" s="218"/>
      <c r="F66" s="292">
        <v>-98</v>
      </c>
      <c r="G66" s="291"/>
      <c r="H66" s="291"/>
      <c r="I66" s="227">
        <v>83806</v>
      </c>
      <c r="J66" s="12" t="s">
        <v>1099</v>
      </c>
    </row>
    <row r="67" spans="1:12" x14ac:dyDescent="0.2">
      <c r="A67" s="217"/>
      <c r="B67" s="218"/>
      <c r="C67" s="218"/>
      <c r="D67" s="218"/>
      <c r="E67" s="218"/>
      <c r="F67" s="218"/>
      <c r="G67" s="218"/>
      <c r="H67" s="218"/>
      <c r="I67" s="227"/>
      <c r="J67" s="81"/>
    </row>
    <row r="68" spans="1:12" x14ac:dyDescent="0.2">
      <c r="A68" s="217"/>
      <c r="B68" s="218"/>
      <c r="C68" s="218"/>
      <c r="D68" s="218"/>
      <c r="E68" s="218"/>
      <c r="F68" s="218"/>
      <c r="G68" s="218"/>
      <c r="H68" s="218"/>
      <c r="I68" s="227"/>
      <c r="J68" s="53"/>
    </row>
    <row r="69" spans="1:12" x14ac:dyDescent="0.2">
      <c r="A69" s="217"/>
      <c r="B69" s="218"/>
      <c r="C69" s="218"/>
      <c r="D69" s="218"/>
      <c r="E69" s="218"/>
      <c r="F69" s="218"/>
      <c r="G69" s="218">
        <v>-500</v>
      </c>
      <c r="H69" s="218"/>
      <c r="I69" s="227"/>
      <c r="J69" s="53"/>
      <c r="K69">
        <v>10828</v>
      </c>
    </row>
    <row r="70" spans="1:12" x14ac:dyDescent="0.2">
      <c r="A70" s="206" t="s">
        <v>77</v>
      </c>
      <c r="B70" s="205"/>
      <c r="C70" s="207">
        <f t="shared" ref="C70:H70" si="0">SUM(C2:C69)</f>
        <v>-45791.189999999995</v>
      </c>
      <c r="D70" s="207">
        <f t="shared" si="0"/>
        <v>-15979.145</v>
      </c>
      <c r="E70" s="207">
        <f t="shared" si="0"/>
        <v>-13247</v>
      </c>
      <c r="F70" s="207">
        <f t="shared" si="0"/>
        <v>-11246.789999999999</v>
      </c>
      <c r="G70" s="207">
        <f t="shared" si="0"/>
        <v>-500</v>
      </c>
      <c r="H70" s="207">
        <f t="shared" si="0"/>
        <v>-281</v>
      </c>
      <c r="I70" s="207"/>
      <c r="J70" s="207">
        <f>SUM(C70:H70)</f>
        <v>-87045.124999999985</v>
      </c>
    </row>
    <row r="71" spans="1:12" ht="15" x14ac:dyDescent="0.25">
      <c r="A71" s="136" t="s">
        <v>78</v>
      </c>
      <c r="B71" s="137"/>
      <c r="C71" s="138">
        <v>45000</v>
      </c>
      <c r="D71" s="138">
        <v>16000</v>
      </c>
      <c r="E71" s="138">
        <f>14000+1000</f>
        <v>15000</v>
      </c>
      <c r="F71" s="138">
        <v>10000</v>
      </c>
      <c r="G71" s="139">
        <v>500</v>
      </c>
      <c r="H71" s="138">
        <v>457</v>
      </c>
      <c r="I71" s="138"/>
      <c r="J71" s="138">
        <f>SUM(C71:H71)</f>
        <v>86957</v>
      </c>
    </row>
    <row r="72" spans="1:12" ht="15.75" thickBot="1" x14ac:dyDescent="0.3">
      <c r="A72" s="208" t="s">
        <v>79</v>
      </c>
      <c r="B72" s="209"/>
      <c r="C72" s="210">
        <f t="shared" ref="C72:H72" si="1">C71+C70</f>
        <v>-791.18999999999505</v>
      </c>
      <c r="D72" s="210">
        <f t="shared" si="1"/>
        <v>20.854999999999563</v>
      </c>
      <c r="E72" s="210">
        <f t="shared" si="1"/>
        <v>1753</v>
      </c>
      <c r="F72" s="210">
        <f t="shared" si="1"/>
        <v>-1246.7899999999991</v>
      </c>
      <c r="G72" s="210">
        <f t="shared" si="1"/>
        <v>0</v>
      </c>
      <c r="H72" s="210">
        <f t="shared" si="1"/>
        <v>176</v>
      </c>
      <c r="I72" s="210"/>
      <c r="J72" s="211"/>
      <c r="L72" s="134"/>
    </row>
    <row r="73" spans="1:12" ht="18.75" thickBot="1" x14ac:dyDescent="0.3">
      <c r="A73" s="212" t="s">
        <v>83</v>
      </c>
      <c r="B73" s="213">
        <f>SUM(C72:H72)</f>
        <v>-88.124999999994543</v>
      </c>
      <c r="C73" s="132"/>
      <c r="D73" s="132"/>
      <c r="E73" s="146"/>
      <c r="F73" s="146"/>
      <c r="G73" s="146"/>
      <c r="H73" s="135"/>
      <c r="I73" s="135"/>
      <c r="L73" s="134"/>
    </row>
    <row r="74" spans="1:12" x14ac:dyDescent="0.2">
      <c r="A74" s="189"/>
      <c r="B74" s="190"/>
      <c r="C74" s="132"/>
      <c r="D74" s="132"/>
      <c r="E74" s="132"/>
      <c r="F74" s="132"/>
      <c r="G74" s="132"/>
      <c r="H74" s="135"/>
      <c r="I74" s="135"/>
      <c r="L74" s="134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5"/>
  <sheetViews>
    <sheetView rightToLeft="1" workbookViewId="0">
      <selection activeCell="A13" sqref="A13"/>
    </sheetView>
  </sheetViews>
  <sheetFormatPr defaultRowHeight="14.25" x14ac:dyDescent="0.2"/>
  <cols>
    <col min="2" max="2" width="23" customWidth="1"/>
    <col min="9" max="9" width="31.625" customWidth="1"/>
  </cols>
  <sheetData>
    <row r="1" spans="1:16" ht="15" x14ac:dyDescent="0.2">
      <c r="A1" s="149"/>
      <c r="B1" s="150" t="s">
        <v>390</v>
      </c>
      <c r="C1" s="149"/>
      <c r="D1" s="149"/>
      <c r="E1" s="149"/>
      <c r="F1" s="149"/>
      <c r="O1" t="s">
        <v>396</v>
      </c>
    </row>
    <row r="2" spans="1:16" x14ac:dyDescent="0.2">
      <c r="A2" s="149"/>
      <c r="B2" s="149"/>
      <c r="C2" s="149"/>
      <c r="D2" s="149"/>
      <c r="E2" s="149"/>
      <c r="F2" s="149"/>
      <c r="O2" t="s">
        <v>434</v>
      </c>
    </row>
    <row r="3" spans="1:16" x14ac:dyDescent="0.2">
      <c r="A3" s="70" t="s">
        <v>386</v>
      </c>
      <c r="B3" s="149" t="s">
        <v>391</v>
      </c>
      <c r="C3" s="149"/>
      <c r="D3" s="149" t="s">
        <v>387</v>
      </c>
      <c r="E3" s="149" t="s">
        <v>392</v>
      </c>
      <c r="F3" s="149"/>
      <c r="O3" s="203" t="s">
        <v>680</v>
      </c>
      <c r="P3" t="s">
        <v>678</v>
      </c>
    </row>
    <row r="4" spans="1:16" x14ac:dyDescent="0.2">
      <c r="A4" s="70" t="s">
        <v>76</v>
      </c>
      <c r="B4" s="151"/>
      <c r="C4" s="149"/>
      <c r="D4" s="149"/>
      <c r="E4" s="149"/>
      <c r="F4" s="149"/>
      <c r="O4" s="203" t="s">
        <v>1174</v>
      </c>
      <c r="P4" t="s">
        <v>679</v>
      </c>
    </row>
    <row r="5" spans="1:16" x14ac:dyDescent="0.2">
      <c r="A5" s="70" t="s">
        <v>388</v>
      </c>
      <c r="B5" s="70" t="s">
        <v>1</v>
      </c>
      <c r="C5" s="152" t="s">
        <v>539</v>
      </c>
      <c r="D5" s="70" t="s">
        <v>2</v>
      </c>
      <c r="E5" s="153" t="s">
        <v>573</v>
      </c>
      <c r="F5" s="154"/>
      <c r="O5" s="203" t="s">
        <v>1175</v>
      </c>
      <c r="P5" t="s">
        <v>619</v>
      </c>
    </row>
    <row r="7" spans="1:16" x14ac:dyDescent="0.2">
      <c r="A7" s="59" t="s">
        <v>4</v>
      </c>
      <c r="B7" s="59" t="s">
        <v>5</v>
      </c>
      <c r="C7" s="59" t="s">
        <v>389</v>
      </c>
      <c r="D7" s="59" t="s">
        <v>47</v>
      </c>
      <c r="E7" s="59" t="s">
        <v>393</v>
      </c>
      <c r="F7" s="59" t="s">
        <v>394</v>
      </c>
      <c r="G7" s="59"/>
      <c r="H7" s="59" t="s">
        <v>16</v>
      </c>
      <c r="I7" s="59" t="s">
        <v>51</v>
      </c>
      <c r="J7" s="59" t="s">
        <v>660</v>
      </c>
    </row>
    <row r="8" spans="1:16" x14ac:dyDescent="0.2">
      <c r="A8" s="205"/>
      <c r="B8" s="205" t="s">
        <v>659</v>
      </c>
      <c r="C8" s="207">
        <v>-26000</v>
      </c>
      <c r="D8" s="207"/>
      <c r="E8" s="207"/>
      <c r="F8" s="207"/>
      <c r="G8" s="207"/>
      <c r="H8" s="225"/>
      <c r="I8" s="205" t="s">
        <v>661</v>
      </c>
      <c r="J8" s="205"/>
    </row>
    <row r="9" spans="1:16" x14ac:dyDescent="0.2">
      <c r="A9" s="205"/>
      <c r="B9" s="205" t="s">
        <v>659</v>
      </c>
      <c r="C9" s="207">
        <v>-26000</v>
      </c>
      <c r="D9" s="207"/>
      <c r="E9" s="207"/>
      <c r="F9" s="207"/>
      <c r="G9" s="207"/>
      <c r="H9" s="225"/>
      <c r="I9" s="205" t="s">
        <v>662</v>
      </c>
      <c r="J9" s="205"/>
    </row>
    <row r="10" spans="1:16" x14ac:dyDescent="0.2">
      <c r="A10" s="119" t="s">
        <v>1190</v>
      </c>
      <c r="B10" s="185"/>
      <c r="C10" s="186">
        <f>-2588.67+1997</f>
        <v>-591.67000000000007</v>
      </c>
      <c r="D10" s="186"/>
      <c r="E10" s="285"/>
      <c r="F10" s="186"/>
      <c r="G10" s="186"/>
      <c r="H10" s="226"/>
      <c r="I10" s="185" t="s">
        <v>1193</v>
      </c>
      <c r="J10" s="183"/>
    </row>
    <row r="11" spans="1:16" x14ac:dyDescent="0.2">
      <c r="A11" s="119" t="s">
        <v>1190</v>
      </c>
      <c r="B11" s="185"/>
      <c r="C11" s="186">
        <v>-913.63</v>
      </c>
      <c r="D11" s="186"/>
      <c r="E11" s="285"/>
      <c r="F11" s="186"/>
      <c r="G11" s="186"/>
      <c r="H11" s="226"/>
      <c r="I11" s="185" t="s">
        <v>1194</v>
      </c>
      <c r="J11" s="183"/>
    </row>
    <row r="12" spans="1:16" x14ac:dyDescent="0.2">
      <c r="A12" s="119" t="s">
        <v>1171</v>
      </c>
      <c r="B12" s="185"/>
      <c r="C12" s="186">
        <v>-1787.35</v>
      </c>
      <c r="D12" s="186"/>
      <c r="E12" s="285"/>
      <c r="F12" s="186"/>
      <c r="G12" s="186"/>
      <c r="H12" s="226"/>
      <c r="I12" s="185" t="s">
        <v>1278</v>
      </c>
      <c r="J12" s="183"/>
    </row>
    <row r="13" spans="1:16" x14ac:dyDescent="0.2">
      <c r="A13" s="119"/>
      <c r="B13" s="185"/>
      <c r="C13" s="186"/>
      <c r="D13" s="186"/>
      <c r="E13" s="285"/>
      <c r="F13" s="186"/>
      <c r="G13" s="186"/>
      <c r="H13" s="226"/>
      <c r="I13" s="185"/>
      <c r="J13" s="183"/>
    </row>
    <row r="14" spans="1:16" x14ac:dyDescent="0.2">
      <c r="A14" s="119"/>
      <c r="B14" s="185"/>
      <c r="C14" s="186"/>
      <c r="D14" s="186"/>
      <c r="E14" s="285"/>
      <c r="F14" s="186"/>
      <c r="G14" s="186"/>
      <c r="H14" s="226"/>
      <c r="I14" s="185"/>
      <c r="J14" s="183"/>
    </row>
    <row r="15" spans="1:16" x14ac:dyDescent="0.2">
      <c r="A15" s="185"/>
      <c r="B15" s="185"/>
      <c r="C15" s="186"/>
      <c r="D15" s="186"/>
      <c r="E15" s="285"/>
      <c r="F15" s="186"/>
      <c r="G15" s="186"/>
      <c r="H15" s="226"/>
      <c r="I15" s="185"/>
      <c r="J15" s="183"/>
    </row>
    <row r="16" spans="1:16" x14ac:dyDescent="0.2">
      <c r="A16" s="185"/>
      <c r="B16" s="185"/>
      <c r="C16" s="186"/>
      <c r="D16" s="186"/>
      <c r="E16" s="285"/>
      <c r="F16" s="186"/>
      <c r="G16" s="186"/>
      <c r="H16" s="226"/>
      <c r="I16" s="185"/>
      <c r="J16" s="183"/>
    </row>
    <row r="17" spans="1:14" x14ac:dyDescent="0.2">
      <c r="A17" s="185"/>
      <c r="B17" s="185"/>
      <c r="C17" s="186">
        <v>-45000</v>
      </c>
      <c r="D17" s="186">
        <v>-15000</v>
      </c>
      <c r="E17" s="285"/>
      <c r="F17" s="186"/>
      <c r="G17" s="186"/>
      <c r="H17" s="226"/>
      <c r="I17" s="185" t="s">
        <v>1172</v>
      </c>
      <c r="J17" s="183"/>
    </row>
    <row r="18" spans="1:14" x14ac:dyDescent="0.2">
      <c r="A18" s="185"/>
      <c r="B18" s="185"/>
      <c r="C18" s="186"/>
      <c r="D18" s="186"/>
      <c r="E18" s="285"/>
      <c r="F18" s="186"/>
      <c r="G18" s="186"/>
      <c r="H18" s="226"/>
      <c r="I18" s="185"/>
      <c r="J18" s="183"/>
    </row>
    <row r="19" spans="1:14" ht="15" x14ac:dyDescent="0.25">
      <c r="A19" s="133" t="s">
        <v>77</v>
      </c>
      <c r="B19" s="59"/>
      <c r="C19" s="184">
        <f>SUM(C10:C18)</f>
        <v>-48292.65</v>
      </c>
      <c r="D19" s="184">
        <f>SUM(D10:D18)</f>
        <v>-15000</v>
      </c>
      <c r="E19" s="184">
        <f t="shared" ref="E19:F19" si="0">SUM(E10:E18)</f>
        <v>0</v>
      </c>
      <c r="F19" s="184">
        <f t="shared" si="0"/>
        <v>0</v>
      </c>
      <c r="G19" s="184"/>
      <c r="H19" s="184"/>
      <c r="I19" s="59"/>
      <c r="J19" s="147" t="s">
        <v>395</v>
      </c>
      <c r="K19" s="147"/>
      <c r="L19" s="134"/>
      <c r="M19" s="135"/>
      <c r="N19" s="134"/>
    </row>
    <row r="20" spans="1:14" ht="15" x14ac:dyDescent="0.25">
      <c r="A20" s="136" t="s">
        <v>78</v>
      </c>
      <c r="B20" s="137"/>
      <c r="C20" s="138">
        <v>48000</v>
      </c>
      <c r="D20" s="138">
        <v>15000</v>
      </c>
      <c r="E20" s="138">
        <v>19957</v>
      </c>
      <c r="F20" s="139">
        <v>2000</v>
      </c>
      <c r="G20" s="139"/>
      <c r="H20" s="138"/>
      <c r="I20" s="138">
        <f>SUM(C20:H20)</f>
        <v>84957</v>
      </c>
      <c r="J20" s="148">
        <v>13043</v>
      </c>
      <c r="K20" s="148">
        <f>I20+J20</f>
        <v>98000</v>
      </c>
      <c r="L20" s="134"/>
      <c r="M20" s="135"/>
      <c r="N20" s="134"/>
    </row>
    <row r="21" spans="1:14" ht="15.75" thickBot="1" x14ac:dyDescent="0.3">
      <c r="A21" s="140" t="s">
        <v>79</v>
      </c>
      <c r="B21" s="141"/>
      <c r="C21" s="142">
        <f t="shared" ref="C21:F21" si="1">C20+C19</f>
        <v>-292.65000000000146</v>
      </c>
      <c r="D21" s="142">
        <f t="shared" si="1"/>
        <v>0</v>
      </c>
      <c r="E21" s="142">
        <f t="shared" si="1"/>
        <v>19957</v>
      </c>
      <c r="F21" s="142">
        <f t="shared" si="1"/>
        <v>2000</v>
      </c>
      <c r="G21" s="142"/>
      <c r="H21" s="142"/>
      <c r="I21" s="143"/>
      <c r="L21" s="134"/>
      <c r="M21" s="135"/>
      <c r="N21" s="134"/>
    </row>
    <row r="22" spans="1:14" ht="18.75" thickBot="1" x14ac:dyDescent="0.3">
      <c r="A22" s="144" t="s">
        <v>83</v>
      </c>
      <c r="B22" s="145">
        <f>SUM(C21:H21)</f>
        <v>21664.35</v>
      </c>
      <c r="C22" s="132"/>
      <c r="D22" s="132"/>
      <c r="E22" s="146"/>
      <c r="F22" s="146"/>
      <c r="G22" s="146"/>
      <c r="H22" s="146"/>
      <c r="I22" s="146"/>
      <c r="L22" s="134"/>
      <c r="M22" s="135"/>
      <c r="N22" s="134"/>
    </row>
    <row r="30" spans="1:14" x14ac:dyDescent="0.2">
      <c r="A30" s="59" t="s">
        <v>4</v>
      </c>
      <c r="B30" s="59" t="s">
        <v>5</v>
      </c>
      <c r="C30" s="59" t="s">
        <v>389</v>
      </c>
      <c r="D30" s="59" t="s">
        <v>47</v>
      </c>
      <c r="E30" s="59" t="s">
        <v>393</v>
      </c>
      <c r="F30" s="59" t="s">
        <v>394</v>
      </c>
      <c r="G30" s="59"/>
      <c r="H30" s="59" t="s">
        <v>16</v>
      </c>
      <c r="I30" s="59" t="s">
        <v>51</v>
      </c>
      <c r="J30" s="59" t="s">
        <v>660</v>
      </c>
    </row>
    <row r="31" spans="1:14" x14ac:dyDescent="0.2">
      <c r="A31" s="205" t="s">
        <v>951</v>
      </c>
      <c r="B31" s="205" t="s">
        <v>659</v>
      </c>
      <c r="C31" s="284">
        <v>-26000</v>
      </c>
      <c r="D31" s="207"/>
      <c r="E31" s="207"/>
      <c r="F31" s="207"/>
      <c r="G31" s="207"/>
      <c r="H31" s="225">
        <v>23159</v>
      </c>
      <c r="I31" s="205" t="s">
        <v>661</v>
      </c>
      <c r="J31" s="205"/>
    </row>
    <row r="32" spans="1:14" x14ac:dyDescent="0.2">
      <c r="A32" s="205"/>
      <c r="B32" s="205" t="s">
        <v>659</v>
      </c>
      <c r="C32" s="207">
        <v>-26000</v>
      </c>
      <c r="D32" s="207"/>
      <c r="E32" s="207"/>
      <c r="F32" s="207"/>
      <c r="G32" s="207"/>
      <c r="H32" s="225"/>
      <c r="I32" s="205" t="s">
        <v>662</v>
      </c>
      <c r="J32" s="205"/>
    </row>
    <row r="33" spans="1:11" x14ac:dyDescent="0.2">
      <c r="A33" s="119" t="s">
        <v>593</v>
      </c>
      <c r="B33" s="185"/>
      <c r="C33" s="186"/>
      <c r="D33" s="186"/>
      <c r="E33" s="240">
        <v>-20</v>
      </c>
      <c r="F33" s="186"/>
      <c r="G33" s="186"/>
      <c r="H33" s="226">
        <v>155638</v>
      </c>
      <c r="I33" s="185" t="s">
        <v>597</v>
      </c>
      <c r="J33" s="183" t="s">
        <v>596</v>
      </c>
      <c r="K33" s="183"/>
    </row>
    <row r="34" spans="1:11" x14ac:dyDescent="0.2">
      <c r="A34" s="185" t="s">
        <v>593</v>
      </c>
      <c r="B34" s="185"/>
      <c r="C34" s="186"/>
      <c r="D34" s="186"/>
      <c r="E34" s="240">
        <v>-596.4</v>
      </c>
      <c r="F34" s="186"/>
      <c r="G34" s="186"/>
      <c r="H34" s="226">
        <v>95047</v>
      </c>
      <c r="I34" s="185" t="s">
        <v>673</v>
      </c>
      <c r="J34" s="183"/>
      <c r="K34" s="183"/>
    </row>
    <row r="35" spans="1:11" x14ac:dyDescent="0.2">
      <c r="A35" s="185" t="s">
        <v>601</v>
      </c>
      <c r="B35" s="185"/>
      <c r="C35" s="186"/>
      <c r="D35" s="186"/>
      <c r="E35" s="240">
        <f>-(815-72+46)</f>
        <v>-789</v>
      </c>
      <c r="F35" s="186"/>
      <c r="G35" s="186"/>
      <c r="H35" s="226">
        <v>95047</v>
      </c>
      <c r="I35" s="185" t="s">
        <v>673</v>
      </c>
      <c r="J35" s="183"/>
      <c r="K35" s="183"/>
    </row>
    <row r="36" spans="1:11" x14ac:dyDescent="0.2">
      <c r="A36" s="185" t="s">
        <v>601</v>
      </c>
      <c r="B36" s="185"/>
      <c r="C36" s="186"/>
      <c r="D36" s="186"/>
      <c r="E36" s="240">
        <v>-106</v>
      </c>
      <c r="F36" s="186"/>
      <c r="G36" s="186"/>
      <c r="H36" s="226">
        <v>95047</v>
      </c>
      <c r="I36" s="185" t="s">
        <v>674</v>
      </c>
      <c r="J36" s="183"/>
      <c r="K36" s="183"/>
    </row>
    <row r="37" spans="1:11" x14ac:dyDescent="0.2">
      <c r="A37" s="185" t="s">
        <v>650</v>
      </c>
      <c r="B37" s="185"/>
      <c r="C37" s="186"/>
      <c r="D37" s="186"/>
      <c r="E37" s="240">
        <v>-55.6</v>
      </c>
      <c r="F37" s="186"/>
      <c r="G37" s="186"/>
      <c r="H37" s="226">
        <v>155681</v>
      </c>
      <c r="I37" s="185" t="s">
        <v>651</v>
      </c>
      <c r="J37" s="183"/>
      <c r="K37" s="183"/>
    </row>
    <row r="38" spans="1:11" x14ac:dyDescent="0.2">
      <c r="A38" s="185" t="s">
        <v>655</v>
      </c>
      <c r="B38" s="185"/>
      <c r="C38" s="240">
        <v>-10.87</v>
      </c>
      <c r="D38" s="186"/>
      <c r="E38" s="186"/>
      <c r="F38" s="186"/>
      <c r="G38" s="186"/>
      <c r="H38" s="226"/>
      <c r="I38" s="185" t="s">
        <v>657</v>
      </c>
      <c r="J38" s="183"/>
      <c r="K38" s="183"/>
    </row>
    <row r="39" spans="1:11" x14ac:dyDescent="0.2">
      <c r="A39" s="185" t="s">
        <v>655</v>
      </c>
      <c r="B39" s="185"/>
      <c r="C39" s="240">
        <f>-(7236.49)+(10*36*1.25)</f>
        <v>-6786.49</v>
      </c>
      <c r="D39" s="186"/>
      <c r="E39" s="186"/>
      <c r="F39" s="186"/>
      <c r="G39" s="186"/>
      <c r="H39" s="226"/>
      <c r="I39" s="185" t="s">
        <v>689</v>
      </c>
      <c r="J39" s="183" t="s">
        <v>666</v>
      </c>
      <c r="K39" s="183"/>
    </row>
    <row r="40" spans="1:11" x14ac:dyDescent="0.2">
      <c r="A40" s="185" t="s">
        <v>677</v>
      </c>
      <c r="B40" s="185"/>
      <c r="C40" s="186"/>
      <c r="D40" s="186"/>
      <c r="E40" s="186">
        <v>-31.8</v>
      </c>
      <c r="F40" s="186"/>
      <c r="G40" s="186"/>
      <c r="H40" s="226">
        <v>95047</v>
      </c>
      <c r="I40" s="185" t="s">
        <v>696</v>
      </c>
      <c r="J40" s="183"/>
      <c r="K40" s="183"/>
    </row>
    <row r="41" spans="1:11" x14ac:dyDescent="0.2">
      <c r="A41" s="119" t="s">
        <v>703</v>
      </c>
      <c r="B41" s="218"/>
      <c r="C41" s="218">
        <v>-2655.54</v>
      </c>
      <c r="D41" s="218"/>
      <c r="E41" s="218"/>
      <c r="F41" s="218"/>
      <c r="G41" s="218"/>
      <c r="H41" s="218"/>
      <c r="I41" s="119" t="s">
        <v>713</v>
      </c>
      <c r="J41" s="183"/>
      <c r="K41" s="183"/>
    </row>
    <row r="42" spans="1:11" x14ac:dyDescent="0.2">
      <c r="A42" s="185" t="s">
        <v>714</v>
      </c>
      <c r="B42" s="185"/>
      <c r="C42" s="186"/>
      <c r="D42" s="186"/>
      <c r="E42" s="186"/>
      <c r="F42" s="186">
        <v>-472</v>
      </c>
      <c r="G42" s="186"/>
      <c r="H42" s="226">
        <v>5011649</v>
      </c>
      <c r="I42" s="185" t="s">
        <v>781</v>
      </c>
      <c r="J42" s="183" t="s">
        <v>780</v>
      </c>
      <c r="K42" s="183"/>
    </row>
    <row r="43" spans="1:11" x14ac:dyDescent="0.2">
      <c r="A43" s="185" t="s">
        <v>719</v>
      </c>
      <c r="B43" s="185"/>
      <c r="C43" s="186"/>
      <c r="D43" s="186"/>
      <c r="E43" s="186">
        <v>-147.19999999999999</v>
      </c>
      <c r="F43" s="186"/>
      <c r="G43" s="186"/>
      <c r="H43" s="226">
        <v>66183215</v>
      </c>
      <c r="I43" s="185" t="s">
        <v>785</v>
      </c>
      <c r="J43" s="183"/>
      <c r="K43" s="183"/>
    </row>
    <row r="44" spans="1:11" x14ac:dyDescent="0.2">
      <c r="A44" s="185" t="s">
        <v>731</v>
      </c>
      <c r="B44" s="185"/>
      <c r="C44" s="186"/>
      <c r="D44" s="186"/>
      <c r="E44" s="186">
        <v>-110</v>
      </c>
      <c r="F44" s="186"/>
      <c r="G44" s="186"/>
      <c r="H44" s="226">
        <v>66183215</v>
      </c>
      <c r="I44" s="185" t="s">
        <v>756</v>
      </c>
      <c r="J44" s="183"/>
      <c r="K44" s="183"/>
    </row>
    <row r="45" spans="1:11" x14ac:dyDescent="0.2">
      <c r="A45" s="185" t="s">
        <v>731</v>
      </c>
      <c r="B45" s="185"/>
      <c r="C45" s="186"/>
      <c r="D45" s="186"/>
      <c r="E45" s="186">
        <v>-68.900000000000006</v>
      </c>
      <c r="F45" s="186"/>
      <c r="G45" s="186"/>
      <c r="H45" s="226">
        <v>66183215</v>
      </c>
      <c r="I45" s="185" t="s">
        <v>785</v>
      </c>
      <c r="J45" s="183"/>
      <c r="K45" s="183"/>
    </row>
    <row r="46" spans="1:11" x14ac:dyDescent="0.2">
      <c r="A46" s="185" t="s">
        <v>741</v>
      </c>
      <c r="B46" s="185"/>
      <c r="C46" s="186"/>
      <c r="D46" s="186"/>
      <c r="E46" s="186">
        <v>-3461.01</v>
      </c>
      <c r="F46" s="186"/>
      <c r="G46" s="186"/>
      <c r="H46" s="226">
        <v>17779</v>
      </c>
      <c r="I46" s="185" t="s">
        <v>742</v>
      </c>
      <c r="J46" s="183" t="s">
        <v>317</v>
      </c>
      <c r="K46" s="183"/>
    </row>
    <row r="47" spans="1:11" x14ac:dyDescent="0.2">
      <c r="A47" s="185" t="s">
        <v>749</v>
      </c>
      <c r="B47" s="185"/>
      <c r="C47" s="186">
        <v>-8385.4599999999991</v>
      </c>
      <c r="D47" s="186"/>
      <c r="E47" s="186"/>
      <c r="F47" s="186"/>
      <c r="G47" s="186"/>
      <c r="H47" s="226"/>
      <c r="I47" s="185" t="s">
        <v>752</v>
      </c>
      <c r="J47" s="183"/>
      <c r="K47" s="183"/>
    </row>
    <row r="48" spans="1:11" x14ac:dyDescent="0.2">
      <c r="A48" s="185"/>
      <c r="B48" s="185"/>
      <c r="C48" s="186"/>
      <c r="D48" s="186"/>
      <c r="E48" s="186">
        <v>-6.9</v>
      </c>
      <c r="F48" s="186"/>
      <c r="G48" s="186"/>
      <c r="H48" s="226">
        <v>85021</v>
      </c>
      <c r="I48" s="185" t="s">
        <v>821</v>
      </c>
      <c r="J48" s="183"/>
      <c r="K48" s="183"/>
    </row>
    <row r="49" spans="1:11" x14ac:dyDescent="0.2">
      <c r="A49" s="185" t="s">
        <v>797</v>
      </c>
      <c r="B49" s="185"/>
      <c r="C49" s="186"/>
      <c r="D49" s="186"/>
      <c r="E49" s="186">
        <v>-250.09</v>
      </c>
      <c r="F49" s="186"/>
      <c r="G49" s="186"/>
      <c r="H49" s="226">
        <v>91045</v>
      </c>
      <c r="I49" s="185" t="s">
        <v>800</v>
      </c>
      <c r="J49" s="183" t="s">
        <v>317</v>
      </c>
      <c r="K49" s="183"/>
    </row>
    <row r="50" spans="1:11" x14ac:dyDescent="0.2">
      <c r="A50" s="185" t="s">
        <v>797</v>
      </c>
      <c r="B50" s="185"/>
      <c r="C50" s="186"/>
      <c r="D50" s="186"/>
      <c r="E50" s="186">
        <v>-252.08</v>
      </c>
      <c r="F50" s="186"/>
      <c r="G50" s="186"/>
      <c r="H50" s="226">
        <v>91045</v>
      </c>
      <c r="I50" s="185" t="s">
        <v>801</v>
      </c>
      <c r="J50" s="183" t="s">
        <v>317</v>
      </c>
      <c r="K50" s="183"/>
    </row>
    <row r="51" spans="1:11" x14ac:dyDescent="0.2">
      <c r="A51" s="185" t="s">
        <v>758</v>
      </c>
      <c r="B51" s="185"/>
      <c r="C51" s="186"/>
      <c r="D51" s="186"/>
      <c r="E51" s="186">
        <v>-766.35</v>
      </c>
      <c r="F51" s="186"/>
      <c r="G51" s="186"/>
      <c r="H51" s="226">
        <v>66183215</v>
      </c>
      <c r="I51" s="185" t="s">
        <v>759</v>
      </c>
      <c r="J51" s="183"/>
      <c r="K51" s="183"/>
    </row>
    <row r="52" spans="1:11" x14ac:dyDescent="0.2">
      <c r="A52" s="185" t="s">
        <v>779</v>
      </c>
      <c r="B52" s="185"/>
      <c r="C52" s="186"/>
      <c r="D52" s="186"/>
      <c r="E52" s="186">
        <v>-100.1</v>
      </c>
      <c r="F52" s="186"/>
      <c r="G52" s="186"/>
      <c r="H52" s="226">
        <v>85021</v>
      </c>
      <c r="I52" s="185" t="s">
        <v>816</v>
      </c>
      <c r="J52" s="183"/>
      <c r="K52" s="183"/>
    </row>
    <row r="53" spans="1:11" x14ac:dyDescent="0.2">
      <c r="A53" s="185" t="s">
        <v>810</v>
      </c>
      <c r="B53" s="185"/>
      <c r="C53" s="186"/>
      <c r="D53" s="186">
        <f>-3134.7+1290</f>
        <v>-1844.6999999999998</v>
      </c>
      <c r="E53" s="186"/>
      <c r="F53" s="186"/>
      <c r="G53" s="186"/>
      <c r="H53" s="226"/>
      <c r="I53" s="185" t="s">
        <v>812</v>
      </c>
      <c r="J53" s="183"/>
      <c r="K53" s="183"/>
    </row>
    <row r="54" spans="1:11" x14ac:dyDescent="0.2">
      <c r="A54" s="185" t="s">
        <v>810</v>
      </c>
      <c r="B54" s="185"/>
      <c r="C54" s="186">
        <v>-8689.65</v>
      </c>
      <c r="D54" s="186"/>
      <c r="E54" s="186"/>
      <c r="F54" s="186"/>
      <c r="G54" s="186"/>
      <c r="H54" s="226"/>
      <c r="I54" s="185" t="s">
        <v>814</v>
      </c>
      <c r="J54" s="183"/>
      <c r="K54" s="183"/>
    </row>
    <row r="55" spans="1:11" x14ac:dyDescent="0.2">
      <c r="A55" s="185" t="s">
        <v>810</v>
      </c>
      <c r="B55" s="185"/>
      <c r="C55" s="186"/>
      <c r="D55" s="186"/>
      <c r="E55" s="276">
        <v>-866</v>
      </c>
      <c r="F55" s="186"/>
      <c r="G55" s="186"/>
      <c r="H55" s="226">
        <v>57528</v>
      </c>
      <c r="I55" s="185" t="s">
        <v>843</v>
      </c>
      <c r="J55" s="183"/>
      <c r="K55" s="183"/>
    </row>
    <row r="56" spans="1:11" x14ac:dyDescent="0.2">
      <c r="A56" s="185" t="s">
        <v>844</v>
      </c>
      <c r="B56" s="185"/>
      <c r="C56" s="186"/>
      <c r="D56" s="186"/>
      <c r="E56" s="276">
        <v>-86.5</v>
      </c>
      <c r="F56" s="186"/>
      <c r="G56" s="186"/>
      <c r="H56" s="226">
        <v>57528</v>
      </c>
      <c r="I56" s="185" t="s">
        <v>854</v>
      </c>
      <c r="J56" s="183"/>
      <c r="K56" s="183"/>
    </row>
    <row r="57" spans="1:11" x14ac:dyDescent="0.2">
      <c r="A57" s="185" t="s">
        <v>859</v>
      </c>
      <c r="B57" s="185"/>
      <c r="C57" s="186"/>
      <c r="D57" s="186"/>
      <c r="E57" s="276">
        <v>-1097</v>
      </c>
      <c r="F57" s="186"/>
      <c r="G57" s="186"/>
      <c r="H57" s="226">
        <v>103252</v>
      </c>
      <c r="I57" s="185" t="s">
        <v>860</v>
      </c>
      <c r="J57" s="183"/>
      <c r="K57" s="183"/>
    </row>
    <row r="58" spans="1:11" x14ac:dyDescent="0.2">
      <c r="A58" s="185" t="s">
        <v>833</v>
      </c>
      <c r="B58" s="185"/>
      <c r="C58" s="186"/>
      <c r="D58" s="186"/>
      <c r="E58" s="276">
        <v>-235.94</v>
      </c>
      <c r="F58" s="186"/>
      <c r="G58" s="186"/>
      <c r="H58" s="226">
        <v>84387</v>
      </c>
      <c r="I58" s="185" t="s">
        <v>834</v>
      </c>
      <c r="J58" s="183" t="s">
        <v>317</v>
      </c>
      <c r="K58" s="183"/>
    </row>
    <row r="59" spans="1:11" x14ac:dyDescent="0.2">
      <c r="A59" s="185" t="s">
        <v>822</v>
      </c>
      <c r="B59" s="185"/>
      <c r="C59" s="186"/>
      <c r="D59" s="186"/>
      <c r="E59" s="276">
        <v>-68</v>
      </c>
      <c r="F59" s="186"/>
      <c r="G59" s="186"/>
      <c r="H59" s="226">
        <v>57528</v>
      </c>
      <c r="I59" s="185" t="s">
        <v>845</v>
      </c>
      <c r="J59" s="183"/>
      <c r="K59" s="183"/>
    </row>
    <row r="60" spans="1:11" x14ac:dyDescent="0.2">
      <c r="A60" s="185" t="s">
        <v>822</v>
      </c>
      <c r="B60" s="185"/>
      <c r="C60" s="186"/>
      <c r="D60" s="186"/>
      <c r="E60" s="276">
        <v>-234</v>
      </c>
      <c r="F60" s="186"/>
      <c r="G60" s="186"/>
      <c r="H60" s="226">
        <v>57528</v>
      </c>
      <c r="I60" s="185" t="s">
        <v>846</v>
      </c>
      <c r="J60" s="183"/>
      <c r="K60" s="183"/>
    </row>
    <row r="61" spans="1:11" x14ac:dyDescent="0.2">
      <c r="A61" s="185" t="s">
        <v>822</v>
      </c>
      <c r="B61" s="185"/>
      <c r="C61" s="186"/>
      <c r="D61" s="186"/>
      <c r="E61" s="276">
        <v>-208.22</v>
      </c>
      <c r="F61" s="186"/>
      <c r="G61" s="186"/>
      <c r="H61" s="226">
        <v>84387</v>
      </c>
      <c r="I61" s="185" t="s">
        <v>835</v>
      </c>
      <c r="J61" s="183" t="s">
        <v>317</v>
      </c>
      <c r="K61" s="183"/>
    </row>
    <row r="62" spans="1:11" x14ac:dyDescent="0.2">
      <c r="A62" s="185" t="s">
        <v>861</v>
      </c>
      <c r="B62" s="185"/>
      <c r="C62" s="186"/>
      <c r="D62" s="186"/>
      <c r="E62" s="276">
        <v>-56</v>
      </c>
      <c r="F62" s="186"/>
      <c r="G62" s="186"/>
      <c r="H62" s="226">
        <v>103252</v>
      </c>
      <c r="I62" s="185" t="s">
        <v>862</v>
      </c>
      <c r="J62" s="183"/>
      <c r="K62" s="183"/>
    </row>
    <row r="63" spans="1:11" x14ac:dyDescent="0.2">
      <c r="A63" s="185" t="s">
        <v>868</v>
      </c>
      <c r="B63" s="185"/>
      <c r="C63" s="186"/>
      <c r="D63" s="276">
        <f>(-(2527-1000)*1.29*1.25)-(103.2*1.25)</f>
        <v>-2591.2875000000004</v>
      </c>
      <c r="E63" s="186"/>
      <c r="F63" s="186"/>
      <c r="G63" s="186"/>
      <c r="H63" s="226"/>
      <c r="I63" s="185" t="s">
        <v>870</v>
      </c>
      <c r="J63" s="183"/>
      <c r="K63" s="183"/>
    </row>
    <row r="64" spans="1:11" x14ac:dyDescent="0.2">
      <c r="A64" s="185" t="s">
        <v>868</v>
      </c>
      <c r="B64" s="185"/>
      <c r="C64" s="276">
        <v>-9387.93</v>
      </c>
      <c r="D64" s="186"/>
      <c r="E64" s="186"/>
      <c r="F64" s="186"/>
      <c r="G64" s="186"/>
      <c r="H64" s="226"/>
      <c r="I64" s="185" t="s">
        <v>871</v>
      </c>
      <c r="J64" s="183"/>
      <c r="K64" s="183"/>
    </row>
    <row r="65" spans="1:13" x14ac:dyDescent="0.2">
      <c r="A65" s="185" t="s">
        <v>873</v>
      </c>
      <c r="B65" s="185"/>
      <c r="C65" s="186"/>
      <c r="D65" s="186"/>
      <c r="E65" s="276">
        <v>-678.1</v>
      </c>
      <c r="F65" s="186"/>
      <c r="G65" s="186"/>
      <c r="H65" s="226">
        <v>23159</v>
      </c>
      <c r="I65" s="185" t="s">
        <v>1009</v>
      </c>
      <c r="J65" s="183"/>
      <c r="K65" s="183"/>
    </row>
    <row r="66" spans="1:13" x14ac:dyDescent="0.2">
      <c r="A66" s="185" t="s">
        <v>875</v>
      </c>
      <c r="B66" s="185"/>
      <c r="C66" s="186"/>
      <c r="D66" s="186"/>
      <c r="E66" s="276">
        <v>-68.400000000000006</v>
      </c>
      <c r="F66" s="186"/>
      <c r="G66" s="186"/>
      <c r="H66" s="226"/>
      <c r="I66" s="185" t="s">
        <v>1007</v>
      </c>
      <c r="J66" s="183"/>
      <c r="K66" s="183"/>
    </row>
    <row r="67" spans="1:13" x14ac:dyDescent="0.2">
      <c r="A67" s="185" t="s">
        <v>883</v>
      </c>
      <c r="B67" s="185"/>
      <c r="C67" s="186"/>
      <c r="D67" s="186"/>
      <c r="E67" s="276">
        <v>-118.17</v>
      </c>
      <c r="F67" s="186"/>
      <c r="G67" s="186"/>
      <c r="H67" s="226">
        <v>6758</v>
      </c>
      <c r="I67" s="185" t="s">
        <v>1041</v>
      </c>
      <c r="J67" s="183" t="s">
        <v>1042</v>
      </c>
      <c r="K67" s="183"/>
    </row>
    <row r="68" spans="1:13" x14ac:dyDescent="0.2">
      <c r="A68" s="185" t="s">
        <v>883</v>
      </c>
      <c r="B68" s="185"/>
      <c r="C68" s="186"/>
      <c r="D68" s="186"/>
      <c r="E68" s="276">
        <v>-551.70000000000005</v>
      </c>
      <c r="F68" s="186"/>
      <c r="G68" s="186"/>
      <c r="H68" s="226">
        <v>23159</v>
      </c>
      <c r="I68" s="185" t="s">
        <v>1007</v>
      </c>
      <c r="J68" s="183"/>
      <c r="K68" s="183"/>
    </row>
    <row r="69" spans="1:13" x14ac:dyDescent="0.2">
      <c r="A69" s="185" t="s">
        <v>940</v>
      </c>
      <c r="B69" s="185"/>
      <c r="C69" s="186"/>
      <c r="D69" s="276">
        <f>-((1576-1000)*1.29*1.25)-(516*1.25)</f>
        <v>-1573.8</v>
      </c>
      <c r="E69" s="186"/>
      <c r="F69" s="186"/>
      <c r="G69" s="186"/>
      <c r="H69" s="226"/>
      <c r="I69" s="185" t="s">
        <v>942</v>
      </c>
      <c r="J69" s="183"/>
      <c r="K69" s="183"/>
    </row>
    <row r="70" spans="1:13" x14ac:dyDescent="0.2">
      <c r="A70" s="185" t="s">
        <v>946</v>
      </c>
      <c r="B70" s="185"/>
      <c r="C70" s="186"/>
      <c r="D70" s="186"/>
      <c r="E70" s="276">
        <v>-40.5</v>
      </c>
      <c r="F70" s="186"/>
      <c r="G70" s="186"/>
      <c r="H70" s="226">
        <v>35271</v>
      </c>
      <c r="I70" s="185" t="s">
        <v>1037</v>
      </c>
      <c r="J70" s="183"/>
      <c r="K70" s="183"/>
    </row>
    <row r="71" spans="1:13" x14ac:dyDescent="0.2">
      <c r="A71" s="185" t="s">
        <v>947</v>
      </c>
      <c r="B71" s="185"/>
      <c r="C71" s="186"/>
      <c r="D71" s="186"/>
      <c r="E71" s="276">
        <v>-65</v>
      </c>
      <c r="F71" s="186"/>
      <c r="G71" s="186"/>
      <c r="H71" s="226">
        <v>35271</v>
      </c>
      <c r="I71" s="185" t="s">
        <v>1037</v>
      </c>
      <c r="J71" s="183"/>
      <c r="K71" s="183"/>
    </row>
    <row r="72" spans="1:13" x14ac:dyDescent="0.2">
      <c r="A72" s="185" t="s">
        <v>956</v>
      </c>
      <c r="B72" s="185"/>
      <c r="C72" s="186"/>
      <c r="D72" s="186"/>
      <c r="E72" s="276">
        <v>-70</v>
      </c>
      <c r="F72" s="186"/>
      <c r="G72" s="186"/>
      <c r="H72" s="226">
        <v>23118</v>
      </c>
      <c r="I72" s="185" t="s">
        <v>957</v>
      </c>
      <c r="J72" s="183" t="s">
        <v>317</v>
      </c>
      <c r="K72" s="183"/>
    </row>
    <row r="73" spans="1:13" x14ac:dyDescent="0.2">
      <c r="A73" s="185" t="s">
        <v>868</v>
      </c>
      <c r="B73" s="185"/>
      <c r="C73" s="186"/>
      <c r="D73" s="276">
        <f>-((2450-1000)*1.25*1.29)-(593.4*1.25)</f>
        <v>-3079.875</v>
      </c>
      <c r="E73" s="186"/>
      <c r="F73" s="186"/>
      <c r="G73" s="186"/>
      <c r="H73" s="226"/>
      <c r="I73" s="185" t="s">
        <v>989</v>
      </c>
      <c r="J73" s="183"/>
      <c r="K73" s="183"/>
    </row>
    <row r="74" spans="1:13" x14ac:dyDescent="0.2">
      <c r="A74" s="185" t="s">
        <v>868</v>
      </c>
      <c r="B74" s="185"/>
      <c r="C74" s="276"/>
      <c r="D74" s="186"/>
      <c r="E74" s="186"/>
      <c r="F74" s="186"/>
      <c r="G74" s="186"/>
      <c r="H74" s="226"/>
      <c r="I74" s="185" t="s">
        <v>992</v>
      </c>
      <c r="J74" s="183"/>
      <c r="K74" s="183"/>
      <c r="M74" s="276">
        <v>-7713.62</v>
      </c>
    </row>
    <row r="75" spans="1:13" x14ac:dyDescent="0.2">
      <c r="A75" s="185" t="s">
        <v>999</v>
      </c>
      <c r="B75" s="185"/>
      <c r="C75" s="186"/>
      <c r="D75" s="186"/>
      <c r="E75" s="276">
        <v>-842.9</v>
      </c>
      <c r="F75" s="186"/>
      <c r="G75" s="186"/>
      <c r="H75" s="226">
        <v>6758</v>
      </c>
      <c r="I75" s="185" t="s">
        <v>1043</v>
      </c>
      <c r="J75" s="183"/>
      <c r="K75" s="183"/>
    </row>
    <row r="76" spans="1:13" x14ac:dyDescent="0.2">
      <c r="A76" s="185" t="s">
        <v>615</v>
      </c>
      <c r="B76" s="185"/>
      <c r="C76" s="186"/>
      <c r="D76" s="186"/>
      <c r="E76" s="276">
        <v>-221.4</v>
      </c>
      <c r="F76" s="186"/>
      <c r="G76" s="186"/>
      <c r="H76" s="226">
        <v>6758</v>
      </c>
      <c r="I76" s="185" t="s">
        <v>1043</v>
      </c>
      <c r="J76" s="183"/>
      <c r="K76" s="183"/>
    </row>
    <row r="77" spans="1:13" x14ac:dyDescent="0.2">
      <c r="A77" s="185" t="s">
        <v>615</v>
      </c>
      <c r="B77" s="185"/>
      <c r="C77" s="186"/>
      <c r="D77" s="186"/>
      <c r="E77" s="276">
        <v>-724</v>
      </c>
      <c r="F77" s="186"/>
      <c r="G77" s="186"/>
      <c r="H77" s="226">
        <v>6758</v>
      </c>
      <c r="I77" s="185" t="s">
        <v>1047</v>
      </c>
      <c r="J77" s="183"/>
      <c r="K77" s="183"/>
    </row>
    <row r="78" spans="1:13" x14ac:dyDescent="0.2">
      <c r="A78" s="185" t="s">
        <v>1030</v>
      </c>
      <c r="B78" s="185"/>
      <c r="C78" s="276"/>
      <c r="D78" s="186"/>
      <c r="E78" s="186"/>
      <c r="F78" s="186"/>
      <c r="G78" s="186"/>
      <c r="H78" s="226"/>
      <c r="I78" s="185" t="s">
        <v>1032</v>
      </c>
      <c r="J78" s="183"/>
      <c r="K78" s="183"/>
      <c r="M78" s="276">
        <v>-8049.5</v>
      </c>
    </row>
    <row r="79" spans="1:13" x14ac:dyDescent="0.2">
      <c r="A79" s="185" t="s">
        <v>1030</v>
      </c>
      <c r="B79" s="185"/>
      <c r="C79" s="276"/>
      <c r="D79" s="186"/>
      <c r="E79" s="186"/>
      <c r="F79" s="186"/>
      <c r="G79" s="186"/>
      <c r="H79" s="226"/>
      <c r="I79" s="185" t="s">
        <v>1033</v>
      </c>
      <c r="J79" s="183"/>
      <c r="K79" s="183"/>
      <c r="M79" s="276">
        <v>-3090.19</v>
      </c>
    </row>
    <row r="80" spans="1:13" x14ac:dyDescent="0.2">
      <c r="A80" s="185" t="s">
        <v>1030</v>
      </c>
      <c r="B80" s="185"/>
      <c r="C80" s="276">
        <v>-1789.4</v>
      </c>
      <c r="D80" s="186"/>
      <c r="E80" s="186"/>
      <c r="F80" s="186"/>
      <c r="G80" s="186"/>
      <c r="H80" s="226"/>
      <c r="I80" s="185" t="s">
        <v>1034</v>
      </c>
      <c r="J80" s="183"/>
      <c r="K80" s="183"/>
    </row>
    <row r="81" spans="1:13" x14ac:dyDescent="0.2">
      <c r="A81" s="185" t="s">
        <v>1030</v>
      </c>
      <c r="B81" s="185"/>
      <c r="C81" s="186"/>
      <c r="D81" s="276">
        <f>-(700*1.29*1.25)-(1806*1.25)</f>
        <v>-3386.25</v>
      </c>
      <c r="E81" s="186"/>
      <c r="F81" s="186"/>
      <c r="G81" s="186"/>
      <c r="H81" s="226"/>
      <c r="I81" s="185" t="s">
        <v>1035</v>
      </c>
      <c r="J81" s="183"/>
      <c r="K81" s="183"/>
    </row>
    <row r="82" spans="1:13" x14ac:dyDescent="0.2">
      <c r="A82" s="185" t="s">
        <v>1039</v>
      </c>
      <c r="B82" s="185"/>
      <c r="C82" s="186"/>
      <c r="D82" s="186"/>
      <c r="E82" s="276">
        <v>-205</v>
      </c>
      <c r="F82" s="186"/>
      <c r="G82" s="186"/>
      <c r="H82" s="226">
        <v>6758</v>
      </c>
      <c r="I82" s="185" t="s">
        <v>1048</v>
      </c>
      <c r="J82" s="183"/>
      <c r="K82" s="183"/>
    </row>
    <row r="83" spans="1:13" x14ac:dyDescent="0.2">
      <c r="A83" s="185" t="s">
        <v>1044</v>
      </c>
      <c r="B83" s="185"/>
      <c r="C83" s="186"/>
      <c r="D83" s="186"/>
      <c r="E83" s="276">
        <v>-2203.98</v>
      </c>
      <c r="F83" s="186"/>
      <c r="G83" s="186"/>
      <c r="H83" s="226">
        <v>96027</v>
      </c>
      <c r="I83" s="185" t="s">
        <v>1128</v>
      </c>
      <c r="J83" s="183"/>
      <c r="K83" s="183"/>
    </row>
    <row r="84" spans="1:13" x14ac:dyDescent="0.2">
      <c r="A84" s="185" t="s">
        <v>1053</v>
      </c>
      <c r="B84" s="185"/>
      <c r="C84" s="186"/>
      <c r="D84" s="186"/>
      <c r="E84" s="276">
        <v>-1019.8</v>
      </c>
      <c r="F84" s="186"/>
      <c r="G84" s="186"/>
      <c r="H84" s="226">
        <v>83887</v>
      </c>
      <c r="I84" s="185" t="s">
        <v>1091</v>
      </c>
      <c r="J84" s="183"/>
      <c r="K84" s="183"/>
    </row>
    <row r="85" spans="1:13" x14ac:dyDescent="0.2">
      <c r="A85" s="185" t="s">
        <v>1076</v>
      </c>
      <c r="B85" s="185"/>
      <c r="C85" s="276">
        <v>-920</v>
      </c>
      <c r="D85" s="276">
        <f>-3818.23+920</f>
        <v>-2898.23</v>
      </c>
      <c r="E85" s="186"/>
      <c r="F85" s="186"/>
      <c r="G85" s="186"/>
      <c r="H85" s="226"/>
      <c r="I85" s="185" t="s">
        <v>1079</v>
      </c>
      <c r="J85" s="183"/>
      <c r="K85" s="183"/>
      <c r="M85" s="276"/>
    </row>
    <row r="86" spans="1:13" x14ac:dyDescent="0.2">
      <c r="A86" s="185" t="s">
        <v>1076</v>
      </c>
      <c r="B86" s="185"/>
      <c r="C86" s="186"/>
      <c r="D86" s="186"/>
      <c r="E86" s="276">
        <v>-545.79999999999995</v>
      </c>
      <c r="F86" s="186"/>
      <c r="G86" s="186"/>
      <c r="H86" s="226"/>
      <c r="I86" s="185" t="s">
        <v>1129</v>
      </c>
      <c r="J86" s="183"/>
      <c r="K86" s="183"/>
    </row>
    <row r="87" spans="1:13" x14ac:dyDescent="0.2">
      <c r="A87" s="185" t="s">
        <v>1100</v>
      </c>
      <c r="B87" s="185"/>
      <c r="C87" s="186"/>
      <c r="D87" s="186"/>
      <c r="E87" s="276">
        <v>-105.1</v>
      </c>
      <c r="F87" s="186"/>
      <c r="G87" s="186"/>
      <c r="H87" s="226">
        <v>83806</v>
      </c>
      <c r="I87" s="185" t="s">
        <v>1101</v>
      </c>
      <c r="J87" s="183"/>
      <c r="K87" s="183"/>
    </row>
    <row r="88" spans="1:13" x14ac:dyDescent="0.2">
      <c r="A88" s="185" t="s">
        <v>1098</v>
      </c>
      <c r="B88" s="185"/>
      <c r="C88" s="186"/>
      <c r="D88" s="186"/>
      <c r="E88" s="276">
        <v>-361</v>
      </c>
      <c r="F88" s="186"/>
      <c r="G88" s="186"/>
      <c r="H88" s="226">
        <v>83806</v>
      </c>
      <c r="I88" s="185" t="s">
        <v>1102</v>
      </c>
      <c r="J88" s="183"/>
      <c r="K88" s="183"/>
    </row>
    <row r="89" spans="1:13" x14ac:dyDescent="0.2">
      <c r="A89" s="185" t="s">
        <v>1107</v>
      </c>
      <c r="B89" s="185"/>
      <c r="C89" s="186"/>
      <c r="D89" s="186"/>
      <c r="E89" s="276">
        <v>-234</v>
      </c>
      <c r="F89" s="186"/>
      <c r="G89" s="186"/>
      <c r="H89" s="226">
        <v>83887</v>
      </c>
      <c r="I89" s="185" t="s">
        <v>1108</v>
      </c>
      <c r="J89" s="183"/>
      <c r="K89" s="183"/>
    </row>
    <row r="90" spans="1:13" x14ac:dyDescent="0.2">
      <c r="A90" s="185" t="s">
        <v>1109</v>
      </c>
      <c r="B90" s="185"/>
      <c r="C90" s="186"/>
      <c r="D90" s="186"/>
      <c r="E90" s="276">
        <v>-1999</v>
      </c>
      <c r="F90" s="186"/>
      <c r="G90" s="186"/>
      <c r="H90" s="226">
        <v>83887</v>
      </c>
      <c r="I90" s="185" t="s">
        <v>1110</v>
      </c>
      <c r="J90" s="183"/>
      <c r="K90" s="183"/>
    </row>
    <row r="91" spans="1:13" x14ac:dyDescent="0.2">
      <c r="A91" s="185" t="s">
        <v>1111</v>
      </c>
      <c r="B91" s="185"/>
      <c r="C91" s="186"/>
      <c r="D91" s="186"/>
      <c r="E91" s="276">
        <v>-24.5</v>
      </c>
      <c r="F91" s="186"/>
      <c r="G91" s="186"/>
      <c r="H91" s="226">
        <v>83887</v>
      </c>
      <c r="I91" s="185" t="s">
        <v>1112</v>
      </c>
      <c r="J91" s="183"/>
      <c r="K91" s="183"/>
    </row>
    <row r="92" spans="1:13" x14ac:dyDescent="0.2">
      <c r="A92" s="185" t="s">
        <v>1132</v>
      </c>
      <c r="B92" s="185"/>
      <c r="C92" s="186"/>
      <c r="D92" s="186"/>
      <c r="E92" s="186">
        <v>-7020</v>
      </c>
      <c r="F92" s="186">
        <v>-4212</v>
      </c>
      <c r="G92" s="186"/>
      <c r="H92" s="226">
        <v>96027</v>
      </c>
      <c r="I92" s="185" t="s">
        <v>1133</v>
      </c>
      <c r="J92" s="183"/>
      <c r="K92" s="183"/>
    </row>
    <row r="93" spans="1:13" x14ac:dyDescent="0.2">
      <c r="A93" s="185" t="s">
        <v>1137</v>
      </c>
      <c r="B93" s="185"/>
      <c r="C93" s="186"/>
      <c r="D93" s="186"/>
      <c r="E93" s="186">
        <v>-211</v>
      </c>
      <c r="F93" s="186"/>
      <c r="G93" s="186"/>
      <c r="H93" s="226">
        <v>96027</v>
      </c>
      <c r="I93" s="185" t="s">
        <v>1138</v>
      </c>
      <c r="J93" s="183"/>
      <c r="K93" s="183"/>
    </row>
    <row r="94" spans="1:13" x14ac:dyDescent="0.2">
      <c r="A94" s="185"/>
      <c r="B94" s="185"/>
      <c r="C94" s="186"/>
      <c r="D94" s="186"/>
      <c r="E94" s="186"/>
      <c r="F94" s="186"/>
      <c r="G94" s="186"/>
      <c r="H94" s="226"/>
      <c r="I94" s="185"/>
      <c r="J94" s="183"/>
      <c r="K94" s="183"/>
    </row>
    <row r="95" spans="1:13" x14ac:dyDescent="0.2">
      <c r="A95" s="185"/>
      <c r="B95" s="185"/>
      <c r="C95" s="186"/>
      <c r="D95" s="186"/>
      <c r="E95" s="186"/>
      <c r="F95" s="186"/>
      <c r="G95" s="186"/>
      <c r="H95" s="226"/>
      <c r="I95" s="185"/>
      <c r="J95" s="183"/>
      <c r="K95" s="183"/>
    </row>
    <row r="96" spans="1:13" x14ac:dyDescent="0.2">
      <c r="A96" s="185"/>
      <c r="B96" s="185"/>
      <c r="C96" s="186"/>
      <c r="D96" s="186"/>
      <c r="E96" s="186"/>
      <c r="F96" s="186"/>
      <c r="G96" s="186"/>
      <c r="H96" s="226"/>
      <c r="I96" s="185"/>
      <c r="J96" s="183"/>
      <c r="K96" s="183"/>
    </row>
    <row r="97" spans="1:14" ht="15" x14ac:dyDescent="0.25">
      <c r="A97" s="133" t="s">
        <v>77</v>
      </c>
      <c r="B97" s="59"/>
      <c r="C97" s="184">
        <f>SUM(C33:C96)</f>
        <v>-38625.340000000004</v>
      </c>
      <c r="D97" s="184">
        <f>SUM(D33:D96)</f>
        <v>-15374.1425</v>
      </c>
      <c r="E97" s="184">
        <f>SUM(E33:E96)</f>
        <v>-26922.44</v>
      </c>
      <c r="F97" s="184">
        <f>SUM(F33:F96)</f>
        <v>-4684</v>
      </c>
      <c r="G97" s="184"/>
      <c r="H97" s="184"/>
      <c r="I97" s="59"/>
      <c r="J97" s="147" t="s">
        <v>395</v>
      </c>
      <c r="K97" s="147"/>
      <c r="L97" s="134"/>
      <c r="M97" s="135"/>
      <c r="N97" s="134"/>
    </row>
    <row r="98" spans="1:14" ht="15" x14ac:dyDescent="0.25">
      <c r="A98" s="136" t="s">
        <v>78</v>
      </c>
      <c r="B98" s="137"/>
      <c r="C98" s="138">
        <v>38000</v>
      </c>
      <c r="D98" s="138">
        <v>15000</v>
      </c>
      <c r="E98" s="138">
        <v>26957</v>
      </c>
      <c r="F98" s="139">
        <v>5000</v>
      </c>
      <c r="G98" s="139"/>
      <c r="H98" s="138"/>
      <c r="I98" s="138">
        <f>SUM(C98:H98)</f>
        <v>84957</v>
      </c>
      <c r="J98" s="148">
        <v>13045</v>
      </c>
      <c r="K98" s="148">
        <f>I98+J98</f>
        <v>98002</v>
      </c>
      <c r="L98" s="296">
        <f>K98+52000</f>
        <v>150002</v>
      </c>
      <c r="M98" s="135"/>
      <c r="N98" s="134"/>
    </row>
    <row r="99" spans="1:14" ht="15.75" thickBot="1" x14ac:dyDescent="0.3">
      <c r="A99" s="140" t="s">
        <v>79</v>
      </c>
      <c r="B99" s="141"/>
      <c r="C99" s="142">
        <f t="shared" ref="C99:F99" si="2">C98+C97</f>
        <v>-625.34000000000378</v>
      </c>
      <c r="D99" s="142">
        <f t="shared" si="2"/>
        <v>-374.14249999999993</v>
      </c>
      <c r="E99" s="142">
        <f t="shared" si="2"/>
        <v>34.56000000000131</v>
      </c>
      <c r="F99" s="142">
        <f t="shared" si="2"/>
        <v>316</v>
      </c>
      <c r="G99" s="142"/>
      <c r="H99" s="142"/>
      <c r="I99" s="143"/>
      <c r="L99" s="134"/>
      <c r="M99" s="135"/>
      <c r="N99" s="134"/>
    </row>
    <row r="100" spans="1:14" ht="18.75" thickBot="1" x14ac:dyDescent="0.3">
      <c r="A100" s="144" t="s">
        <v>83</v>
      </c>
      <c r="B100" s="145">
        <f>SUM(C99:H99)</f>
        <v>-648.9225000000024</v>
      </c>
      <c r="C100" s="132"/>
      <c r="D100" s="132"/>
      <c r="E100" s="146"/>
      <c r="F100" s="146"/>
      <c r="G100" s="146"/>
      <c r="H100" s="146"/>
      <c r="I100" s="146"/>
      <c r="L100" s="134"/>
      <c r="M100" s="135"/>
      <c r="N100" s="134"/>
    </row>
    <row r="104" spans="1:14" x14ac:dyDescent="0.2">
      <c r="A104" s="10"/>
      <c r="B104" s="164" t="s">
        <v>574</v>
      </c>
      <c r="C104" s="165"/>
      <c r="D104" s="165"/>
      <c r="E104" s="165">
        <v>0</v>
      </c>
      <c r="F104" s="165"/>
      <c r="G104" s="166"/>
      <c r="H104" s="167"/>
    </row>
    <row r="105" spans="1:14" ht="38.25" x14ac:dyDescent="0.2">
      <c r="A105" s="10"/>
      <c r="B105" s="168" t="s">
        <v>575</v>
      </c>
      <c r="C105" s="168" t="s">
        <v>576</v>
      </c>
      <c r="D105" s="168" t="s">
        <v>577</v>
      </c>
      <c r="E105" s="168" t="s">
        <v>578</v>
      </c>
      <c r="F105" s="168" t="s">
        <v>579</v>
      </c>
      <c r="G105" s="168" t="s">
        <v>580</v>
      </c>
      <c r="H105" s="169" t="s">
        <v>11</v>
      </c>
    </row>
    <row r="106" spans="1:14" x14ac:dyDescent="0.2">
      <c r="A106" s="305" t="s">
        <v>62</v>
      </c>
      <c r="B106" s="169" t="s">
        <v>581</v>
      </c>
      <c r="C106" s="170"/>
      <c r="D106" s="119">
        <v>1729</v>
      </c>
      <c r="E106" s="171">
        <v>75000</v>
      </c>
      <c r="F106" s="171">
        <v>11250</v>
      </c>
      <c r="G106" s="171">
        <f>E106-F106</f>
        <v>63750</v>
      </c>
      <c r="H106" s="119" t="s">
        <v>590</v>
      </c>
    </row>
    <row r="107" spans="1:14" x14ac:dyDescent="0.2">
      <c r="A107" s="305"/>
      <c r="B107" s="169" t="s">
        <v>582</v>
      </c>
      <c r="C107" s="119" t="s">
        <v>1248</v>
      </c>
      <c r="D107" s="119">
        <v>1906</v>
      </c>
      <c r="E107" s="171">
        <v>75000</v>
      </c>
      <c r="F107" s="171">
        <v>11250</v>
      </c>
      <c r="G107" s="171">
        <f t="shared" ref="G107" si="3">E107-F107</f>
        <v>63750</v>
      </c>
      <c r="H107" s="119"/>
    </row>
    <row r="108" spans="1:14" x14ac:dyDescent="0.2">
      <c r="A108" s="305"/>
      <c r="B108" s="169" t="s">
        <v>1204</v>
      </c>
      <c r="C108" s="119"/>
      <c r="D108" s="119"/>
      <c r="E108" s="171">
        <v>-26000</v>
      </c>
      <c r="F108" s="171"/>
      <c r="G108" s="171"/>
      <c r="H108" s="119" t="s">
        <v>793</v>
      </c>
    </row>
    <row r="109" spans="1:14" x14ac:dyDescent="0.2">
      <c r="A109" s="305"/>
      <c r="B109" s="169" t="s">
        <v>1204</v>
      </c>
      <c r="C109" s="119"/>
      <c r="D109" s="119"/>
      <c r="E109" s="171">
        <v>-26000</v>
      </c>
      <c r="F109" s="171"/>
      <c r="G109" s="171"/>
      <c r="H109" s="119"/>
    </row>
    <row r="110" spans="1:14" x14ac:dyDescent="0.2">
      <c r="A110" s="305" t="s">
        <v>63</v>
      </c>
      <c r="B110" s="169" t="s">
        <v>581</v>
      </c>
      <c r="C110" s="119"/>
      <c r="D110" s="119">
        <v>1891</v>
      </c>
      <c r="E110" s="171">
        <v>75000</v>
      </c>
      <c r="F110" s="171">
        <v>11250</v>
      </c>
      <c r="G110" s="171">
        <f t="shared" ref="G110" si="4">E110-F110</f>
        <v>63750</v>
      </c>
      <c r="H110" s="119"/>
    </row>
    <row r="111" spans="1:14" x14ac:dyDescent="0.2">
      <c r="A111" s="305"/>
      <c r="B111" s="169" t="s">
        <v>582</v>
      </c>
      <c r="C111" s="119"/>
      <c r="D111" s="119"/>
      <c r="E111" s="171">
        <v>75000</v>
      </c>
      <c r="F111" s="171">
        <v>11250</v>
      </c>
      <c r="G111" s="171">
        <f t="shared" ref="G111" si="5">E111-F111</f>
        <v>63750</v>
      </c>
      <c r="H111" s="119"/>
    </row>
    <row r="112" spans="1:14" x14ac:dyDescent="0.2">
      <c r="A112" s="305"/>
      <c r="B112" s="169" t="s">
        <v>1204</v>
      </c>
      <c r="C112" s="119"/>
      <c r="D112" s="119"/>
      <c r="E112" s="171">
        <v>-26000</v>
      </c>
      <c r="F112" s="171"/>
      <c r="G112" s="171"/>
      <c r="H112" s="119"/>
    </row>
    <row r="113" spans="1:8" x14ac:dyDescent="0.2">
      <c r="A113" s="305"/>
      <c r="B113" s="169" t="s">
        <v>1204</v>
      </c>
      <c r="C113" s="119"/>
      <c r="D113" s="119"/>
      <c r="E113" s="171">
        <v>-26000</v>
      </c>
      <c r="F113" s="171"/>
      <c r="G113" s="171"/>
      <c r="H113" s="119"/>
    </row>
    <row r="114" spans="1:8" x14ac:dyDescent="0.2">
      <c r="A114" s="305" t="s">
        <v>64</v>
      </c>
      <c r="B114" s="169" t="s">
        <v>581</v>
      </c>
      <c r="C114" s="119"/>
      <c r="D114" s="119"/>
      <c r="E114" s="171">
        <v>75000</v>
      </c>
      <c r="F114" s="171">
        <v>11250</v>
      </c>
      <c r="G114" s="171">
        <f t="shared" ref="G114" si="6">E114-F114</f>
        <v>63750</v>
      </c>
      <c r="H114" s="119"/>
    </row>
    <row r="115" spans="1:8" x14ac:dyDescent="0.2">
      <c r="A115" s="305"/>
      <c r="B115" s="169" t="s">
        <v>582</v>
      </c>
      <c r="C115" s="119"/>
      <c r="D115" s="119"/>
      <c r="E115" s="171">
        <v>75000</v>
      </c>
      <c r="F115" s="171">
        <v>11250</v>
      </c>
      <c r="G115" s="171">
        <f t="shared" ref="G115" si="7">E115-F115</f>
        <v>63750</v>
      </c>
      <c r="H115" s="119"/>
    </row>
    <row r="116" spans="1:8" x14ac:dyDescent="0.2">
      <c r="A116" s="305"/>
      <c r="B116" s="169" t="s">
        <v>1204</v>
      </c>
      <c r="C116" s="119"/>
      <c r="D116" s="119"/>
      <c r="E116" s="171">
        <v>-26000</v>
      </c>
      <c r="F116" s="171"/>
      <c r="G116" s="171"/>
      <c r="H116" s="119"/>
    </row>
    <row r="117" spans="1:8" x14ac:dyDescent="0.2">
      <c r="A117" s="305"/>
      <c r="B117" s="169" t="s">
        <v>1204</v>
      </c>
      <c r="C117" s="119"/>
      <c r="D117" s="119"/>
      <c r="E117" s="171">
        <v>-26000</v>
      </c>
      <c r="F117" s="171"/>
      <c r="G117" s="171"/>
      <c r="H117" s="119"/>
    </row>
    <row r="118" spans="1:8" x14ac:dyDescent="0.2">
      <c r="A118" s="10"/>
      <c r="B118" s="172" t="s">
        <v>65</v>
      </c>
      <c r="C118" s="172"/>
      <c r="D118" s="172"/>
      <c r="E118" s="173">
        <f>SUM(E106:E117)</f>
        <v>294000</v>
      </c>
      <c r="F118" s="174">
        <f>SUM(F106:F117)</f>
        <v>67500</v>
      </c>
      <c r="G118" s="174">
        <f>SUM(G106:G117)</f>
        <v>382500</v>
      </c>
      <c r="H118" s="175"/>
    </row>
    <row r="119" spans="1:8" x14ac:dyDescent="0.2">
      <c r="A119" s="176"/>
      <c r="B119" s="176"/>
      <c r="C119" s="177"/>
      <c r="D119" s="176"/>
      <c r="E119" s="177"/>
      <c r="F119" s="177"/>
      <c r="G119" s="177"/>
      <c r="H119" s="177"/>
    </row>
    <row r="120" spans="1:8" x14ac:dyDescent="0.2">
      <c r="B120" s="176"/>
      <c r="C120" s="177"/>
      <c r="D120" s="176"/>
      <c r="E120" s="177"/>
      <c r="F120" s="177"/>
      <c r="G120" s="177"/>
      <c r="H120" s="177"/>
    </row>
    <row r="121" spans="1:8" x14ac:dyDescent="0.2">
      <c r="B121" s="176"/>
      <c r="C121" s="177"/>
      <c r="D121" s="176"/>
      <c r="E121" s="177"/>
      <c r="F121" s="177"/>
      <c r="G121" s="177"/>
      <c r="H121" s="177"/>
    </row>
    <row r="122" spans="1:8" x14ac:dyDescent="0.2">
      <c r="A122" s="178" t="s">
        <v>583</v>
      </c>
      <c r="B122" s="178"/>
      <c r="C122" s="178"/>
      <c r="D122" s="176"/>
      <c r="E122" s="179" t="s">
        <v>584</v>
      </c>
      <c r="F122" s="180"/>
      <c r="G122" s="180"/>
      <c r="H122" s="180"/>
    </row>
    <row r="123" spans="1:8" x14ac:dyDescent="0.2">
      <c r="A123" s="169" t="s">
        <v>585</v>
      </c>
      <c r="B123" s="169" t="s">
        <v>586</v>
      </c>
      <c r="C123" s="169" t="s">
        <v>11</v>
      </c>
      <c r="D123" s="176"/>
      <c r="E123" s="181" t="s">
        <v>587</v>
      </c>
      <c r="F123" s="182"/>
      <c r="G123" s="182"/>
      <c r="H123" s="182"/>
    </row>
    <row r="124" spans="1:8" x14ac:dyDescent="0.2">
      <c r="A124" s="175" t="s">
        <v>588</v>
      </c>
      <c r="B124" s="175"/>
      <c r="C124" s="175"/>
      <c r="D124" s="177"/>
      <c r="E124" s="168" t="s">
        <v>395</v>
      </c>
      <c r="F124" s="182"/>
      <c r="G124" s="182"/>
      <c r="H124" s="182"/>
    </row>
    <row r="125" spans="1:8" x14ac:dyDescent="0.2">
      <c r="A125" s="175" t="s">
        <v>589</v>
      </c>
      <c r="B125" s="175"/>
      <c r="C125" s="175"/>
      <c r="D125" s="177"/>
      <c r="E125" s="177"/>
      <c r="F125" s="177"/>
      <c r="G125" s="177"/>
      <c r="H125" s="177"/>
    </row>
  </sheetData>
  <mergeCells count="3">
    <mergeCell ref="A106:A109"/>
    <mergeCell ref="A110:A113"/>
    <mergeCell ref="A114:A117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6"/>
  <sheetViews>
    <sheetView rightToLeft="1" topLeftCell="A40" workbookViewId="0">
      <selection activeCell="E60" sqref="E60"/>
    </sheetView>
  </sheetViews>
  <sheetFormatPr defaultRowHeight="14.25" x14ac:dyDescent="0.2"/>
  <cols>
    <col min="2" max="2" width="23" customWidth="1"/>
    <col min="9" max="9" width="31.625" customWidth="1"/>
    <col min="20" max="20" width="5.75" customWidth="1"/>
    <col min="21" max="21" width="9" hidden="1" customWidth="1"/>
  </cols>
  <sheetData>
    <row r="1" spans="1:16" ht="15" x14ac:dyDescent="0.2">
      <c r="A1" s="149"/>
      <c r="B1" s="150" t="s">
        <v>390</v>
      </c>
      <c r="C1" s="149"/>
      <c r="D1" s="149"/>
      <c r="E1" s="149"/>
      <c r="F1" s="149"/>
      <c r="O1" t="s">
        <v>396</v>
      </c>
    </row>
    <row r="2" spans="1:16" x14ac:dyDescent="0.2">
      <c r="A2" s="149"/>
      <c r="B2" s="149"/>
      <c r="C2" s="149"/>
      <c r="D2" s="149"/>
      <c r="E2" s="149"/>
      <c r="F2" s="149"/>
      <c r="O2" t="s">
        <v>434</v>
      </c>
    </row>
    <row r="3" spans="1:16" x14ac:dyDescent="0.2">
      <c r="A3" s="70" t="s">
        <v>386</v>
      </c>
      <c r="B3" s="149" t="s">
        <v>391</v>
      </c>
      <c r="C3" s="149"/>
      <c r="D3" s="149" t="s">
        <v>387</v>
      </c>
      <c r="E3" s="149" t="s">
        <v>392</v>
      </c>
      <c r="F3" s="149"/>
      <c r="O3" s="203" t="s">
        <v>680</v>
      </c>
      <c r="P3" t="s">
        <v>678</v>
      </c>
    </row>
    <row r="4" spans="1:16" x14ac:dyDescent="0.2">
      <c r="A4" s="70" t="s">
        <v>76</v>
      </c>
      <c r="B4" s="151"/>
      <c r="C4" s="149"/>
      <c r="D4" s="149"/>
      <c r="E4" s="149"/>
      <c r="F4" s="149"/>
      <c r="O4" s="203" t="s">
        <v>1174</v>
      </c>
      <c r="P4" t="s">
        <v>679</v>
      </c>
    </row>
    <row r="5" spans="1:16" x14ac:dyDescent="0.2">
      <c r="A5" s="70" t="s">
        <v>388</v>
      </c>
      <c r="B5" s="70" t="s">
        <v>1</v>
      </c>
      <c r="C5" s="152" t="s">
        <v>539</v>
      </c>
      <c r="D5" s="70" t="s">
        <v>2</v>
      </c>
      <c r="E5" s="153" t="s">
        <v>573</v>
      </c>
      <c r="F5" s="154"/>
      <c r="O5" s="203" t="s">
        <v>1175</v>
      </c>
      <c r="P5" t="s">
        <v>619</v>
      </c>
    </row>
    <row r="7" spans="1:16" x14ac:dyDescent="0.2">
      <c r="A7" s="59" t="s">
        <v>4</v>
      </c>
      <c r="B7" s="59" t="s">
        <v>5</v>
      </c>
      <c r="C7" s="59" t="s">
        <v>389</v>
      </c>
      <c r="D7" s="59" t="s">
        <v>47</v>
      </c>
      <c r="E7" s="59" t="s">
        <v>393</v>
      </c>
      <c r="F7" s="59" t="s">
        <v>394</v>
      </c>
      <c r="G7" s="59"/>
      <c r="H7" s="59" t="s">
        <v>16</v>
      </c>
      <c r="I7" s="59" t="s">
        <v>51</v>
      </c>
      <c r="J7" s="59" t="s">
        <v>660</v>
      </c>
    </row>
    <row r="8" spans="1:16" x14ac:dyDescent="0.2">
      <c r="A8" s="205" t="s">
        <v>951</v>
      </c>
      <c r="B8" s="205" t="s">
        <v>659</v>
      </c>
      <c r="C8" s="284">
        <v>-26000</v>
      </c>
      <c r="D8" s="207"/>
      <c r="E8" s="207"/>
      <c r="F8" s="207"/>
      <c r="G8" s="207"/>
      <c r="H8" s="225">
        <v>23159</v>
      </c>
      <c r="I8" s="205" t="s">
        <v>661</v>
      </c>
      <c r="J8" s="205"/>
    </row>
    <row r="9" spans="1:16" x14ac:dyDescent="0.2">
      <c r="A9" s="205"/>
      <c r="B9" s="205" t="s">
        <v>659</v>
      </c>
      <c r="C9" s="207">
        <v>-26000</v>
      </c>
      <c r="D9" s="207"/>
      <c r="E9" s="207"/>
      <c r="F9" s="207"/>
      <c r="G9" s="207"/>
      <c r="H9" s="225"/>
      <c r="I9" s="205" t="s">
        <v>662</v>
      </c>
      <c r="J9" s="205"/>
    </row>
    <row r="10" spans="1:16" x14ac:dyDescent="0.2">
      <c r="A10" s="119" t="s">
        <v>593</v>
      </c>
      <c r="B10" s="185"/>
      <c r="C10" s="186"/>
      <c r="D10" s="186"/>
      <c r="E10" s="295">
        <v>-20</v>
      </c>
      <c r="F10" s="186"/>
      <c r="G10" s="186"/>
      <c r="H10" s="226">
        <v>155638</v>
      </c>
      <c r="I10" s="185" t="s">
        <v>597</v>
      </c>
      <c r="J10" s="183" t="s">
        <v>596</v>
      </c>
      <c r="K10" s="183"/>
    </row>
    <row r="11" spans="1:16" x14ac:dyDescent="0.2">
      <c r="A11" s="185" t="s">
        <v>593</v>
      </c>
      <c r="B11" s="185"/>
      <c r="C11" s="186"/>
      <c r="D11" s="186"/>
      <c r="E11" s="295">
        <v>-596.4</v>
      </c>
      <c r="F11" s="186"/>
      <c r="G11" s="186"/>
      <c r="H11" s="226">
        <v>95047</v>
      </c>
      <c r="I11" s="185" t="s">
        <v>673</v>
      </c>
      <c r="J11" s="183"/>
      <c r="K11" s="183"/>
    </row>
    <row r="12" spans="1:16" x14ac:dyDescent="0.2">
      <c r="A12" s="185" t="s">
        <v>601</v>
      </c>
      <c r="B12" s="185"/>
      <c r="C12" s="186"/>
      <c r="D12" s="186"/>
      <c r="E12" s="295">
        <f>-(815-72+46)</f>
        <v>-789</v>
      </c>
      <c r="F12" s="186"/>
      <c r="G12" s="186"/>
      <c r="H12" s="226">
        <v>95047</v>
      </c>
      <c r="I12" s="185" t="s">
        <v>673</v>
      </c>
      <c r="J12" s="183"/>
      <c r="K12" s="183"/>
    </row>
    <row r="13" spans="1:16" x14ac:dyDescent="0.2">
      <c r="A13" s="185" t="s">
        <v>601</v>
      </c>
      <c r="B13" s="185"/>
      <c r="C13" s="186"/>
      <c r="D13" s="186"/>
      <c r="E13" s="295">
        <v>-106</v>
      </c>
      <c r="F13" s="186"/>
      <c r="G13" s="186"/>
      <c r="H13" s="226">
        <v>95047</v>
      </c>
      <c r="I13" s="185" t="s">
        <v>674</v>
      </c>
      <c r="J13" s="183"/>
      <c r="K13" s="183"/>
    </row>
    <row r="14" spans="1:16" x14ac:dyDescent="0.2">
      <c r="A14" s="185" t="s">
        <v>650</v>
      </c>
      <c r="B14" s="185"/>
      <c r="C14" s="186"/>
      <c r="D14" s="186"/>
      <c r="E14" s="295">
        <v>-55.6</v>
      </c>
      <c r="F14" s="186"/>
      <c r="G14" s="186"/>
      <c r="H14" s="226">
        <v>155681</v>
      </c>
      <c r="I14" s="185" t="s">
        <v>651</v>
      </c>
      <c r="J14" s="183"/>
      <c r="K14" s="183"/>
    </row>
    <row r="15" spans="1:16" x14ac:dyDescent="0.2">
      <c r="A15" s="185" t="s">
        <v>655</v>
      </c>
      <c r="B15" s="185"/>
      <c r="C15" s="285">
        <v>-10.87</v>
      </c>
      <c r="D15" s="285"/>
      <c r="E15" s="285"/>
      <c r="F15" s="186"/>
      <c r="G15" s="186"/>
      <c r="H15" s="226"/>
      <c r="I15" s="185" t="s">
        <v>657</v>
      </c>
      <c r="J15" s="183"/>
      <c r="K15" s="183"/>
      <c r="N15">
        <f>3+7.87</f>
        <v>10.870000000000001</v>
      </c>
    </row>
    <row r="16" spans="1:16" x14ac:dyDescent="0.2">
      <c r="A16" s="185" t="s">
        <v>655</v>
      </c>
      <c r="B16" s="185"/>
      <c r="C16" s="285">
        <f>-(7236.49)+(10*36*1.25)</f>
        <v>-6786.49</v>
      </c>
      <c r="D16" s="285"/>
      <c r="E16" s="285"/>
      <c r="F16" s="186"/>
      <c r="G16" s="186"/>
      <c r="H16" s="226"/>
      <c r="I16" s="185" t="s">
        <v>689</v>
      </c>
      <c r="J16" s="183" t="s">
        <v>666</v>
      </c>
      <c r="K16" s="183"/>
      <c r="N16">
        <f>6090.73+695.76</f>
        <v>6786.49</v>
      </c>
    </row>
    <row r="17" spans="1:14" x14ac:dyDescent="0.2">
      <c r="A17" s="185" t="s">
        <v>677</v>
      </c>
      <c r="B17" s="185"/>
      <c r="C17" s="285"/>
      <c r="D17" s="285"/>
      <c r="E17" s="295">
        <v>-31.8</v>
      </c>
      <c r="F17" s="186"/>
      <c r="G17" s="186"/>
      <c r="H17" s="226">
        <v>95047</v>
      </c>
      <c r="I17" s="185" t="s">
        <v>696</v>
      </c>
      <c r="J17" s="183"/>
      <c r="K17" s="183"/>
    </row>
    <row r="18" spans="1:14" x14ac:dyDescent="0.2">
      <c r="A18" s="119" t="s">
        <v>703</v>
      </c>
      <c r="B18" s="218"/>
      <c r="C18" s="218">
        <v>-2655.54</v>
      </c>
      <c r="D18" s="218"/>
      <c r="E18" s="218"/>
      <c r="F18" s="218"/>
      <c r="G18" s="218"/>
      <c r="H18" s="218"/>
      <c r="I18" s="119" t="s">
        <v>713</v>
      </c>
      <c r="J18" s="183"/>
      <c r="K18" s="183"/>
      <c r="N18">
        <f>2391.56+263.98</f>
        <v>2655.54</v>
      </c>
    </row>
    <row r="19" spans="1:14" x14ac:dyDescent="0.2">
      <c r="A19" s="185" t="s">
        <v>714</v>
      </c>
      <c r="B19" s="185"/>
      <c r="C19" s="285"/>
      <c r="D19" s="285"/>
      <c r="E19" s="285"/>
      <c r="F19" s="295">
        <v>-472</v>
      </c>
      <c r="G19" s="186"/>
      <c r="H19" s="226">
        <v>5011649</v>
      </c>
      <c r="I19" s="185" t="s">
        <v>781</v>
      </c>
      <c r="J19" s="183" t="s">
        <v>780</v>
      </c>
      <c r="K19" s="183"/>
    </row>
    <row r="20" spans="1:14" x14ac:dyDescent="0.2">
      <c r="A20" s="185" t="s">
        <v>719</v>
      </c>
      <c r="B20" s="185"/>
      <c r="C20" s="285"/>
      <c r="D20" s="285"/>
      <c r="E20" s="295">
        <v>-147.19999999999999</v>
      </c>
      <c r="F20" s="186"/>
      <c r="G20" s="186"/>
      <c r="H20" s="226">
        <v>66183215</v>
      </c>
      <c r="I20" s="185" t="s">
        <v>785</v>
      </c>
      <c r="J20" s="183"/>
      <c r="K20" s="183"/>
    </row>
    <row r="21" spans="1:14" x14ac:dyDescent="0.2">
      <c r="A21" s="185" t="s">
        <v>731</v>
      </c>
      <c r="B21" s="185"/>
      <c r="C21" s="285"/>
      <c r="D21" s="285"/>
      <c r="E21" s="295">
        <v>-110</v>
      </c>
      <c r="F21" s="186"/>
      <c r="G21" s="186"/>
      <c r="H21" s="226">
        <v>66183215</v>
      </c>
      <c r="I21" s="185" t="s">
        <v>756</v>
      </c>
      <c r="J21" s="183"/>
      <c r="K21" s="183"/>
    </row>
    <row r="22" spans="1:14" x14ac:dyDescent="0.2">
      <c r="A22" s="185" t="s">
        <v>731</v>
      </c>
      <c r="B22" s="185"/>
      <c r="C22" s="285"/>
      <c r="D22" s="285"/>
      <c r="E22" s="285">
        <v>-68.900000000000006</v>
      </c>
      <c r="F22" s="186"/>
      <c r="G22" s="186"/>
      <c r="H22" s="226">
        <v>66183215</v>
      </c>
      <c r="I22" s="185" t="s">
        <v>785</v>
      </c>
      <c r="J22" s="183"/>
      <c r="K22" s="183"/>
    </row>
    <row r="23" spans="1:14" x14ac:dyDescent="0.2">
      <c r="A23" s="185" t="s">
        <v>741</v>
      </c>
      <c r="B23" s="185"/>
      <c r="C23" s="285"/>
      <c r="D23" s="285"/>
      <c r="E23" s="295">
        <v>-3461.01</v>
      </c>
      <c r="F23" s="186"/>
      <c r="G23" s="186"/>
      <c r="H23" s="226">
        <v>17779</v>
      </c>
      <c r="I23" s="185" t="s">
        <v>742</v>
      </c>
      <c r="J23" s="183" t="s">
        <v>317</v>
      </c>
      <c r="K23" s="183"/>
    </row>
    <row r="24" spans="1:14" x14ac:dyDescent="0.2">
      <c r="A24" s="185" t="s">
        <v>749</v>
      </c>
      <c r="B24" s="185"/>
      <c r="C24" s="285">
        <v>-8385.4599999999991</v>
      </c>
      <c r="D24" s="285"/>
      <c r="E24" s="285"/>
      <c r="F24" s="186"/>
      <c r="G24" s="186"/>
      <c r="H24" s="226"/>
      <c r="I24" s="185" t="s">
        <v>752</v>
      </c>
      <c r="J24" s="183"/>
      <c r="K24" s="183"/>
      <c r="N24">
        <f>7502+883.46</f>
        <v>8385.4599999999991</v>
      </c>
    </row>
    <row r="25" spans="1:14" x14ac:dyDescent="0.2">
      <c r="A25" s="185"/>
      <c r="B25" s="185"/>
      <c r="C25" s="285"/>
      <c r="D25" s="285"/>
      <c r="E25" s="295">
        <v>-6.9</v>
      </c>
      <c r="F25" s="186"/>
      <c r="G25" s="186"/>
      <c r="H25" s="226">
        <v>85021</v>
      </c>
      <c r="I25" s="185" t="s">
        <v>821</v>
      </c>
      <c r="J25" s="183"/>
      <c r="K25" s="183"/>
    </row>
    <row r="26" spans="1:14" x14ac:dyDescent="0.2">
      <c r="A26" s="185" t="s">
        <v>797</v>
      </c>
      <c r="B26" s="185"/>
      <c r="C26" s="285"/>
      <c r="D26" s="285"/>
      <c r="E26" s="295">
        <v>-250.09</v>
      </c>
      <c r="F26" s="186"/>
      <c r="G26" s="186"/>
      <c r="H26" s="226">
        <v>91045</v>
      </c>
      <c r="I26" s="185" t="s">
        <v>800</v>
      </c>
      <c r="J26" s="183" t="s">
        <v>317</v>
      </c>
      <c r="K26" s="183"/>
    </row>
    <row r="27" spans="1:14" x14ac:dyDescent="0.2">
      <c r="A27" s="185" t="s">
        <v>797</v>
      </c>
      <c r="B27" s="185"/>
      <c r="C27" s="285"/>
      <c r="D27" s="285"/>
      <c r="E27" s="295">
        <v>-252.08</v>
      </c>
      <c r="F27" s="186"/>
      <c r="G27" s="186"/>
      <c r="H27" s="226">
        <v>91045</v>
      </c>
      <c r="I27" s="185" t="s">
        <v>801</v>
      </c>
      <c r="J27" s="183" t="s">
        <v>317</v>
      </c>
      <c r="K27" s="183"/>
    </row>
    <row r="28" spans="1:14" x14ac:dyDescent="0.2">
      <c r="A28" s="185" t="s">
        <v>758</v>
      </c>
      <c r="B28" s="185"/>
      <c r="C28" s="285"/>
      <c r="D28" s="285"/>
      <c r="E28" s="295">
        <v>-766.35</v>
      </c>
      <c r="F28" s="186"/>
      <c r="G28" s="186"/>
      <c r="H28" s="226">
        <v>66183215</v>
      </c>
      <c r="I28" s="185" t="s">
        <v>759</v>
      </c>
      <c r="J28" s="183"/>
      <c r="K28" s="183"/>
    </row>
    <row r="29" spans="1:14" x14ac:dyDescent="0.2">
      <c r="A29" s="185" t="s">
        <v>779</v>
      </c>
      <c r="B29" s="185"/>
      <c r="C29" s="285"/>
      <c r="D29" s="285"/>
      <c r="E29" s="295">
        <v>-100.1</v>
      </c>
      <c r="F29" s="186"/>
      <c r="G29" s="186"/>
      <c r="H29" s="226">
        <v>85021</v>
      </c>
      <c r="I29" s="185" t="s">
        <v>816</v>
      </c>
      <c r="J29" s="183"/>
      <c r="K29" s="183"/>
    </row>
    <row r="30" spans="1:14" x14ac:dyDescent="0.2">
      <c r="A30" s="185" t="s">
        <v>810</v>
      </c>
      <c r="B30" s="185"/>
      <c r="C30" s="285"/>
      <c r="D30" s="285">
        <f>-3134.7+1290</f>
        <v>-1844.6999999999998</v>
      </c>
      <c r="E30" s="285"/>
      <c r="F30" s="186"/>
      <c r="G30" s="186"/>
      <c r="H30" s="226"/>
      <c r="I30" s="185" t="s">
        <v>812</v>
      </c>
      <c r="J30" s="183"/>
      <c r="K30" s="183"/>
      <c r="N30">
        <f>1406.24+438.46</f>
        <v>1844.7</v>
      </c>
    </row>
    <row r="31" spans="1:14" x14ac:dyDescent="0.2">
      <c r="A31" s="185" t="s">
        <v>810</v>
      </c>
      <c r="B31" s="185"/>
      <c r="C31" s="285">
        <v>-8689.65</v>
      </c>
      <c r="D31" s="285"/>
      <c r="E31" s="285"/>
      <c r="F31" s="186"/>
      <c r="G31" s="186"/>
      <c r="H31" s="226"/>
      <c r="I31" s="185" t="s">
        <v>814</v>
      </c>
      <c r="J31" s="183"/>
      <c r="K31" s="183"/>
      <c r="N31">
        <f>7766.5+923.15</f>
        <v>8689.65</v>
      </c>
    </row>
    <row r="32" spans="1:14" x14ac:dyDescent="0.2">
      <c r="A32" s="185" t="s">
        <v>810</v>
      </c>
      <c r="B32" s="185"/>
      <c r="C32" s="285"/>
      <c r="D32" s="285"/>
      <c r="E32" s="295">
        <v>-866</v>
      </c>
      <c r="F32" s="186"/>
      <c r="G32" s="186"/>
      <c r="H32" s="226">
        <v>57528</v>
      </c>
      <c r="I32" s="185" t="s">
        <v>843</v>
      </c>
      <c r="J32" s="183"/>
      <c r="K32" s="183"/>
    </row>
    <row r="33" spans="1:14" x14ac:dyDescent="0.2">
      <c r="A33" s="185" t="s">
        <v>844</v>
      </c>
      <c r="B33" s="185"/>
      <c r="C33" s="285"/>
      <c r="D33" s="285"/>
      <c r="E33" s="295">
        <v>-86.5</v>
      </c>
      <c r="F33" s="186"/>
      <c r="G33" s="186"/>
      <c r="H33" s="226">
        <v>57528</v>
      </c>
      <c r="I33" s="185" t="s">
        <v>854</v>
      </c>
      <c r="J33" s="183"/>
      <c r="K33" s="183"/>
    </row>
    <row r="34" spans="1:14" x14ac:dyDescent="0.2">
      <c r="A34" s="185" t="s">
        <v>859</v>
      </c>
      <c r="B34" s="185"/>
      <c r="C34" s="285"/>
      <c r="D34" s="285"/>
      <c r="E34" s="295">
        <v>-1097</v>
      </c>
      <c r="F34" s="186"/>
      <c r="G34" s="186"/>
      <c r="H34" s="226">
        <v>103252</v>
      </c>
      <c r="I34" s="185" t="s">
        <v>860</v>
      </c>
      <c r="J34" s="183"/>
      <c r="K34" s="183"/>
    </row>
    <row r="35" spans="1:14" x14ac:dyDescent="0.2">
      <c r="A35" s="185" t="s">
        <v>833</v>
      </c>
      <c r="B35" s="185"/>
      <c r="C35" s="285"/>
      <c r="D35" s="285"/>
      <c r="E35" s="295">
        <v>-235.94</v>
      </c>
      <c r="F35" s="186"/>
      <c r="G35" s="186"/>
      <c r="H35" s="226">
        <v>84387</v>
      </c>
      <c r="I35" s="185" t="s">
        <v>834</v>
      </c>
      <c r="J35" s="183" t="s">
        <v>317</v>
      </c>
      <c r="K35" s="183"/>
    </row>
    <row r="36" spans="1:14" x14ac:dyDescent="0.2">
      <c r="A36" s="185" t="s">
        <v>822</v>
      </c>
      <c r="B36" s="185"/>
      <c r="C36" s="285"/>
      <c r="D36" s="285"/>
      <c r="E36" s="295">
        <v>-68</v>
      </c>
      <c r="F36" s="186"/>
      <c r="G36" s="186"/>
      <c r="H36" s="226">
        <v>57528</v>
      </c>
      <c r="I36" s="185" t="s">
        <v>845</v>
      </c>
      <c r="J36" s="183"/>
      <c r="K36" s="183"/>
    </row>
    <row r="37" spans="1:14" x14ac:dyDescent="0.2">
      <c r="A37" s="185" t="s">
        <v>822</v>
      </c>
      <c r="B37" s="185"/>
      <c r="C37" s="285"/>
      <c r="D37" s="285"/>
      <c r="E37" s="295">
        <v>-234</v>
      </c>
      <c r="F37" s="186"/>
      <c r="G37" s="186"/>
      <c r="H37" s="226">
        <v>57528</v>
      </c>
      <c r="I37" s="185" t="s">
        <v>846</v>
      </c>
      <c r="J37" s="183"/>
      <c r="K37" s="183"/>
    </row>
    <row r="38" spans="1:14" x14ac:dyDescent="0.2">
      <c r="A38" s="185" t="s">
        <v>822</v>
      </c>
      <c r="B38" s="185"/>
      <c r="C38" s="285"/>
      <c r="D38" s="285"/>
      <c r="E38" s="295">
        <v>-208.22</v>
      </c>
      <c r="F38" s="186"/>
      <c r="G38" s="186"/>
      <c r="H38" s="226">
        <v>84387</v>
      </c>
      <c r="I38" s="185" t="s">
        <v>835</v>
      </c>
      <c r="J38" s="183" t="s">
        <v>317</v>
      </c>
      <c r="K38" s="183"/>
    </row>
    <row r="39" spans="1:14" x14ac:dyDescent="0.2">
      <c r="A39" s="185" t="s">
        <v>861</v>
      </c>
      <c r="B39" s="185"/>
      <c r="C39" s="285"/>
      <c r="D39" s="285"/>
      <c r="E39" s="295">
        <v>-56</v>
      </c>
      <c r="F39" s="186"/>
      <c r="G39" s="186"/>
      <c r="H39" s="226">
        <v>103252</v>
      </c>
      <c r="I39" s="185" t="s">
        <v>862</v>
      </c>
      <c r="J39" s="183"/>
      <c r="K39" s="183"/>
    </row>
    <row r="40" spans="1:14" x14ac:dyDescent="0.2">
      <c r="A40" s="185" t="s">
        <v>868</v>
      </c>
      <c r="B40" s="185"/>
      <c r="C40" s="285"/>
      <c r="D40" s="285">
        <f>(-(2527-1000)*1.29*1.25)-(103.2*1.25)</f>
        <v>-2591.2875000000004</v>
      </c>
      <c r="E40" s="285"/>
      <c r="F40" s="186"/>
      <c r="G40" s="186"/>
      <c r="H40" s="226"/>
      <c r="I40" s="185" t="s">
        <v>870</v>
      </c>
      <c r="J40" s="183"/>
      <c r="K40" s="183"/>
      <c r="N40">
        <f>1977.82+613.47</f>
        <v>2591.29</v>
      </c>
    </row>
    <row r="41" spans="1:14" x14ac:dyDescent="0.2">
      <c r="A41" s="185" t="s">
        <v>868</v>
      </c>
      <c r="B41" s="185"/>
      <c r="C41" s="285">
        <v>-9387.93</v>
      </c>
      <c r="D41" s="285"/>
      <c r="E41" s="285"/>
      <c r="F41" s="186"/>
      <c r="G41" s="186"/>
      <c r="H41" s="226"/>
      <c r="I41" s="185" t="s">
        <v>871</v>
      </c>
      <c r="J41" s="183"/>
      <c r="K41" s="183"/>
      <c r="N41">
        <f>8432.49+955.44</f>
        <v>9387.93</v>
      </c>
    </row>
    <row r="42" spans="1:14" x14ac:dyDescent="0.2">
      <c r="A42" s="185" t="s">
        <v>873</v>
      </c>
      <c r="B42" s="185"/>
      <c r="C42" s="285"/>
      <c r="D42" s="285"/>
      <c r="E42" s="295">
        <v>-678.1</v>
      </c>
      <c r="F42" s="186"/>
      <c r="G42" s="186"/>
      <c r="H42" s="226">
        <v>23159</v>
      </c>
      <c r="I42" s="185" t="s">
        <v>1009</v>
      </c>
      <c r="J42" s="183"/>
      <c r="K42" s="183"/>
    </row>
    <row r="43" spans="1:14" x14ac:dyDescent="0.2">
      <c r="A43" s="185" t="s">
        <v>875</v>
      </c>
      <c r="B43" s="185"/>
      <c r="C43" s="285"/>
      <c r="D43" s="285"/>
      <c r="E43" s="295">
        <v>-68.400000000000006</v>
      </c>
      <c r="F43" s="186"/>
      <c r="G43" s="186"/>
      <c r="H43" s="226"/>
      <c r="I43" s="185" t="s">
        <v>1007</v>
      </c>
      <c r="J43" s="183"/>
      <c r="K43" s="183"/>
    </row>
    <row r="44" spans="1:14" x14ac:dyDescent="0.2">
      <c r="A44" s="185" t="s">
        <v>883</v>
      </c>
      <c r="B44" s="185"/>
      <c r="C44" s="285"/>
      <c r="D44" s="285"/>
      <c r="E44" s="295">
        <v>-118.17</v>
      </c>
      <c r="F44" s="186"/>
      <c r="G44" s="186"/>
      <c r="H44" s="226">
        <v>6758</v>
      </c>
      <c r="I44" s="185" t="s">
        <v>1041</v>
      </c>
      <c r="J44" s="183" t="s">
        <v>1042</v>
      </c>
      <c r="K44" s="183"/>
    </row>
    <row r="45" spans="1:14" x14ac:dyDescent="0.2">
      <c r="A45" s="185" t="s">
        <v>883</v>
      </c>
      <c r="B45" s="185"/>
      <c r="C45" s="285"/>
      <c r="D45" s="285"/>
      <c r="E45" s="295">
        <v>-551.70000000000005</v>
      </c>
      <c r="F45" s="186"/>
      <c r="G45" s="186"/>
      <c r="H45" s="226">
        <v>23159</v>
      </c>
      <c r="I45" s="185" t="s">
        <v>1007</v>
      </c>
      <c r="J45" s="183"/>
      <c r="K45" s="183"/>
    </row>
    <row r="46" spans="1:14" x14ac:dyDescent="0.2">
      <c r="A46" s="185" t="s">
        <v>940</v>
      </c>
      <c r="B46" s="185"/>
      <c r="C46" s="285"/>
      <c r="D46" s="285">
        <f>-((1576-1000)*1.29*1.25)-(516*1.25)</f>
        <v>-1573.8</v>
      </c>
      <c r="E46" s="285"/>
      <c r="F46" s="186"/>
      <c r="G46" s="186"/>
      <c r="H46" s="226"/>
      <c r="I46" s="185" t="s">
        <v>942</v>
      </c>
      <c r="J46" s="183"/>
      <c r="K46" s="183"/>
      <c r="N46">
        <f>1244.29+329.51</f>
        <v>1573.8</v>
      </c>
    </row>
    <row r="47" spans="1:14" x14ac:dyDescent="0.2">
      <c r="A47" s="185" t="s">
        <v>946</v>
      </c>
      <c r="B47" s="185"/>
      <c r="C47" s="285"/>
      <c r="D47" s="285"/>
      <c r="E47" s="295">
        <v>-40.5</v>
      </c>
      <c r="F47" s="186"/>
      <c r="G47" s="186"/>
      <c r="H47" s="226">
        <v>35271</v>
      </c>
      <c r="I47" s="185" t="s">
        <v>1037</v>
      </c>
      <c r="J47" s="183"/>
      <c r="K47" s="183"/>
    </row>
    <row r="48" spans="1:14" x14ac:dyDescent="0.2">
      <c r="A48" s="185" t="s">
        <v>947</v>
      </c>
      <c r="B48" s="185"/>
      <c r="C48" s="285"/>
      <c r="D48" s="285"/>
      <c r="E48" s="295">
        <v>-65</v>
      </c>
      <c r="F48" s="186"/>
      <c r="G48" s="186"/>
      <c r="H48" s="226">
        <v>35271</v>
      </c>
      <c r="I48" s="185" t="s">
        <v>1037</v>
      </c>
      <c r="J48" s="183"/>
      <c r="K48" s="183"/>
    </row>
    <row r="49" spans="1:19" x14ac:dyDescent="0.2">
      <c r="A49" s="185" t="s">
        <v>956</v>
      </c>
      <c r="B49" s="185"/>
      <c r="C49" s="285"/>
      <c r="D49" s="285"/>
      <c r="E49" s="295">
        <v>-70</v>
      </c>
      <c r="F49" s="186"/>
      <c r="G49" s="186"/>
      <c r="H49" s="226">
        <v>23118</v>
      </c>
      <c r="I49" s="185" t="s">
        <v>957</v>
      </c>
      <c r="J49" s="183" t="s">
        <v>317</v>
      </c>
      <c r="K49" s="183"/>
    </row>
    <row r="50" spans="1:19" x14ac:dyDescent="0.2">
      <c r="A50" s="185" t="s">
        <v>868</v>
      </c>
      <c r="B50" s="185"/>
      <c r="C50" s="285"/>
      <c r="D50" s="285">
        <f>-((2450-1000)*1.25*1.29)-(593.4*1.25)</f>
        <v>-3079.875</v>
      </c>
      <c r="E50" s="285"/>
      <c r="F50" s="186"/>
      <c r="G50" s="186"/>
      <c r="H50" s="226"/>
      <c r="I50" s="185" t="s">
        <v>989</v>
      </c>
      <c r="J50" s="183"/>
      <c r="K50" s="183"/>
      <c r="N50">
        <f>2304.51+775.36</f>
        <v>3079.8700000000003</v>
      </c>
    </row>
    <row r="51" spans="1:19" x14ac:dyDescent="0.2">
      <c r="A51" s="185" t="s">
        <v>868</v>
      </c>
      <c r="B51" s="185"/>
      <c r="C51" s="297"/>
      <c r="D51" s="285"/>
      <c r="E51" s="285"/>
      <c r="F51" s="186"/>
      <c r="G51" s="186"/>
      <c r="H51" s="226"/>
      <c r="I51" s="185" t="s">
        <v>992</v>
      </c>
      <c r="J51" s="183"/>
      <c r="K51" s="183"/>
      <c r="N51">
        <f>6924.6+789.02</f>
        <v>7713.6200000000008</v>
      </c>
      <c r="Q51" s="297">
        <v>-7713.62</v>
      </c>
      <c r="R51" s="298" t="s">
        <v>1188</v>
      </c>
      <c r="S51" s="298"/>
    </row>
    <row r="52" spans="1:19" x14ac:dyDescent="0.2">
      <c r="A52" s="185" t="s">
        <v>999</v>
      </c>
      <c r="B52" s="185"/>
      <c r="C52" s="285"/>
      <c r="D52" s="285"/>
      <c r="E52" s="295">
        <v>-842.9</v>
      </c>
      <c r="F52" s="186"/>
      <c r="G52" s="186"/>
      <c r="H52" s="226">
        <v>6758</v>
      </c>
      <c r="I52" s="185" t="s">
        <v>1043</v>
      </c>
      <c r="J52" s="183"/>
      <c r="K52" s="183"/>
    </row>
    <row r="53" spans="1:19" x14ac:dyDescent="0.2">
      <c r="A53" s="185" t="s">
        <v>615</v>
      </c>
      <c r="B53" s="185"/>
      <c r="C53" s="285"/>
      <c r="D53" s="285"/>
      <c r="E53" s="295">
        <v>-221.4</v>
      </c>
      <c r="F53" s="186"/>
      <c r="G53" s="186"/>
      <c r="H53" s="226">
        <v>6758</v>
      </c>
      <c r="I53" s="185" t="s">
        <v>1043</v>
      </c>
      <c r="J53" s="183"/>
      <c r="K53" s="183"/>
    </row>
    <row r="54" spans="1:19" x14ac:dyDescent="0.2">
      <c r="A54" s="185" t="s">
        <v>615</v>
      </c>
      <c r="B54" s="185"/>
      <c r="C54" s="285"/>
      <c r="D54" s="285"/>
      <c r="E54" s="295">
        <v>-724</v>
      </c>
      <c r="F54" s="186"/>
      <c r="G54" s="186"/>
      <c r="H54" s="226">
        <v>6758</v>
      </c>
      <c r="I54" s="185" t="s">
        <v>1047</v>
      </c>
      <c r="J54" s="183"/>
      <c r="K54" s="183"/>
    </row>
    <row r="55" spans="1:19" x14ac:dyDescent="0.2">
      <c r="A55" s="185" t="s">
        <v>1030</v>
      </c>
      <c r="B55" s="185"/>
      <c r="C55" s="297"/>
      <c r="D55" s="285"/>
      <c r="E55" s="285"/>
      <c r="F55" s="186"/>
      <c r="G55" s="186"/>
      <c r="H55" s="226"/>
      <c r="I55" s="185" t="s">
        <v>1032</v>
      </c>
      <c r="J55" s="183"/>
      <c r="K55" s="183"/>
      <c r="N55">
        <f>7216.4+833.1</f>
        <v>8049.5</v>
      </c>
      <c r="Q55" s="297">
        <v>-8049.5</v>
      </c>
      <c r="R55" s="298" t="s">
        <v>1188</v>
      </c>
      <c r="S55" s="298"/>
    </row>
    <row r="56" spans="1:19" x14ac:dyDescent="0.2">
      <c r="A56" s="185" t="s">
        <v>1030</v>
      </c>
      <c r="B56" s="185"/>
      <c r="C56" s="297"/>
      <c r="D56" s="285"/>
      <c r="E56" s="285"/>
      <c r="F56" s="186"/>
      <c r="G56" s="186"/>
      <c r="H56" s="226"/>
      <c r="I56" s="185" t="s">
        <v>1033</v>
      </c>
      <c r="J56" s="183"/>
      <c r="K56" s="183"/>
      <c r="N56">
        <f>2782.36+307.83</f>
        <v>3090.19</v>
      </c>
      <c r="Q56" s="297">
        <v>-3090.19</v>
      </c>
      <c r="R56" s="298" t="s">
        <v>1188</v>
      </c>
      <c r="S56" s="298"/>
    </row>
    <row r="57" spans="1:19" x14ac:dyDescent="0.2">
      <c r="A57" s="185" t="s">
        <v>1030</v>
      </c>
      <c r="B57" s="185"/>
      <c r="C57" s="285">
        <v>-1789.4</v>
      </c>
      <c r="D57" s="285"/>
      <c r="E57" s="285"/>
      <c r="F57" s="186"/>
      <c r="G57" s="186"/>
      <c r="H57" s="226"/>
      <c r="I57" s="185" t="s">
        <v>1034</v>
      </c>
      <c r="J57" s="183"/>
      <c r="K57" s="183"/>
      <c r="N57">
        <f>1611+178.4</f>
        <v>1789.4</v>
      </c>
    </row>
    <row r="58" spans="1:19" x14ac:dyDescent="0.2">
      <c r="A58" s="185" t="s">
        <v>1030</v>
      </c>
      <c r="B58" s="185"/>
      <c r="C58" s="285"/>
      <c r="D58" s="285">
        <f>-(700*1.29*1.25)-(1806*1.25)</f>
        <v>-3386.25</v>
      </c>
      <c r="E58" s="285"/>
      <c r="F58" s="186"/>
      <c r="G58" s="186"/>
      <c r="H58" s="226"/>
      <c r="I58" s="185" t="s">
        <v>1035</v>
      </c>
      <c r="J58" s="183"/>
      <c r="K58" s="183"/>
      <c r="N58">
        <f>2637.1+749.15</f>
        <v>3386.25</v>
      </c>
    </row>
    <row r="59" spans="1:19" x14ac:dyDescent="0.2">
      <c r="A59" s="185" t="s">
        <v>1039</v>
      </c>
      <c r="B59" s="185"/>
      <c r="C59" s="285"/>
      <c r="D59" s="285"/>
      <c r="E59" s="295">
        <v>-205</v>
      </c>
      <c r="F59" s="186"/>
      <c r="G59" s="186"/>
      <c r="H59" s="226">
        <v>6758</v>
      </c>
      <c r="I59" s="185" t="s">
        <v>1048</v>
      </c>
      <c r="J59" s="183"/>
      <c r="K59" s="183"/>
    </row>
    <row r="60" spans="1:19" x14ac:dyDescent="0.2">
      <c r="A60" s="185" t="s">
        <v>1044</v>
      </c>
      <c r="B60" s="185"/>
      <c r="C60" s="285"/>
      <c r="D60" s="285"/>
      <c r="E60" s="295">
        <v>-2203.98</v>
      </c>
      <c r="F60" s="186"/>
      <c r="G60" s="186"/>
      <c r="H60" s="226">
        <v>96027</v>
      </c>
      <c r="I60" s="185" t="s">
        <v>1128</v>
      </c>
      <c r="J60" s="183"/>
      <c r="K60" s="183"/>
    </row>
    <row r="61" spans="1:19" x14ac:dyDescent="0.2">
      <c r="A61" s="185" t="s">
        <v>1053</v>
      </c>
      <c r="B61" s="185"/>
      <c r="C61" s="285"/>
      <c r="D61" s="285"/>
      <c r="E61" s="295">
        <v>-1019.8</v>
      </c>
      <c r="F61" s="186"/>
      <c r="G61" s="186"/>
      <c r="H61" s="226">
        <v>83887</v>
      </c>
      <c r="I61" s="185" t="s">
        <v>1091</v>
      </c>
      <c r="J61" s="183"/>
      <c r="K61" s="183"/>
    </row>
    <row r="62" spans="1:19" x14ac:dyDescent="0.2">
      <c r="A62" s="185" t="s">
        <v>1076</v>
      </c>
      <c r="B62" s="185"/>
      <c r="C62" s="285">
        <v>-920</v>
      </c>
      <c r="D62" s="285">
        <f>-3818.23+920</f>
        <v>-2898.23</v>
      </c>
      <c r="E62" s="285"/>
      <c r="F62" s="186"/>
      <c r="G62" s="186"/>
      <c r="H62" s="226"/>
      <c r="I62" s="185" t="s">
        <v>1079</v>
      </c>
      <c r="J62" s="183"/>
      <c r="K62" s="183"/>
      <c r="N62">
        <f>3438+380.23</f>
        <v>3818.23</v>
      </c>
    </row>
    <row r="63" spans="1:19" x14ac:dyDescent="0.2">
      <c r="A63" s="185" t="s">
        <v>1076</v>
      </c>
      <c r="B63" s="185"/>
      <c r="C63" s="285"/>
      <c r="D63" s="285"/>
      <c r="E63" s="295">
        <v>-545.79999999999995</v>
      </c>
      <c r="F63" s="186"/>
      <c r="G63" s="186"/>
      <c r="H63" s="226"/>
      <c r="I63" s="185" t="s">
        <v>1129</v>
      </c>
      <c r="J63" s="183"/>
      <c r="K63" s="183"/>
    </row>
    <row r="64" spans="1:19" x14ac:dyDescent="0.2">
      <c r="A64" s="185" t="s">
        <v>1100</v>
      </c>
      <c r="B64" s="185"/>
      <c r="C64" s="285"/>
      <c r="D64" s="285"/>
      <c r="E64" s="295">
        <v>-105.1</v>
      </c>
      <c r="F64" s="186"/>
      <c r="G64" s="186"/>
      <c r="H64" s="226">
        <v>83806</v>
      </c>
      <c r="I64" s="185" t="s">
        <v>1101</v>
      </c>
      <c r="J64" s="183"/>
      <c r="K64" s="183"/>
    </row>
    <row r="65" spans="1:14" x14ac:dyDescent="0.2">
      <c r="A65" s="185" t="s">
        <v>1098</v>
      </c>
      <c r="B65" s="185"/>
      <c r="C65" s="285"/>
      <c r="D65" s="285"/>
      <c r="E65" s="295">
        <v>-361</v>
      </c>
      <c r="F65" s="186"/>
      <c r="G65" s="186"/>
      <c r="H65" s="226">
        <v>83806</v>
      </c>
      <c r="I65" s="185" t="s">
        <v>1102</v>
      </c>
      <c r="J65" s="183"/>
      <c r="K65" s="183"/>
    </row>
    <row r="66" spans="1:14" x14ac:dyDescent="0.2">
      <c r="A66" s="185" t="s">
        <v>1107</v>
      </c>
      <c r="B66" s="185"/>
      <c r="C66" s="285"/>
      <c r="D66" s="285"/>
      <c r="E66" s="295">
        <v>-234</v>
      </c>
      <c r="F66" s="186"/>
      <c r="G66" s="186"/>
      <c r="H66" s="226">
        <v>83887</v>
      </c>
      <c r="I66" s="185" t="s">
        <v>1108</v>
      </c>
      <c r="J66" s="183"/>
      <c r="K66" s="183"/>
    </row>
    <row r="67" spans="1:14" x14ac:dyDescent="0.2">
      <c r="A67" s="185" t="s">
        <v>1109</v>
      </c>
      <c r="B67" s="185"/>
      <c r="C67" s="285"/>
      <c r="D67" s="285"/>
      <c r="E67" s="295">
        <v>-1999</v>
      </c>
      <c r="F67" s="186"/>
      <c r="G67" s="186"/>
      <c r="H67" s="226">
        <v>83887</v>
      </c>
      <c r="I67" s="185" t="s">
        <v>1110</v>
      </c>
      <c r="J67" s="183"/>
      <c r="K67" s="183"/>
    </row>
    <row r="68" spans="1:14" x14ac:dyDescent="0.2">
      <c r="A68" s="185" t="s">
        <v>1111</v>
      </c>
      <c r="B68" s="185"/>
      <c r="C68" s="285"/>
      <c r="D68" s="285"/>
      <c r="E68" s="295">
        <v>-24.5</v>
      </c>
      <c r="F68" s="186"/>
      <c r="G68" s="186"/>
      <c r="H68" s="226">
        <v>83887</v>
      </c>
      <c r="I68" s="185" t="s">
        <v>1112</v>
      </c>
      <c r="J68" s="183"/>
      <c r="K68" s="183"/>
    </row>
    <row r="69" spans="1:14" x14ac:dyDescent="0.2">
      <c r="A69" s="185" t="s">
        <v>1132</v>
      </c>
      <c r="B69" s="185"/>
      <c r="C69" s="285"/>
      <c r="D69" s="285"/>
      <c r="E69" s="295">
        <v>-7020</v>
      </c>
      <c r="F69" s="295">
        <v>-4212</v>
      </c>
      <c r="G69" s="186"/>
      <c r="H69" s="226">
        <v>96027</v>
      </c>
      <c r="I69" s="185" t="s">
        <v>1133</v>
      </c>
      <c r="J69" s="183"/>
      <c r="K69" s="183"/>
    </row>
    <row r="70" spans="1:14" x14ac:dyDescent="0.2">
      <c r="A70" s="185" t="s">
        <v>1137</v>
      </c>
      <c r="B70" s="185"/>
      <c r="C70" s="285"/>
      <c r="D70" s="285"/>
      <c r="E70" s="295">
        <v>-211</v>
      </c>
      <c r="F70" s="186"/>
      <c r="G70" s="186"/>
      <c r="H70" s="226">
        <v>96027</v>
      </c>
      <c r="I70" s="185" t="s">
        <v>1138</v>
      </c>
      <c r="J70" s="183"/>
      <c r="K70" s="183"/>
    </row>
    <row r="71" spans="1:14" x14ac:dyDescent="0.2">
      <c r="A71" s="185"/>
      <c r="B71" s="185"/>
      <c r="C71" s="285"/>
      <c r="D71" s="285"/>
      <c r="E71" s="186"/>
      <c r="F71" s="186"/>
      <c r="G71" s="186"/>
      <c r="H71" s="226"/>
      <c r="I71" s="185"/>
      <c r="J71" s="183"/>
      <c r="K71" s="183"/>
    </row>
    <row r="72" spans="1:14" x14ac:dyDescent="0.2">
      <c r="A72" s="185"/>
      <c r="B72" s="185"/>
      <c r="C72" s="285"/>
      <c r="D72" s="285"/>
      <c r="E72" s="186"/>
      <c r="F72" s="186"/>
      <c r="G72" s="186"/>
      <c r="H72" s="226"/>
      <c r="I72" s="185"/>
      <c r="J72" s="183"/>
      <c r="K72" s="183"/>
    </row>
    <row r="73" spans="1:14" x14ac:dyDescent="0.2">
      <c r="A73" s="185"/>
      <c r="B73" s="185"/>
      <c r="C73" s="186"/>
      <c r="D73" s="186"/>
      <c r="E73" s="186"/>
      <c r="F73" s="186"/>
      <c r="G73" s="186"/>
      <c r="H73" s="226"/>
      <c r="I73" s="185"/>
      <c r="J73" s="183"/>
      <c r="K73" s="183"/>
    </row>
    <row r="74" spans="1:14" ht="15" x14ac:dyDescent="0.25">
      <c r="A74" s="133" t="s">
        <v>77</v>
      </c>
      <c r="B74" s="59"/>
      <c r="C74" s="184">
        <f>SUM(C10:C73)</f>
        <v>-38625.340000000004</v>
      </c>
      <c r="D74" s="184">
        <f>SUM(D10:D73)</f>
        <v>-15374.1425</v>
      </c>
      <c r="E74" s="184">
        <f>SUM(E10:E73)-E23-E60-E67-E69</f>
        <v>-12238.45</v>
      </c>
      <c r="F74" s="184">
        <f>SUM(F10:F73)</f>
        <v>-4684</v>
      </c>
      <c r="G74" s="184"/>
      <c r="H74" s="184"/>
      <c r="I74" s="59"/>
      <c r="J74" s="147" t="s">
        <v>395</v>
      </c>
      <c r="K74" s="147"/>
      <c r="L74" s="134"/>
      <c r="M74" s="135"/>
      <c r="N74" s="134"/>
    </row>
    <row r="75" spans="1:14" ht="15" x14ac:dyDescent="0.25">
      <c r="A75" s="136" t="s">
        <v>78</v>
      </c>
      <c r="B75" s="137"/>
      <c r="C75" s="138">
        <v>38000</v>
      </c>
      <c r="D75" s="138">
        <v>15000</v>
      </c>
      <c r="E75" s="138">
        <v>26957</v>
      </c>
      <c r="F75" s="139">
        <v>5000</v>
      </c>
      <c r="G75" s="139"/>
      <c r="H75" s="138"/>
      <c r="I75" s="138">
        <f>SUM(C75:H75)</f>
        <v>84957</v>
      </c>
      <c r="J75" s="148">
        <v>12743</v>
      </c>
      <c r="K75" s="148">
        <f>I75+J75</f>
        <v>97700</v>
      </c>
      <c r="L75" s="134"/>
      <c r="M75" s="135"/>
      <c r="N75" s="134"/>
    </row>
    <row r="76" spans="1:14" ht="15.75" thickBot="1" x14ac:dyDescent="0.3">
      <c r="A76" s="140" t="s">
        <v>79</v>
      </c>
      <c r="B76" s="141"/>
      <c r="C76" s="142">
        <f t="shared" ref="C76:F76" si="0">C75+C74</f>
        <v>-625.34000000000378</v>
      </c>
      <c r="D76" s="142">
        <f t="shared" si="0"/>
        <v>-374.14249999999993</v>
      </c>
      <c r="E76" s="142">
        <f t="shared" si="0"/>
        <v>14718.55</v>
      </c>
      <c r="F76" s="142">
        <f t="shared" si="0"/>
        <v>316</v>
      </c>
      <c r="G76" s="142"/>
      <c r="H76" s="142"/>
      <c r="I76" s="143"/>
      <c r="L76" s="134"/>
      <c r="M76" s="135"/>
      <c r="N76" s="134"/>
    </row>
    <row r="77" spans="1:14" ht="18.75" thickBot="1" x14ac:dyDescent="0.3">
      <c r="A77" s="144" t="s">
        <v>83</v>
      </c>
      <c r="B77" s="145">
        <f>SUM(C76:H76)</f>
        <v>14035.067499999996</v>
      </c>
      <c r="C77" s="132"/>
      <c r="D77" s="132"/>
      <c r="E77" s="146"/>
      <c r="F77" s="146"/>
      <c r="G77" s="146"/>
      <c r="H77" s="146"/>
      <c r="I77" s="146"/>
      <c r="L77" s="134"/>
      <c r="M77" s="135"/>
      <c r="N77" s="134"/>
    </row>
    <row r="81" spans="1:8" x14ac:dyDescent="0.2">
      <c r="A81" s="10"/>
      <c r="B81" s="164" t="s">
        <v>574</v>
      </c>
      <c r="C81" s="165"/>
      <c r="D81" s="165"/>
      <c r="E81" s="165">
        <v>0</v>
      </c>
      <c r="F81" s="165"/>
      <c r="G81" s="166"/>
      <c r="H81" s="167"/>
    </row>
    <row r="82" spans="1:8" ht="38.25" x14ac:dyDescent="0.2">
      <c r="A82" s="10"/>
      <c r="B82" s="168" t="s">
        <v>575</v>
      </c>
      <c r="C82" s="168" t="s">
        <v>576</v>
      </c>
      <c r="D82" s="168" t="s">
        <v>577</v>
      </c>
      <c r="E82" s="168" t="s">
        <v>578</v>
      </c>
      <c r="F82" s="168" t="s">
        <v>579</v>
      </c>
      <c r="G82" s="168" t="s">
        <v>580</v>
      </c>
      <c r="H82" s="169" t="s">
        <v>11</v>
      </c>
    </row>
    <row r="83" spans="1:8" x14ac:dyDescent="0.2">
      <c r="A83" s="305" t="s">
        <v>62</v>
      </c>
      <c r="B83" s="169" t="s">
        <v>581</v>
      </c>
      <c r="C83" s="170"/>
      <c r="D83" s="119">
        <v>1729</v>
      </c>
      <c r="E83" s="171">
        <v>75000</v>
      </c>
      <c r="F83" s="171"/>
      <c r="G83" s="171"/>
      <c r="H83" s="119" t="s">
        <v>590</v>
      </c>
    </row>
    <row r="84" spans="1:8" x14ac:dyDescent="0.2">
      <c r="A84" s="305"/>
      <c r="B84" s="169" t="s">
        <v>582</v>
      </c>
      <c r="C84" s="119"/>
      <c r="D84" s="119"/>
      <c r="E84" s="171">
        <v>75000</v>
      </c>
      <c r="F84" s="171"/>
      <c r="G84" s="171"/>
      <c r="H84" s="119"/>
    </row>
    <row r="85" spans="1:8" x14ac:dyDescent="0.2">
      <c r="A85" s="305" t="s">
        <v>63</v>
      </c>
      <c r="B85" s="169" t="s">
        <v>581</v>
      </c>
      <c r="C85" s="119"/>
      <c r="D85" s="119">
        <v>1891</v>
      </c>
      <c r="E85" s="171">
        <v>75000</v>
      </c>
      <c r="F85" s="171"/>
      <c r="G85" s="171"/>
      <c r="H85" s="119"/>
    </row>
    <row r="86" spans="1:8" x14ac:dyDescent="0.2">
      <c r="A86" s="305"/>
      <c r="B86" s="169" t="s">
        <v>582</v>
      </c>
      <c r="C86" s="119"/>
      <c r="D86" s="119"/>
      <c r="E86" s="171">
        <v>75000</v>
      </c>
      <c r="F86" s="171"/>
      <c r="G86" s="171"/>
      <c r="H86" s="119"/>
    </row>
    <row r="87" spans="1:8" x14ac:dyDescent="0.2">
      <c r="A87" s="305" t="s">
        <v>64</v>
      </c>
      <c r="B87" s="169" t="s">
        <v>581</v>
      </c>
      <c r="C87" s="119"/>
      <c r="D87" s="119"/>
      <c r="E87" s="171">
        <v>75000</v>
      </c>
      <c r="F87" s="171"/>
      <c r="G87" s="171"/>
      <c r="H87" s="119"/>
    </row>
    <row r="88" spans="1:8" x14ac:dyDescent="0.2">
      <c r="A88" s="305"/>
      <c r="B88" s="169" t="s">
        <v>582</v>
      </c>
      <c r="C88" s="119"/>
      <c r="D88" s="119"/>
      <c r="E88" s="171">
        <v>75000</v>
      </c>
      <c r="F88" s="171"/>
      <c r="G88" s="171"/>
      <c r="H88" s="119"/>
    </row>
    <row r="89" spans="1:8" x14ac:dyDescent="0.2">
      <c r="A89" s="10"/>
      <c r="B89" s="172" t="s">
        <v>65</v>
      </c>
      <c r="C89" s="172"/>
      <c r="D89" s="172"/>
      <c r="E89" s="173">
        <f>SUM(E83:E88)</f>
        <v>450000</v>
      </c>
      <c r="F89" s="174">
        <f>SUM(F83:F88)</f>
        <v>0</v>
      </c>
      <c r="G89" s="174">
        <f>SUM(G83:G88)</f>
        <v>0</v>
      </c>
      <c r="H89" s="175"/>
    </row>
    <row r="90" spans="1:8" x14ac:dyDescent="0.2">
      <c r="A90" s="176"/>
      <c r="B90" s="176"/>
      <c r="C90" s="177"/>
      <c r="D90" s="176"/>
      <c r="E90" s="177"/>
      <c r="F90" s="177"/>
      <c r="G90" s="177"/>
      <c r="H90" s="177"/>
    </row>
    <row r="91" spans="1:8" x14ac:dyDescent="0.2">
      <c r="B91" s="176"/>
      <c r="C91" s="177"/>
      <c r="D91" s="176"/>
      <c r="E91" s="177"/>
      <c r="F91" s="177"/>
      <c r="G91" s="177"/>
      <c r="H91" s="177"/>
    </row>
    <row r="92" spans="1:8" x14ac:dyDescent="0.2">
      <c r="B92" s="176"/>
      <c r="C92" s="177"/>
      <c r="D92" s="176"/>
      <c r="E92" s="177"/>
      <c r="F92" s="177"/>
      <c r="G92" s="177"/>
      <c r="H92" s="177"/>
    </row>
    <row r="93" spans="1:8" x14ac:dyDescent="0.2">
      <c r="A93" s="178" t="s">
        <v>583</v>
      </c>
      <c r="B93" s="178"/>
      <c r="C93" s="178"/>
      <c r="D93" s="176"/>
      <c r="E93" s="179" t="s">
        <v>584</v>
      </c>
      <c r="F93" s="180"/>
      <c r="G93" s="180"/>
      <c r="H93" s="180"/>
    </row>
    <row r="94" spans="1:8" x14ac:dyDescent="0.2">
      <c r="A94" s="169" t="s">
        <v>585</v>
      </c>
      <c r="B94" s="169" t="s">
        <v>586</v>
      </c>
      <c r="C94" s="169" t="s">
        <v>11</v>
      </c>
      <c r="D94" s="176"/>
      <c r="E94" s="181" t="s">
        <v>587</v>
      </c>
      <c r="F94" s="182"/>
      <c r="G94" s="182"/>
      <c r="H94" s="182"/>
    </row>
    <row r="95" spans="1:8" x14ac:dyDescent="0.2">
      <c r="A95" s="175" t="s">
        <v>588</v>
      </c>
      <c r="B95" s="175"/>
      <c r="C95" s="175"/>
      <c r="D95" s="177"/>
      <c r="E95" s="168" t="s">
        <v>395</v>
      </c>
      <c r="F95" s="182"/>
      <c r="G95" s="182"/>
      <c r="H95" s="182"/>
    </row>
    <row r="96" spans="1:8" x14ac:dyDescent="0.2">
      <c r="A96" s="175" t="s">
        <v>589</v>
      </c>
      <c r="B96" s="175"/>
      <c r="C96" s="175"/>
      <c r="D96" s="177"/>
      <c r="E96" s="177"/>
      <c r="F96" s="177"/>
      <c r="G96" s="177"/>
      <c r="H96" s="177"/>
    </row>
  </sheetData>
  <mergeCells count="3">
    <mergeCell ref="A83:A84"/>
    <mergeCell ref="A85:A86"/>
    <mergeCell ref="A87:A88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0"/>
  <sheetViews>
    <sheetView rightToLeft="1" workbookViewId="0">
      <selection activeCell="A11" sqref="A11"/>
    </sheetView>
  </sheetViews>
  <sheetFormatPr defaultRowHeight="14.25" x14ac:dyDescent="0.2"/>
  <cols>
    <col min="2" max="2" width="23" customWidth="1"/>
    <col min="9" max="9" width="31.625" customWidth="1"/>
  </cols>
  <sheetData>
    <row r="1" spans="1:16" ht="15" x14ac:dyDescent="0.2">
      <c r="A1" s="149" t="s">
        <v>1259</v>
      </c>
      <c r="B1" s="150" t="s">
        <v>390</v>
      </c>
      <c r="C1" s="149"/>
      <c r="D1" s="149"/>
      <c r="E1" s="149"/>
      <c r="F1" s="149"/>
      <c r="O1" t="s">
        <v>709</v>
      </c>
    </row>
    <row r="2" spans="1:16" x14ac:dyDescent="0.2">
      <c r="A2" s="149"/>
      <c r="B2" s="149"/>
      <c r="C2" s="149"/>
      <c r="D2" s="149"/>
      <c r="E2" s="149"/>
      <c r="F2" s="149"/>
      <c r="O2" t="s">
        <v>710</v>
      </c>
    </row>
    <row r="3" spans="1:16" x14ac:dyDescent="0.2">
      <c r="A3" s="70" t="s">
        <v>386</v>
      </c>
      <c r="B3" s="149" t="s">
        <v>707</v>
      </c>
      <c r="C3" s="149"/>
      <c r="D3" s="149" t="s">
        <v>387</v>
      </c>
      <c r="E3" s="149" t="s">
        <v>708</v>
      </c>
      <c r="F3" s="149"/>
      <c r="O3" s="203"/>
      <c r="P3" t="s">
        <v>678</v>
      </c>
    </row>
    <row r="4" spans="1:16" x14ac:dyDescent="0.2">
      <c r="A4" s="70" t="s">
        <v>76</v>
      </c>
      <c r="B4" s="151"/>
      <c r="C4" s="149"/>
      <c r="D4" s="149"/>
      <c r="E4" s="149"/>
      <c r="F4" s="149"/>
      <c r="O4" s="203"/>
      <c r="P4" t="s">
        <v>679</v>
      </c>
    </row>
    <row r="5" spans="1:16" x14ac:dyDescent="0.2">
      <c r="A5" s="70" t="s">
        <v>388</v>
      </c>
      <c r="B5" s="70" t="s">
        <v>1</v>
      </c>
      <c r="C5" s="152" t="s">
        <v>671</v>
      </c>
      <c r="D5" s="70" t="s">
        <v>2</v>
      </c>
      <c r="E5" s="153" t="s">
        <v>1176</v>
      </c>
      <c r="F5" s="154"/>
      <c r="O5" s="203"/>
      <c r="P5" t="s">
        <v>619</v>
      </c>
    </row>
    <row r="7" spans="1:16" x14ac:dyDescent="0.2">
      <c r="A7" s="59" t="s">
        <v>4</v>
      </c>
      <c r="B7" s="59" t="s">
        <v>5</v>
      </c>
      <c r="C7" s="59" t="s">
        <v>82</v>
      </c>
      <c r="D7" s="59" t="s">
        <v>47</v>
      </c>
      <c r="E7" s="59" t="s">
        <v>393</v>
      </c>
      <c r="F7" s="59"/>
      <c r="G7" s="59"/>
      <c r="H7" s="59" t="s">
        <v>16</v>
      </c>
      <c r="I7" s="59" t="s">
        <v>51</v>
      </c>
      <c r="J7" s="59" t="s">
        <v>660</v>
      </c>
    </row>
    <row r="8" spans="1:16" x14ac:dyDescent="0.2">
      <c r="A8" s="119" t="s">
        <v>1171</v>
      </c>
      <c r="B8" s="119"/>
      <c r="C8" s="218">
        <v>-4204.5200000000004</v>
      </c>
      <c r="D8" s="218"/>
      <c r="E8" s="218"/>
      <c r="F8" s="218"/>
      <c r="G8" s="218"/>
      <c r="H8" s="227"/>
      <c r="I8" s="119" t="s">
        <v>1277</v>
      </c>
      <c r="J8" s="119"/>
    </row>
    <row r="9" spans="1:16" x14ac:dyDescent="0.2">
      <c r="A9" s="119" t="s">
        <v>1171</v>
      </c>
      <c r="B9" s="119"/>
      <c r="C9" s="218">
        <v>-561.49</v>
      </c>
      <c r="D9" s="218"/>
      <c r="E9" s="218"/>
      <c r="F9" s="218"/>
      <c r="G9" s="218"/>
      <c r="H9" s="227"/>
      <c r="I9" s="119" t="s">
        <v>1279</v>
      </c>
      <c r="J9" s="119"/>
    </row>
    <row r="10" spans="1:16" x14ac:dyDescent="0.2">
      <c r="A10" s="119" t="s">
        <v>1171</v>
      </c>
      <c r="B10" s="119"/>
      <c r="C10" s="218">
        <v>-423.46</v>
      </c>
      <c r="D10" s="218"/>
      <c r="E10" s="218"/>
      <c r="F10" s="218"/>
      <c r="G10" s="218"/>
      <c r="H10" s="227"/>
      <c r="I10" s="119" t="s">
        <v>1280</v>
      </c>
      <c r="J10" s="185"/>
      <c r="K10" s="183"/>
    </row>
    <row r="11" spans="1:16" x14ac:dyDescent="0.2">
      <c r="A11" s="185"/>
      <c r="B11" s="185"/>
      <c r="C11" s="186"/>
      <c r="D11" s="186"/>
      <c r="E11" s="186"/>
      <c r="F11" s="186"/>
      <c r="G11" s="186"/>
      <c r="H11" s="226"/>
      <c r="I11" s="185"/>
      <c r="J11" s="185"/>
      <c r="K11" s="183"/>
    </row>
    <row r="12" spans="1:16" x14ac:dyDescent="0.2">
      <c r="A12" s="185"/>
      <c r="B12" s="185"/>
      <c r="C12" s="186"/>
      <c r="D12" s="186"/>
      <c r="E12" s="186"/>
      <c r="F12" s="186"/>
      <c r="G12" s="186"/>
      <c r="H12" s="226"/>
      <c r="I12" s="185"/>
      <c r="J12" s="185"/>
      <c r="K12" s="183"/>
    </row>
    <row r="13" spans="1:16" x14ac:dyDescent="0.2">
      <c r="A13" s="185"/>
      <c r="B13" s="185"/>
      <c r="C13" s="186"/>
      <c r="D13" s="186"/>
      <c r="E13" s="186"/>
      <c r="F13" s="186"/>
      <c r="G13" s="186"/>
      <c r="H13" s="226"/>
      <c r="I13" s="185"/>
      <c r="J13" s="185"/>
      <c r="K13" s="183"/>
    </row>
    <row r="14" spans="1:16" x14ac:dyDescent="0.2">
      <c r="A14" s="185"/>
      <c r="B14" s="185"/>
      <c r="C14" s="186"/>
      <c r="D14" s="186"/>
      <c r="E14" s="186"/>
      <c r="F14" s="186"/>
      <c r="G14" s="186"/>
      <c r="H14" s="226"/>
      <c r="I14" s="185"/>
      <c r="J14" s="185"/>
      <c r="K14" s="183"/>
    </row>
    <row r="15" spans="1:16" x14ac:dyDescent="0.2">
      <c r="A15" s="185"/>
      <c r="B15" s="185"/>
      <c r="C15" s="186"/>
      <c r="D15" s="186"/>
      <c r="E15" s="186"/>
      <c r="F15" s="186"/>
      <c r="G15" s="186"/>
      <c r="H15" s="226"/>
      <c r="I15" s="185"/>
      <c r="J15" s="185"/>
      <c r="K15" s="183"/>
    </row>
    <row r="16" spans="1:16" x14ac:dyDescent="0.2">
      <c r="A16" s="185"/>
      <c r="B16" s="185"/>
      <c r="C16" s="186"/>
      <c r="D16" s="186"/>
      <c r="E16" s="186"/>
      <c r="F16" s="186"/>
      <c r="G16" s="186"/>
      <c r="H16" s="226"/>
      <c r="I16" s="185"/>
      <c r="J16" s="185"/>
      <c r="K16" s="183"/>
    </row>
    <row r="17" spans="1:11" x14ac:dyDescent="0.2">
      <c r="A17" s="185"/>
      <c r="B17" s="185"/>
      <c r="C17" s="186"/>
      <c r="D17" s="186"/>
      <c r="E17" s="186"/>
      <c r="F17" s="186"/>
      <c r="G17" s="186"/>
      <c r="H17" s="226"/>
      <c r="I17" s="185"/>
      <c r="J17" s="185"/>
      <c r="K17" s="183"/>
    </row>
    <row r="18" spans="1:11" x14ac:dyDescent="0.2">
      <c r="A18" s="185"/>
      <c r="B18" s="185"/>
      <c r="C18" s="186"/>
      <c r="D18" s="186"/>
      <c r="E18" s="186"/>
      <c r="F18" s="186"/>
      <c r="G18" s="186"/>
      <c r="H18" s="226"/>
      <c r="I18" s="185"/>
      <c r="J18" s="185"/>
      <c r="K18" s="183"/>
    </row>
    <row r="19" spans="1:11" ht="15" x14ac:dyDescent="0.25">
      <c r="A19" s="133" t="s">
        <v>77</v>
      </c>
      <c r="B19" s="59"/>
      <c r="C19" s="184">
        <f>SUM(C8:C18)</f>
        <v>-5189.47</v>
      </c>
      <c r="D19" s="184">
        <f t="shared" ref="D19:E19" si="0">SUM(D8:D18)</f>
        <v>0</v>
      </c>
      <c r="E19" s="184">
        <f t="shared" si="0"/>
        <v>0</v>
      </c>
      <c r="F19" s="184"/>
      <c r="G19" s="184"/>
      <c r="H19" s="184"/>
      <c r="I19" s="59"/>
      <c r="J19" s="147" t="s">
        <v>395</v>
      </c>
      <c r="K19" s="147"/>
    </row>
    <row r="20" spans="1:11" ht="15" x14ac:dyDescent="0.25">
      <c r="A20" s="136" t="s">
        <v>78</v>
      </c>
      <c r="B20" s="137"/>
      <c r="C20" s="138">
        <v>23000</v>
      </c>
      <c r="D20" s="138">
        <v>4000</v>
      </c>
      <c r="E20" s="138">
        <v>7783</v>
      </c>
      <c r="F20" s="139"/>
      <c r="G20" s="139"/>
      <c r="H20" s="138"/>
      <c r="I20" s="138">
        <f>SUM(C20:H20)</f>
        <v>34783</v>
      </c>
      <c r="J20" s="148">
        <v>5217.45</v>
      </c>
      <c r="K20" s="148">
        <f>I20+J20</f>
        <v>40000.449999999997</v>
      </c>
    </row>
    <row r="21" spans="1:11" ht="15.75" thickBot="1" x14ac:dyDescent="0.3">
      <c r="A21" s="140" t="s">
        <v>79</v>
      </c>
      <c r="B21" s="141"/>
      <c r="C21" s="142">
        <f t="shared" ref="C21:E21" si="1">C20+C19</f>
        <v>17810.53</v>
      </c>
      <c r="D21" s="142">
        <f t="shared" si="1"/>
        <v>4000</v>
      </c>
      <c r="E21" s="142">
        <f t="shared" si="1"/>
        <v>7783</v>
      </c>
      <c r="F21" s="142"/>
      <c r="G21" s="142"/>
      <c r="H21" s="142"/>
      <c r="I21" s="143"/>
    </row>
    <row r="22" spans="1:11" ht="15.75" thickBot="1" x14ac:dyDescent="0.3">
      <c r="A22" s="144" t="s">
        <v>83</v>
      </c>
      <c r="B22" s="145">
        <f>SUM(C21:H21)</f>
        <v>29593.53</v>
      </c>
    </row>
    <row r="27" spans="1:11" x14ac:dyDescent="0.2">
      <c r="A27" s="59" t="s">
        <v>4</v>
      </c>
      <c r="B27" s="59" t="s">
        <v>5</v>
      </c>
      <c r="C27" s="59" t="s">
        <v>82</v>
      </c>
      <c r="D27" s="59" t="s">
        <v>47</v>
      </c>
      <c r="E27" s="59" t="s">
        <v>393</v>
      </c>
      <c r="F27" s="59"/>
      <c r="G27" s="59"/>
      <c r="H27" s="59" t="s">
        <v>16</v>
      </c>
      <c r="I27" s="59" t="s">
        <v>51</v>
      </c>
      <c r="J27" s="59" t="s">
        <v>660</v>
      </c>
    </row>
    <row r="28" spans="1:11" x14ac:dyDescent="0.2">
      <c r="A28" s="119" t="s">
        <v>676</v>
      </c>
      <c r="B28" s="119"/>
      <c r="C28" s="218"/>
      <c r="D28" s="218"/>
      <c r="E28" s="218">
        <v>-58</v>
      </c>
      <c r="F28" s="218"/>
      <c r="G28" s="218"/>
      <c r="H28" s="227">
        <v>17779</v>
      </c>
      <c r="I28" s="119" t="s">
        <v>743</v>
      </c>
      <c r="J28" s="119"/>
      <c r="K28" t="s">
        <v>317</v>
      </c>
    </row>
    <row r="29" spans="1:11" x14ac:dyDescent="0.2">
      <c r="A29" s="119" t="s">
        <v>744</v>
      </c>
      <c r="B29" s="119"/>
      <c r="C29" s="218"/>
      <c r="D29" s="218"/>
      <c r="E29" s="218">
        <v>-58</v>
      </c>
      <c r="F29" s="218"/>
      <c r="G29" s="218"/>
      <c r="H29" s="227">
        <v>17779</v>
      </c>
      <c r="I29" s="119" t="s">
        <v>745</v>
      </c>
      <c r="J29" s="119"/>
      <c r="K29" t="s">
        <v>317</v>
      </c>
    </row>
    <row r="30" spans="1:11" x14ac:dyDescent="0.2">
      <c r="A30" s="119" t="s">
        <v>719</v>
      </c>
      <c r="B30" s="119"/>
      <c r="C30" s="218"/>
      <c r="D30" s="218"/>
      <c r="E30" s="218">
        <v>-927.81</v>
      </c>
      <c r="F30" s="218"/>
      <c r="G30" s="218"/>
      <c r="H30" s="227">
        <v>17833</v>
      </c>
      <c r="I30" s="119" t="s">
        <v>720</v>
      </c>
      <c r="J30" s="185"/>
      <c r="K30" s="183"/>
    </row>
    <row r="31" spans="1:11" x14ac:dyDescent="0.2">
      <c r="A31" s="185" t="s">
        <v>727</v>
      </c>
      <c r="B31" s="185"/>
      <c r="C31" s="186"/>
      <c r="D31" s="186"/>
      <c r="E31" s="186">
        <v>-774</v>
      </c>
      <c r="F31" s="186"/>
      <c r="G31" s="186"/>
      <c r="H31" s="226">
        <v>66183215</v>
      </c>
      <c r="I31" s="185" t="s">
        <v>782</v>
      </c>
      <c r="J31" s="185"/>
      <c r="K31" s="183"/>
    </row>
    <row r="32" spans="1:11" x14ac:dyDescent="0.2">
      <c r="A32" s="185" t="s">
        <v>749</v>
      </c>
      <c r="B32" s="185"/>
      <c r="C32" s="186">
        <f>-((33*38)*1.25+(600*1.29*1.25)+(25.8*1.25))</f>
        <v>-2567.25</v>
      </c>
      <c r="D32" s="186"/>
      <c r="E32" s="186"/>
      <c r="F32" s="186"/>
      <c r="G32" s="186"/>
      <c r="H32" s="226"/>
      <c r="I32" s="185" t="s">
        <v>755</v>
      </c>
      <c r="J32" s="185"/>
      <c r="K32" s="183"/>
    </row>
    <row r="33" spans="1:11" x14ac:dyDescent="0.2">
      <c r="A33" s="185" t="s">
        <v>757</v>
      </c>
      <c r="B33" s="185"/>
      <c r="C33" s="186"/>
      <c r="D33" s="186"/>
      <c r="E33" s="186">
        <v>-460</v>
      </c>
      <c r="F33" s="186"/>
      <c r="G33" s="186"/>
      <c r="H33" s="226">
        <v>85021</v>
      </c>
      <c r="I33" s="185" t="s">
        <v>821</v>
      </c>
      <c r="J33" s="185"/>
      <c r="K33" s="183"/>
    </row>
    <row r="34" spans="1:11" x14ac:dyDescent="0.2">
      <c r="A34" s="185" t="s">
        <v>776</v>
      </c>
      <c r="B34" s="185"/>
      <c r="C34" s="186"/>
      <c r="D34" s="186"/>
      <c r="E34" s="186">
        <v>-58</v>
      </c>
      <c r="F34" s="186"/>
      <c r="G34" s="186"/>
      <c r="H34" s="226">
        <v>91045</v>
      </c>
      <c r="I34" s="185" t="s">
        <v>802</v>
      </c>
      <c r="J34" s="185"/>
      <c r="K34" s="183"/>
    </row>
    <row r="35" spans="1:11" x14ac:dyDescent="0.2">
      <c r="A35" s="185" t="s">
        <v>767</v>
      </c>
      <c r="B35" s="185"/>
      <c r="C35" s="186"/>
      <c r="D35" s="186"/>
      <c r="E35" s="186">
        <v>-12</v>
      </c>
      <c r="F35" s="186"/>
      <c r="G35" s="186"/>
      <c r="H35" s="226">
        <v>91045</v>
      </c>
      <c r="I35" s="185" t="s">
        <v>803</v>
      </c>
      <c r="J35" s="185"/>
      <c r="K35" s="183"/>
    </row>
    <row r="36" spans="1:11" x14ac:dyDescent="0.2">
      <c r="A36" s="185" t="s">
        <v>783</v>
      </c>
      <c r="B36" s="185"/>
      <c r="C36" s="186"/>
      <c r="D36" s="186"/>
      <c r="E36" s="186">
        <v>-568</v>
      </c>
      <c r="F36" s="186"/>
      <c r="G36" s="186"/>
      <c r="H36" s="226">
        <v>66183215</v>
      </c>
      <c r="I36" s="185" t="s">
        <v>784</v>
      </c>
      <c r="J36" s="185"/>
      <c r="K36" s="183"/>
    </row>
    <row r="37" spans="1:11" x14ac:dyDescent="0.2">
      <c r="A37" s="185" t="s">
        <v>225</v>
      </c>
      <c r="B37" s="185"/>
      <c r="C37" s="186"/>
      <c r="D37" s="186"/>
      <c r="E37" s="186">
        <v>-227.9</v>
      </c>
      <c r="F37" s="186"/>
      <c r="G37" s="186"/>
      <c r="H37" s="226">
        <v>91045</v>
      </c>
      <c r="I37" s="185" t="s">
        <v>804</v>
      </c>
      <c r="J37" s="185"/>
      <c r="K37" s="183"/>
    </row>
    <row r="38" spans="1:11" x14ac:dyDescent="0.2">
      <c r="A38" s="185" t="s">
        <v>810</v>
      </c>
      <c r="B38" s="185"/>
      <c r="C38" s="186">
        <f>-1857.75-D38</f>
        <v>-1567.5</v>
      </c>
      <c r="D38" s="186">
        <f>-180*1.25*1.29</f>
        <v>-290.25</v>
      </c>
      <c r="E38" s="186"/>
      <c r="F38" s="186"/>
      <c r="G38" s="186"/>
      <c r="H38" s="226"/>
      <c r="I38" s="185" t="s">
        <v>811</v>
      </c>
      <c r="J38" s="185"/>
      <c r="K38" s="183"/>
    </row>
    <row r="39" spans="1:11" x14ac:dyDescent="0.2">
      <c r="A39" s="185" t="s">
        <v>836</v>
      </c>
      <c r="B39" s="185"/>
      <c r="C39" s="186"/>
      <c r="D39" s="186"/>
      <c r="E39" s="276">
        <v>-229.61</v>
      </c>
      <c r="F39" s="186"/>
      <c r="G39" s="186"/>
      <c r="H39" s="226">
        <v>84387</v>
      </c>
      <c r="I39" s="185" t="s">
        <v>837</v>
      </c>
      <c r="J39" s="185"/>
      <c r="K39" s="183"/>
    </row>
    <row r="40" spans="1:11" x14ac:dyDescent="0.2">
      <c r="A40" s="185" t="s">
        <v>838</v>
      </c>
      <c r="B40" s="185"/>
      <c r="C40" s="186"/>
      <c r="D40" s="186"/>
      <c r="E40" s="276">
        <v>-252.77</v>
      </c>
      <c r="F40" s="186"/>
      <c r="G40" s="186"/>
      <c r="H40" s="226">
        <v>84387</v>
      </c>
      <c r="I40" s="185" t="s">
        <v>839</v>
      </c>
      <c r="J40" s="185"/>
      <c r="K40" s="183"/>
    </row>
    <row r="41" spans="1:11" x14ac:dyDescent="0.2">
      <c r="A41" s="185" t="s">
        <v>848</v>
      </c>
      <c r="B41" s="185"/>
      <c r="C41" s="186"/>
      <c r="D41" s="186"/>
      <c r="E41" s="276">
        <v>-4268.1499999999996</v>
      </c>
      <c r="F41" s="186"/>
      <c r="G41" s="186"/>
      <c r="H41" s="226">
        <v>103252</v>
      </c>
      <c r="I41" s="185" t="s">
        <v>857</v>
      </c>
      <c r="J41" s="185"/>
      <c r="K41" s="183"/>
    </row>
    <row r="42" spans="1:11" x14ac:dyDescent="0.2">
      <c r="A42" s="185" t="s">
        <v>856</v>
      </c>
      <c r="B42" s="185"/>
      <c r="C42" s="186"/>
      <c r="D42" s="186"/>
      <c r="E42" s="276">
        <v>-83</v>
      </c>
      <c r="F42" s="186"/>
      <c r="G42" s="186"/>
      <c r="H42" s="226">
        <v>23159</v>
      </c>
      <c r="I42" s="185" t="s">
        <v>1007</v>
      </c>
      <c r="J42" s="185"/>
      <c r="K42" s="183"/>
    </row>
    <row r="43" spans="1:11" x14ac:dyDescent="0.2">
      <c r="A43" s="185" t="s">
        <v>868</v>
      </c>
      <c r="B43" s="185"/>
      <c r="C43" s="276">
        <f>-((7.5+8.2)*38*1.25)</f>
        <v>-745.75</v>
      </c>
      <c r="D43" s="186"/>
      <c r="E43" s="186"/>
      <c r="F43" s="186"/>
      <c r="G43" s="186"/>
      <c r="H43" s="226"/>
      <c r="I43" s="185" t="s">
        <v>869</v>
      </c>
      <c r="J43" s="185"/>
      <c r="K43" s="183"/>
    </row>
    <row r="44" spans="1:11" x14ac:dyDescent="0.2">
      <c r="A44" s="185" t="s">
        <v>883</v>
      </c>
      <c r="B44" s="185"/>
      <c r="C44" s="186"/>
      <c r="D44" s="186"/>
      <c r="E44" s="276">
        <v>-117</v>
      </c>
      <c r="F44" s="186"/>
      <c r="G44" s="186"/>
      <c r="H44" s="226">
        <v>103143</v>
      </c>
      <c r="I44" s="185" t="s">
        <v>885</v>
      </c>
      <c r="J44" s="185"/>
      <c r="K44" s="183" t="s">
        <v>852</v>
      </c>
    </row>
    <row r="45" spans="1:11" x14ac:dyDescent="0.2">
      <c r="A45" s="185" t="s">
        <v>883</v>
      </c>
      <c r="B45" s="185"/>
      <c r="C45" s="186"/>
      <c r="D45" s="186"/>
      <c r="E45" s="276">
        <v>-80</v>
      </c>
      <c r="F45" s="186"/>
      <c r="G45" s="186"/>
      <c r="H45" s="226">
        <v>103143</v>
      </c>
      <c r="I45" s="185" t="s">
        <v>886</v>
      </c>
      <c r="J45" s="185"/>
      <c r="K45" s="183" t="s">
        <v>852</v>
      </c>
    </row>
    <row r="46" spans="1:11" x14ac:dyDescent="0.2">
      <c r="A46" s="185" t="s">
        <v>883</v>
      </c>
      <c r="B46" s="185"/>
      <c r="C46" s="186"/>
      <c r="D46" s="186"/>
      <c r="E46" s="276">
        <v>-102.5</v>
      </c>
      <c r="F46" s="186"/>
      <c r="G46" s="186"/>
      <c r="H46" s="226">
        <v>103143</v>
      </c>
      <c r="I46" s="185" t="s">
        <v>887</v>
      </c>
      <c r="J46" s="185"/>
      <c r="K46" s="183" t="s">
        <v>852</v>
      </c>
    </row>
    <row r="47" spans="1:11" x14ac:dyDescent="0.2">
      <c r="A47" s="185" t="s">
        <v>940</v>
      </c>
      <c r="B47" s="185"/>
      <c r="C47" s="276">
        <f>-(360*1.25*1.29)-(34.78*1.25*38)</f>
        <v>-2232.5500000000002</v>
      </c>
      <c r="D47" s="186"/>
      <c r="E47" s="186"/>
      <c r="F47" s="186"/>
      <c r="G47" s="186"/>
      <c r="H47" s="226"/>
      <c r="I47" s="185" t="s">
        <v>941</v>
      </c>
      <c r="J47" s="185"/>
      <c r="K47" s="183"/>
    </row>
    <row r="48" spans="1:11" x14ac:dyDescent="0.2">
      <c r="A48" s="185" t="s">
        <v>940</v>
      </c>
      <c r="B48" s="185"/>
      <c r="C48" s="186"/>
      <c r="D48" s="186"/>
      <c r="E48" s="276">
        <v>-116.4</v>
      </c>
      <c r="F48" s="186"/>
      <c r="G48" s="186"/>
      <c r="H48" s="226">
        <v>35271</v>
      </c>
      <c r="I48" s="185" t="s">
        <v>1037</v>
      </c>
      <c r="J48" s="185"/>
      <c r="K48" s="183"/>
    </row>
    <row r="49" spans="1:11" x14ac:dyDescent="0.2">
      <c r="A49" s="185" t="s">
        <v>982</v>
      </c>
      <c r="B49" s="185"/>
      <c r="C49" s="186"/>
      <c r="D49" s="186"/>
      <c r="E49" s="276">
        <v>-266</v>
      </c>
      <c r="F49" s="186"/>
      <c r="G49" s="186"/>
      <c r="H49" s="226">
        <v>23159</v>
      </c>
      <c r="I49" s="185" t="s">
        <v>983</v>
      </c>
      <c r="J49" s="185"/>
      <c r="K49" s="183"/>
    </row>
    <row r="50" spans="1:11" x14ac:dyDescent="0.2">
      <c r="A50" s="185" t="s">
        <v>953</v>
      </c>
      <c r="B50" s="185"/>
      <c r="C50" s="186"/>
      <c r="D50" s="276">
        <v>-18</v>
      </c>
      <c r="E50" s="186"/>
      <c r="F50" s="186"/>
      <c r="G50" s="186"/>
      <c r="H50" s="226">
        <v>23118</v>
      </c>
      <c r="I50" s="185" t="s">
        <v>954</v>
      </c>
      <c r="J50" s="185"/>
      <c r="K50" s="183" t="s">
        <v>317</v>
      </c>
    </row>
    <row r="51" spans="1:11" x14ac:dyDescent="0.2">
      <c r="A51" s="185" t="s">
        <v>953</v>
      </c>
      <c r="B51" s="185"/>
      <c r="C51" s="186"/>
      <c r="D51" s="276">
        <v>-47</v>
      </c>
      <c r="E51" s="186"/>
      <c r="F51" s="186"/>
      <c r="G51" s="186"/>
      <c r="H51" s="226">
        <v>23118</v>
      </c>
      <c r="I51" s="185" t="s">
        <v>955</v>
      </c>
      <c r="J51" s="185"/>
      <c r="K51" s="183"/>
    </row>
    <row r="52" spans="1:11" x14ac:dyDescent="0.2">
      <c r="A52" s="185" t="s">
        <v>987</v>
      </c>
      <c r="B52" s="185"/>
      <c r="C52" s="276">
        <f>-(34.43*38*1.25)</f>
        <v>-1635.425</v>
      </c>
      <c r="D52" s="276">
        <f>-250*1.25*1.29</f>
        <v>-403.125</v>
      </c>
      <c r="E52" s="186"/>
      <c r="F52" s="186"/>
      <c r="G52" s="186"/>
      <c r="H52" s="226"/>
      <c r="I52" s="185" t="s">
        <v>988</v>
      </c>
      <c r="J52" s="185"/>
      <c r="K52" s="183"/>
    </row>
    <row r="53" spans="1:11" x14ac:dyDescent="0.2">
      <c r="A53" s="185" t="s">
        <v>999</v>
      </c>
      <c r="B53" s="185"/>
      <c r="C53" s="186"/>
      <c r="D53" s="186"/>
      <c r="E53" s="186">
        <v>-842.9</v>
      </c>
      <c r="F53" s="186"/>
      <c r="G53" s="186"/>
      <c r="H53" s="226"/>
      <c r="I53" s="185" t="s">
        <v>695</v>
      </c>
      <c r="J53" s="185"/>
      <c r="K53" s="183"/>
    </row>
    <row r="54" spans="1:11" x14ac:dyDescent="0.2">
      <c r="A54" s="185" t="s">
        <v>1030</v>
      </c>
      <c r="B54" s="185"/>
      <c r="C54" s="276">
        <f>-(8+8.22+8+8.85)*38*1.25</f>
        <v>-1570.825</v>
      </c>
      <c r="D54" s="276">
        <f>-(380*1.29*1.25)-((12+3.5)*2.58*1.25)</f>
        <v>-662.73749999999995</v>
      </c>
      <c r="E54" s="186"/>
      <c r="F54" s="186"/>
      <c r="G54" s="186"/>
      <c r="H54" s="226"/>
      <c r="I54" s="185" t="s">
        <v>1036</v>
      </c>
      <c r="J54" s="185"/>
      <c r="K54" s="183"/>
    </row>
    <row r="55" spans="1:11" x14ac:dyDescent="0.2">
      <c r="A55" s="185" t="s">
        <v>1076</v>
      </c>
      <c r="B55" s="185"/>
      <c r="C55" s="276">
        <f>-(8.62+4.95+8.18+8.82+8.38+7.97+9.05+6.75)*38*1.25</f>
        <v>-2979.2000000000003</v>
      </c>
      <c r="D55" s="276">
        <f>-(370*1.29*1.25)-(3.5*2.58*1.25)</f>
        <v>-607.91250000000002</v>
      </c>
      <c r="E55" s="186"/>
      <c r="F55" s="186"/>
      <c r="G55" s="186"/>
      <c r="H55" s="226"/>
      <c r="I55" s="185" t="s">
        <v>1077</v>
      </c>
      <c r="J55" s="185"/>
      <c r="K55" s="183"/>
    </row>
    <row r="56" spans="1:11" x14ac:dyDescent="0.2">
      <c r="A56" s="185" t="s">
        <v>1087</v>
      </c>
      <c r="B56" s="185"/>
      <c r="C56" s="186"/>
      <c r="D56" s="186"/>
      <c r="E56" s="276">
        <v>-222.3</v>
      </c>
      <c r="F56" s="186"/>
      <c r="G56" s="186"/>
      <c r="H56" s="226">
        <v>96027</v>
      </c>
      <c r="I56" s="185" t="s">
        <v>1116</v>
      </c>
      <c r="J56" s="185"/>
      <c r="K56" s="183"/>
    </row>
    <row r="57" spans="1:11" x14ac:dyDescent="0.2">
      <c r="A57" s="185" t="s">
        <v>1117</v>
      </c>
      <c r="B57" s="185"/>
      <c r="C57" s="276">
        <f>-4477.39-D57</f>
        <v>-3466.3525</v>
      </c>
      <c r="D57" s="276">
        <f>-(620*1.29*1.25)-(3.5*2.58*1.25)</f>
        <v>-1011.0375000000001</v>
      </c>
      <c r="E57" s="186"/>
      <c r="F57" s="186"/>
      <c r="G57" s="186"/>
      <c r="H57" s="226"/>
      <c r="I57" s="185" t="s">
        <v>1120</v>
      </c>
      <c r="J57" s="185"/>
      <c r="K57" s="183"/>
    </row>
    <row r="58" spans="1:11" x14ac:dyDescent="0.2">
      <c r="A58" s="185" t="s">
        <v>1117</v>
      </c>
      <c r="B58" s="185"/>
      <c r="C58" s="276">
        <f>-2201.84-D58</f>
        <v>-1298.8400000000001</v>
      </c>
      <c r="D58" s="276">
        <f>-560*1.29*1.25</f>
        <v>-903</v>
      </c>
      <c r="E58" s="186"/>
      <c r="F58" s="186"/>
      <c r="G58" s="186"/>
      <c r="H58" s="226"/>
      <c r="I58" s="185" t="s">
        <v>1121</v>
      </c>
      <c r="J58" s="185"/>
      <c r="K58" s="183"/>
    </row>
    <row r="59" spans="1:11" x14ac:dyDescent="0.2">
      <c r="A59" s="185" t="s">
        <v>1148</v>
      </c>
      <c r="B59" s="185"/>
      <c r="C59" s="285"/>
      <c r="D59" s="285"/>
      <c r="E59" s="186">
        <v>-59.9</v>
      </c>
      <c r="F59" s="186"/>
      <c r="G59" s="186"/>
      <c r="H59" s="226">
        <v>95919</v>
      </c>
      <c r="I59" s="185" t="s">
        <v>1149</v>
      </c>
      <c r="J59" s="185"/>
      <c r="K59" s="183" t="s">
        <v>317</v>
      </c>
    </row>
    <row r="60" spans="1:11" x14ac:dyDescent="0.2">
      <c r="A60" s="185" t="s">
        <v>1134</v>
      </c>
      <c r="B60" s="185"/>
      <c r="C60" s="186"/>
      <c r="D60" s="186"/>
      <c r="E60" s="186">
        <v>-1668</v>
      </c>
      <c r="F60" s="186"/>
      <c r="G60" s="186"/>
      <c r="H60" s="226">
        <v>96027</v>
      </c>
      <c r="I60" s="185" t="s">
        <v>1135</v>
      </c>
      <c r="J60" s="185"/>
      <c r="K60" s="183"/>
    </row>
    <row r="61" spans="1:11" x14ac:dyDescent="0.2">
      <c r="A61" s="185" t="s">
        <v>1130</v>
      </c>
      <c r="B61" s="185"/>
      <c r="C61" s="186"/>
      <c r="D61" s="186"/>
      <c r="E61" s="186">
        <v>-865</v>
      </c>
      <c r="F61" s="186"/>
      <c r="G61" s="186"/>
      <c r="H61" s="226">
        <v>96027</v>
      </c>
      <c r="I61" s="185" t="s">
        <v>1131</v>
      </c>
      <c r="J61" s="185"/>
      <c r="K61" s="183"/>
    </row>
    <row r="62" spans="1:11" x14ac:dyDescent="0.2">
      <c r="A62" s="185" t="s">
        <v>1130</v>
      </c>
      <c r="B62" s="185"/>
      <c r="C62" s="186"/>
      <c r="D62" s="186"/>
      <c r="E62" s="186">
        <v>-96</v>
      </c>
      <c r="F62" s="186"/>
      <c r="G62" s="186"/>
      <c r="H62" s="226">
        <v>96027</v>
      </c>
      <c r="I62" s="185" t="s">
        <v>1139</v>
      </c>
      <c r="J62" s="185"/>
      <c r="K62" s="183"/>
    </row>
    <row r="63" spans="1:11" x14ac:dyDescent="0.2">
      <c r="A63" s="185" t="s">
        <v>1144</v>
      </c>
      <c r="B63" s="185"/>
      <c r="C63" s="186"/>
      <c r="D63" s="186"/>
      <c r="E63" s="186">
        <v>-84.5</v>
      </c>
      <c r="F63" s="186"/>
      <c r="G63" s="186"/>
      <c r="H63" s="226">
        <v>95919</v>
      </c>
      <c r="I63" s="185" t="s">
        <v>1150</v>
      </c>
      <c r="J63" s="185"/>
      <c r="K63" s="183" t="s">
        <v>317</v>
      </c>
    </row>
    <row r="64" spans="1:11" x14ac:dyDescent="0.2">
      <c r="A64" s="185" t="s">
        <v>1147</v>
      </c>
      <c r="B64" s="185"/>
      <c r="C64" s="186"/>
      <c r="D64" s="186"/>
      <c r="E64" s="186">
        <v>-173.4</v>
      </c>
      <c r="F64" s="186"/>
      <c r="G64" s="186"/>
      <c r="H64" s="226">
        <v>95919</v>
      </c>
      <c r="I64" s="185" t="s">
        <v>1151</v>
      </c>
      <c r="J64" s="185"/>
      <c r="K64" s="183" t="s">
        <v>317</v>
      </c>
    </row>
    <row r="65" spans="1:14" x14ac:dyDescent="0.2">
      <c r="A65" s="185" t="s">
        <v>1239</v>
      </c>
      <c r="B65" s="185"/>
      <c r="C65" s="186"/>
      <c r="D65" s="186"/>
      <c r="E65" s="186">
        <f>-28.8-29</f>
        <v>-57.8</v>
      </c>
      <c r="F65" s="186"/>
      <c r="G65" s="186"/>
      <c r="H65" s="226"/>
      <c r="I65" s="185" t="s">
        <v>1243</v>
      </c>
      <c r="J65" s="185"/>
      <c r="K65" s="183"/>
    </row>
    <row r="66" spans="1:14" x14ac:dyDescent="0.2">
      <c r="A66" s="185" t="s">
        <v>1240</v>
      </c>
      <c r="B66" s="185"/>
      <c r="C66" s="186"/>
      <c r="D66" s="186"/>
      <c r="E66" s="186">
        <v>-9</v>
      </c>
      <c r="F66" s="186"/>
      <c r="G66" s="186"/>
      <c r="H66" s="226"/>
      <c r="I66" s="185" t="s">
        <v>1243</v>
      </c>
      <c r="J66" s="185"/>
      <c r="K66" s="183"/>
    </row>
    <row r="67" spans="1:14" x14ac:dyDescent="0.2">
      <c r="A67" s="185" t="s">
        <v>1154</v>
      </c>
      <c r="B67" s="185"/>
      <c r="C67" s="186">
        <f>-(328*1.29*1.25)-(54.5*40*1.25)+257.5</f>
        <v>-2996.4</v>
      </c>
      <c r="D67" s="186"/>
      <c r="E67" s="186"/>
      <c r="F67" s="186"/>
      <c r="G67" s="186"/>
      <c r="H67" s="226"/>
      <c r="I67" s="185" t="s">
        <v>1155</v>
      </c>
      <c r="J67" s="185"/>
      <c r="K67" s="183"/>
    </row>
    <row r="68" spans="1:14" x14ac:dyDescent="0.2">
      <c r="A68" s="185" t="s">
        <v>1154</v>
      </c>
      <c r="B68" s="185"/>
      <c r="C68" s="186"/>
      <c r="D68" s="186"/>
      <c r="E68" s="186">
        <v>-359</v>
      </c>
      <c r="F68" s="186"/>
      <c r="G68" s="186"/>
      <c r="H68" s="226">
        <v>105683</v>
      </c>
      <c r="I68" s="185" t="s">
        <v>1167</v>
      </c>
      <c r="J68" s="185"/>
      <c r="K68" s="183"/>
    </row>
    <row r="69" spans="1:14" x14ac:dyDescent="0.2">
      <c r="A69" s="185" t="s">
        <v>1163</v>
      </c>
      <c r="B69" s="185"/>
      <c r="C69" s="186"/>
      <c r="D69" s="186"/>
      <c r="E69" s="186">
        <f>-144-53.1-31.5</f>
        <v>-228.6</v>
      </c>
      <c r="F69" s="186"/>
      <c r="G69" s="186"/>
      <c r="H69" s="226"/>
      <c r="I69" s="185" t="s">
        <v>1243</v>
      </c>
      <c r="J69" s="185"/>
      <c r="K69" s="183"/>
    </row>
    <row r="70" spans="1:14" x14ac:dyDescent="0.2">
      <c r="A70" s="185" t="s">
        <v>1241</v>
      </c>
      <c r="B70" s="185"/>
      <c r="C70" s="186"/>
      <c r="D70" s="186"/>
      <c r="E70" s="186">
        <v>-13.5</v>
      </c>
      <c r="F70" s="186"/>
      <c r="G70" s="186"/>
      <c r="H70" s="226"/>
      <c r="I70" s="185" t="s">
        <v>1243</v>
      </c>
      <c r="J70" s="185"/>
      <c r="K70" s="183"/>
    </row>
    <row r="71" spans="1:14" x14ac:dyDescent="0.2">
      <c r="A71" s="185" t="s">
        <v>1209</v>
      </c>
      <c r="B71" s="185"/>
      <c r="C71" s="186"/>
      <c r="D71" s="186"/>
      <c r="E71" s="186">
        <v>-42</v>
      </c>
      <c r="F71" s="186"/>
      <c r="G71" s="186"/>
      <c r="H71" s="226">
        <v>105507</v>
      </c>
      <c r="I71" s="185" t="s">
        <v>1210</v>
      </c>
      <c r="J71" s="185"/>
      <c r="K71" s="183" t="s">
        <v>317</v>
      </c>
    </row>
    <row r="72" spans="1:14" x14ac:dyDescent="0.2">
      <c r="A72" s="185" t="s">
        <v>1184</v>
      </c>
      <c r="B72" s="185"/>
      <c r="C72" s="186"/>
      <c r="D72" s="186"/>
      <c r="E72" s="186">
        <v>-3101</v>
      </c>
      <c r="F72" s="186"/>
      <c r="G72" s="186"/>
      <c r="H72" s="226">
        <v>105683</v>
      </c>
      <c r="I72" s="185" t="s">
        <v>1185</v>
      </c>
      <c r="J72" s="185"/>
      <c r="K72" s="183"/>
    </row>
    <row r="73" spans="1:14" x14ac:dyDescent="0.2">
      <c r="A73" s="185" t="s">
        <v>1190</v>
      </c>
      <c r="B73" s="185"/>
      <c r="C73" s="186">
        <f>-2588.67+649</f>
        <v>-1939.67</v>
      </c>
      <c r="D73" s="186">
        <v>-57</v>
      </c>
      <c r="E73" s="186"/>
      <c r="F73" s="186"/>
      <c r="G73" s="186"/>
      <c r="H73" s="226"/>
      <c r="I73" s="185" t="s">
        <v>1192</v>
      </c>
      <c r="J73" s="185"/>
      <c r="K73" s="183"/>
    </row>
    <row r="74" spans="1:14" x14ac:dyDescent="0.2">
      <c r="A74" s="185"/>
      <c r="B74" s="185"/>
      <c r="C74" s="186"/>
      <c r="D74" s="186"/>
      <c r="E74" s="186"/>
      <c r="F74" s="186"/>
      <c r="G74" s="186"/>
      <c r="H74" s="226"/>
      <c r="I74" s="185"/>
      <c r="J74" s="185"/>
      <c r="K74" s="183"/>
    </row>
    <row r="75" spans="1:14" x14ac:dyDescent="0.2">
      <c r="A75" s="185"/>
      <c r="B75" s="185"/>
      <c r="C75" s="186"/>
      <c r="D75" s="186"/>
      <c r="E75" s="186"/>
      <c r="F75" s="186"/>
      <c r="G75" s="186"/>
      <c r="H75" s="226"/>
      <c r="I75" s="185"/>
      <c r="J75" s="185"/>
      <c r="K75" s="183"/>
    </row>
    <row r="76" spans="1:14" x14ac:dyDescent="0.2">
      <c r="A76" s="185"/>
      <c r="B76" s="185"/>
      <c r="C76" s="186"/>
      <c r="D76" s="186"/>
      <c r="E76" s="186"/>
      <c r="F76" s="186"/>
      <c r="G76" s="186"/>
      <c r="H76" s="226"/>
      <c r="I76" s="185"/>
      <c r="J76" s="185"/>
      <c r="K76" s="183"/>
    </row>
    <row r="77" spans="1:14" x14ac:dyDescent="0.2">
      <c r="A77" s="185"/>
      <c r="B77" s="185"/>
      <c r="C77" s="186"/>
      <c r="D77" s="186"/>
      <c r="E77" s="186"/>
      <c r="F77" s="186"/>
      <c r="G77" s="186"/>
      <c r="H77" s="226"/>
      <c r="I77" s="185"/>
      <c r="J77" s="185"/>
      <c r="K77" s="183"/>
    </row>
    <row r="78" spans="1:14" ht="15" x14ac:dyDescent="0.25">
      <c r="A78" s="133" t="s">
        <v>77</v>
      </c>
      <c r="B78" s="59"/>
      <c r="C78" s="184">
        <f>SUM(C28:C77)</f>
        <v>-22999.762500000004</v>
      </c>
      <c r="D78" s="184">
        <f>SUM(D28:D77)</f>
        <v>-4000.0625</v>
      </c>
      <c r="E78" s="184">
        <f>SUM(E28:E77)</f>
        <v>-16482.039999999997</v>
      </c>
      <c r="F78" s="184"/>
      <c r="G78" s="184"/>
      <c r="H78" s="184"/>
      <c r="I78" s="59"/>
      <c r="J78" s="147" t="s">
        <v>395</v>
      </c>
      <c r="K78" s="147"/>
      <c r="L78" s="134"/>
      <c r="M78" s="135"/>
      <c r="N78" s="134"/>
    </row>
    <row r="79" spans="1:14" ht="15" x14ac:dyDescent="0.25">
      <c r="A79" s="136" t="s">
        <v>78</v>
      </c>
      <c r="B79" s="137"/>
      <c r="C79" s="138">
        <v>23000</v>
      </c>
      <c r="D79" s="138">
        <v>4000</v>
      </c>
      <c r="E79" s="138">
        <v>16478</v>
      </c>
      <c r="F79" s="139"/>
      <c r="G79" s="139"/>
      <c r="H79" s="138"/>
      <c r="I79" s="138">
        <f>SUM(C79:H79)</f>
        <v>43478</v>
      </c>
      <c r="J79" s="148">
        <v>6522</v>
      </c>
      <c r="K79" s="148">
        <f>I79+J79</f>
        <v>50000</v>
      </c>
      <c r="L79" s="134"/>
      <c r="M79" s="135"/>
      <c r="N79" s="134"/>
    </row>
    <row r="80" spans="1:14" ht="15.75" thickBot="1" x14ac:dyDescent="0.3">
      <c r="A80" s="140" t="s">
        <v>79</v>
      </c>
      <c r="B80" s="141"/>
      <c r="C80" s="142">
        <f t="shared" ref="C80:E80" si="2">C79+C78</f>
        <v>0.23749999999563443</v>
      </c>
      <c r="D80" s="142">
        <f t="shared" si="2"/>
        <v>-6.25E-2</v>
      </c>
      <c r="E80" s="142">
        <f t="shared" si="2"/>
        <v>-4.0399999999972351</v>
      </c>
      <c r="F80" s="142"/>
      <c r="G80" s="142"/>
      <c r="H80" s="142"/>
      <c r="I80" s="143"/>
      <c r="L80" s="134"/>
      <c r="M80" s="135"/>
      <c r="N80" s="134"/>
    </row>
    <row r="81" spans="1:14" ht="18.75" thickBot="1" x14ac:dyDescent="0.3">
      <c r="A81" s="144" t="s">
        <v>83</v>
      </c>
      <c r="B81" s="145">
        <f>SUM(C80:H80)</f>
        <v>-3.8650000000016007</v>
      </c>
      <c r="C81" s="132"/>
      <c r="D81" s="132"/>
      <c r="E81" s="146"/>
      <c r="F81" s="146"/>
      <c r="G81" s="146"/>
      <c r="H81" s="146"/>
      <c r="I81" s="146"/>
      <c r="L81" s="134"/>
      <c r="M81" s="135"/>
      <c r="N81" s="134"/>
    </row>
    <row r="85" spans="1:14" x14ac:dyDescent="0.2">
      <c r="A85" s="10"/>
      <c r="B85" s="164" t="s">
        <v>574</v>
      </c>
      <c r="C85" s="165"/>
      <c r="D85" s="165"/>
      <c r="E85" s="165">
        <v>0</v>
      </c>
      <c r="F85" s="165"/>
      <c r="G85" s="166"/>
      <c r="H85" s="167"/>
    </row>
    <row r="86" spans="1:14" ht="38.25" x14ac:dyDescent="0.2">
      <c r="A86" s="10"/>
      <c r="B86" s="168" t="s">
        <v>575</v>
      </c>
      <c r="C86" s="168" t="s">
        <v>576</v>
      </c>
      <c r="D86" s="168" t="s">
        <v>577</v>
      </c>
      <c r="E86" s="168" t="s">
        <v>578</v>
      </c>
      <c r="F86" s="168" t="s">
        <v>579</v>
      </c>
      <c r="G86" s="168" t="s">
        <v>580</v>
      </c>
      <c r="H86" s="169" t="s">
        <v>11</v>
      </c>
    </row>
    <row r="87" spans="1:14" x14ac:dyDescent="0.2">
      <c r="A87" s="305" t="s">
        <v>62</v>
      </c>
      <c r="B87" s="169" t="s">
        <v>581</v>
      </c>
      <c r="C87" s="170"/>
      <c r="D87" s="119"/>
      <c r="E87" s="171"/>
      <c r="F87" s="171"/>
      <c r="G87" s="171"/>
      <c r="H87" s="119"/>
    </row>
    <row r="88" spans="1:14" x14ac:dyDescent="0.2">
      <c r="A88" s="305"/>
      <c r="B88" s="169" t="s">
        <v>582</v>
      </c>
      <c r="C88" s="119"/>
      <c r="D88" s="119"/>
      <c r="E88" s="171"/>
      <c r="F88" s="171"/>
      <c r="G88" s="171"/>
      <c r="H88" s="119"/>
    </row>
    <row r="89" spans="1:14" x14ac:dyDescent="0.2">
      <c r="A89" s="305" t="s">
        <v>63</v>
      </c>
      <c r="B89" s="169" t="s">
        <v>581</v>
      </c>
      <c r="C89" s="119"/>
      <c r="D89" s="119"/>
      <c r="E89" s="171"/>
      <c r="F89" s="171"/>
      <c r="G89" s="171"/>
      <c r="H89" s="119"/>
    </row>
    <row r="90" spans="1:14" x14ac:dyDescent="0.2">
      <c r="A90" s="305"/>
      <c r="B90" s="169" t="s">
        <v>582</v>
      </c>
      <c r="C90" s="119"/>
      <c r="D90" s="119"/>
      <c r="E90" s="171"/>
      <c r="F90" s="171"/>
      <c r="G90" s="171"/>
      <c r="H90" s="119"/>
    </row>
    <row r="91" spans="1:14" x14ac:dyDescent="0.2">
      <c r="A91" s="305" t="s">
        <v>64</v>
      </c>
      <c r="B91" s="169" t="s">
        <v>581</v>
      </c>
      <c r="C91" s="119"/>
      <c r="D91" s="119"/>
      <c r="E91" s="171"/>
      <c r="F91" s="171"/>
      <c r="G91" s="171"/>
      <c r="H91" s="119"/>
    </row>
    <row r="92" spans="1:14" x14ac:dyDescent="0.2">
      <c r="A92" s="305"/>
      <c r="B92" s="169" t="s">
        <v>582</v>
      </c>
      <c r="C92" s="119"/>
      <c r="D92" s="119"/>
      <c r="E92" s="171"/>
      <c r="F92" s="171"/>
      <c r="G92" s="171"/>
      <c r="H92" s="119"/>
    </row>
    <row r="93" spans="1:14" x14ac:dyDescent="0.2">
      <c r="A93" s="10"/>
      <c r="B93" s="172" t="s">
        <v>65</v>
      </c>
      <c r="C93" s="172"/>
      <c r="D93" s="172"/>
      <c r="E93" s="173">
        <f>SUM(E87:E92)</f>
        <v>0</v>
      </c>
      <c r="F93" s="174">
        <f>SUM(F87:F92)</f>
        <v>0</v>
      </c>
      <c r="G93" s="174">
        <f>SUM(G87:G92)</f>
        <v>0</v>
      </c>
      <c r="H93" s="175"/>
    </row>
    <row r="94" spans="1:14" x14ac:dyDescent="0.2">
      <c r="A94" s="176"/>
      <c r="B94" s="176"/>
      <c r="C94" s="177"/>
      <c r="D94" s="176"/>
      <c r="E94" s="177"/>
      <c r="F94" s="177"/>
      <c r="G94" s="177"/>
      <c r="H94" s="177"/>
    </row>
    <row r="95" spans="1:14" x14ac:dyDescent="0.2">
      <c r="B95" s="176"/>
      <c r="C95" s="177"/>
      <c r="D95" s="176"/>
      <c r="E95" s="177"/>
      <c r="F95" s="177"/>
      <c r="G95" s="177"/>
      <c r="H95" s="177"/>
    </row>
    <row r="96" spans="1:14" x14ac:dyDescent="0.2">
      <c r="B96" s="176"/>
      <c r="C96" s="177"/>
      <c r="D96" s="176"/>
      <c r="E96" s="177"/>
      <c r="F96" s="177"/>
      <c r="G96" s="177"/>
      <c r="H96" s="177"/>
    </row>
    <row r="97" spans="1:8" x14ac:dyDescent="0.2">
      <c r="A97" s="178" t="s">
        <v>583</v>
      </c>
      <c r="B97" s="178"/>
      <c r="C97" s="178"/>
      <c r="D97" s="176"/>
      <c r="E97" s="179" t="s">
        <v>584</v>
      </c>
      <c r="F97" s="180"/>
      <c r="G97" s="180"/>
      <c r="H97" s="180"/>
    </row>
    <row r="98" spans="1:8" x14ac:dyDescent="0.2">
      <c r="A98" s="169" t="s">
        <v>585</v>
      </c>
      <c r="B98" s="169" t="s">
        <v>586</v>
      </c>
      <c r="C98" s="169" t="s">
        <v>11</v>
      </c>
      <c r="D98" s="176"/>
      <c r="E98" s="181" t="s">
        <v>587</v>
      </c>
      <c r="F98" s="182"/>
      <c r="G98" s="182"/>
      <c r="H98" s="182"/>
    </row>
    <row r="99" spans="1:8" x14ac:dyDescent="0.2">
      <c r="A99" s="175" t="s">
        <v>588</v>
      </c>
      <c r="B99" s="175"/>
      <c r="C99" s="175"/>
      <c r="D99" s="177"/>
      <c r="E99" s="168" t="s">
        <v>395</v>
      </c>
      <c r="F99" s="182"/>
      <c r="G99" s="182"/>
      <c r="H99" s="182"/>
    </row>
    <row r="100" spans="1:8" x14ac:dyDescent="0.2">
      <c r="A100" s="175" t="s">
        <v>589</v>
      </c>
      <c r="B100" s="175"/>
      <c r="C100" s="175"/>
      <c r="D100" s="177"/>
      <c r="E100" s="177"/>
      <c r="F100" s="177"/>
      <c r="G100" s="177"/>
      <c r="H100" s="177"/>
    </row>
  </sheetData>
  <mergeCells count="3">
    <mergeCell ref="A87:A88"/>
    <mergeCell ref="A89:A90"/>
    <mergeCell ref="A91:A92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75"/>
  <sheetViews>
    <sheetView rightToLeft="1" topLeftCell="A14" workbookViewId="0">
      <selection activeCell="E50" activeCellId="19" sqref="E3:E15 E17 E19 E20 E21 E23 E24 E31 E34 E36 E37 E38 E39 E40 E41 E43 E44 E45 E46 E50"/>
    </sheetView>
  </sheetViews>
  <sheetFormatPr defaultRowHeight="14.25" x14ac:dyDescent="0.2"/>
  <cols>
    <col min="2" max="2" width="23" customWidth="1"/>
    <col min="9" max="9" width="31.625" customWidth="1"/>
  </cols>
  <sheetData>
    <row r="2" spans="1:16" x14ac:dyDescent="0.2">
      <c r="A2" s="59" t="s">
        <v>4</v>
      </c>
      <c r="B2" s="59" t="s">
        <v>5</v>
      </c>
      <c r="C2" s="59" t="s">
        <v>82</v>
      </c>
      <c r="D2" s="59" t="s">
        <v>47</v>
      </c>
      <c r="E2" s="59" t="s">
        <v>393</v>
      </c>
      <c r="F2" s="59"/>
      <c r="G2" s="59"/>
      <c r="H2" s="59" t="s">
        <v>16</v>
      </c>
      <c r="I2" s="59" t="s">
        <v>51</v>
      </c>
      <c r="J2" s="59" t="s">
        <v>660</v>
      </c>
    </row>
    <row r="3" spans="1:16" x14ac:dyDescent="0.2">
      <c r="A3" s="119" t="s">
        <v>676</v>
      </c>
      <c r="B3" s="119"/>
      <c r="C3" s="218"/>
      <c r="D3" s="218"/>
      <c r="E3" s="292">
        <v>-58</v>
      </c>
      <c r="F3" s="218"/>
      <c r="G3" s="218"/>
      <c r="H3" s="227">
        <v>17779</v>
      </c>
      <c r="I3" s="119" t="s">
        <v>743</v>
      </c>
      <c r="J3" s="119"/>
      <c r="K3" t="s">
        <v>317</v>
      </c>
    </row>
    <row r="4" spans="1:16" x14ac:dyDescent="0.2">
      <c r="A4" s="119" t="s">
        <v>744</v>
      </c>
      <c r="B4" s="119"/>
      <c r="C4" s="218"/>
      <c r="D4" s="218"/>
      <c r="E4" s="292">
        <v>-58</v>
      </c>
      <c r="F4" s="218"/>
      <c r="G4" s="218"/>
      <c r="H4" s="227">
        <v>17779</v>
      </c>
      <c r="I4" s="119" t="s">
        <v>745</v>
      </c>
      <c r="J4" s="119"/>
      <c r="K4" t="s">
        <v>317</v>
      </c>
    </row>
    <row r="5" spans="1:16" x14ac:dyDescent="0.2">
      <c r="A5" s="119" t="s">
        <v>719</v>
      </c>
      <c r="B5" s="119"/>
      <c r="C5" s="218"/>
      <c r="D5" s="218"/>
      <c r="E5" s="292">
        <v>-927.81</v>
      </c>
      <c r="F5" s="218"/>
      <c r="G5" s="218"/>
      <c r="H5" s="227">
        <v>17833</v>
      </c>
      <c r="I5" s="119" t="s">
        <v>720</v>
      </c>
      <c r="J5" s="185"/>
      <c r="K5" s="183"/>
    </row>
    <row r="6" spans="1:16" x14ac:dyDescent="0.2">
      <c r="A6" s="185" t="s">
        <v>727</v>
      </c>
      <c r="B6" s="185"/>
      <c r="C6" s="186"/>
      <c r="D6" s="186"/>
      <c r="E6" s="295">
        <v>-774</v>
      </c>
      <c r="F6" s="186"/>
      <c r="G6" s="186"/>
      <c r="H6" s="226">
        <v>66183215</v>
      </c>
      <c r="I6" s="185" t="s">
        <v>782</v>
      </c>
      <c r="J6" s="185"/>
      <c r="K6" s="183"/>
    </row>
    <row r="7" spans="1:16" x14ac:dyDescent="0.2">
      <c r="A7" s="185" t="s">
        <v>749</v>
      </c>
      <c r="B7" s="185"/>
      <c r="C7" s="186">
        <f>-((33*38)*1.25+(600*1.29*1.25)+(25.8*1.25))</f>
        <v>-2567.25</v>
      </c>
      <c r="D7" s="186"/>
      <c r="E7" s="186"/>
      <c r="F7" s="186"/>
      <c r="G7" s="186"/>
      <c r="H7" s="226"/>
      <c r="I7" s="185" t="s">
        <v>755</v>
      </c>
      <c r="J7" s="185"/>
      <c r="K7" s="183"/>
      <c r="M7" s="100">
        <f>C7+C13+C18+C22+C27+C29+C30+C32</f>
        <v>-16764.852500000001</v>
      </c>
      <c r="N7" t="s">
        <v>1249</v>
      </c>
      <c r="P7">
        <f>2095.03+472.2</f>
        <v>2567.23</v>
      </c>
    </row>
    <row r="8" spans="1:16" x14ac:dyDescent="0.2">
      <c r="A8" s="185" t="s">
        <v>757</v>
      </c>
      <c r="B8" s="185"/>
      <c r="C8" s="186"/>
      <c r="D8" s="186"/>
      <c r="E8" s="295">
        <v>-460</v>
      </c>
      <c r="F8" s="186"/>
      <c r="G8" s="186"/>
      <c r="H8" s="226">
        <v>85021</v>
      </c>
      <c r="I8" s="185" t="s">
        <v>821</v>
      </c>
      <c r="J8" s="185"/>
      <c r="K8" s="183"/>
    </row>
    <row r="9" spans="1:16" x14ac:dyDescent="0.2">
      <c r="A9" s="185" t="s">
        <v>776</v>
      </c>
      <c r="B9" s="185"/>
      <c r="C9" s="186"/>
      <c r="D9" s="186"/>
      <c r="E9" s="295">
        <v>-58</v>
      </c>
      <c r="F9" s="186"/>
      <c r="G9" s="186"/>
      <c r="H9" s="226">
        <v>91045</v>
      </c>
      <c r="I9" s="185" t="s">
        <v>802</v>
      </c>
      <c r="J9" s="185"/>
      <c r="K9" s="183"/>
    </row>
    <row r="10" spans="1:16" x14ac:dyDescent="0.2">
      <c r="A10" s="185" t="s">
        <v>767</v>
      </c>
      <c r="B10" s="185"/>
      <c r="C10" s="186"/>
      <c r="D10" s="186"/>
      <c r="E10" s="295">
        <v>-12</v>
      </c>
      <c r="F10" s="186"/>
      <c r="G10" s="186"/>
      <c r="H10" s="226">
        <v>91045</v>
      </c>
      <c r="I10" s="185" t="s">
        <v>803</v>
      </c>
      <c r="J10" s="185"/>
      <c r="K10" s="183"/>
    </row>
    <row r="11" spans="1:16" x14ac:dyDescent="0.2">
      <c r="A11" s="185" t="s">
        <v>783</v>
      </c>
      <c r="B11" s="185"/>
      <c r="C11" s="186"/>
      <c r="D11" s="186"/>
      <c r="E11" s="295">
        <v>-568</v>
      </c>
      <c r="F11" s="186"/>
      <c r="G11" s="186"/>
      <c r="H11" s="226">
        <v>66183215</v>
      </c>
      <c r="I11" s="185" t="s">
        <v>784</v>
      </c>
      <c r="J11" s="185"/>
      <c r="K11" s="183"/>
    </row>
    <row r="12" spans="1:16" x14ac:dyDescent="0.2">
      <c r="A12" s="185" t="s">
        <v>225</v>
      </c>
      <c r="B12" s="185"/>
      <c r="C12" s="186"/>
      <c r="D12" s="186"/>
      <c r="E12" s="295">
        <v>-227.9</v>
      </c>
      <c r="F12" s="186"/>
      <c r="G12" s="186"/>
      <c r="H12" s="226">
        <v>91045</v>
      </c>
      <c r="I12" s="185" t="s">
        <v>804</v>
      </c>
      <c r="J12" s="185"/>
      <c r="K12" s="183"/>
    </row>
    <row r="13" spans="1:16" x14ac:dyDescent="0.2">
      <c r="A13" s="185" t="s">
        <v>810</v>
      </c>
      <c r="B13" s="185"/>
      <c r="C13" s="186">
        <f>-1857.75-D13</f>
        <v>-1567.5</v>
      </c>
      <c r="D13" s="186">
        <f>-180*1.25*1.29</f>
        <v>-290.25</v>
      </c>
      <c r="E13" s="186"/>
      <c r="F13" s="186"/>
      <c r="G13" s="186"/>
      <c r="H13" s="226"/>
      <c r="I13" s="185" t="s">
        <v>811</v>
      </c>
      <c r="J13" s="185"/>
      <c r="K13" s="183"/>
      <c r="P13">
        <f>1498.31+359.44-290</f>
        <v>1567.75</v>
      </c>
    </row>
    <row r="14" spans="1:16" x14ac:dyDescent="0.2">
      <c r="A14" s="185" t="s">
        <v>836</v>
      </c>
      <c r="B14" s="185"/>
      <c r="C14" s="186"/>
      <c r="D14" s="186"/>
      <c r="E14" s="295">
        <v>-229.61</v>
      </c>
      <c r="F14" s="186"/>
      <c r="G14" s="186"/>
      <c r="H14" s="226">
        <v>84387</v>
      </c>
      <c r="I14" s="185" t="s">
        <v>837</v>
      </c>
      <c r="J14" s="185"/>
      <c r="K14" s="183"/>
    </row>
    <row r="15" spans="1:16" x14ac:dyDescent="0.2">
      <c r="A15" s="185" t="s">
        <v>838</v>
      </c>
      <c r="B15" s="185"/>
      <c r="C15" s="186"/>
      <c r="D15" s="186"/>
      <c r="E15" s="295">
        <v>-252.77</v>
      </c>
      <c r="F15" s="186"/>
      <c r="G15" s="186"/>
      <c r="H15" s="226">
        <v>84387</v>
      </c>
      <c r="I15" s="185" t="s">
        <v>839</v>
      </c>
      <c r="J15" s="185"/>
      <c r="K15" s="183"/>
    </row>
    <row r="16" spans="1:16" x14ac:dyDescent="0.2">
      <c r="A16" s="185" t="s">
        <v>848</v>
      </c>
      <c r="B16" s="185"/>
      <c r="C16" s="186"/>
      <c r="D16" s="186"/>
      <c r="E16" s="295">
        <v>-4268.1499999999996</v>
      </c>
      <c r="F16" s="186"/>
      <c r="G16" s="186"/>
      <c r="H16" s="226">
        <v>103252</v>
      </c>
      <c r="I16" s="185" t="s">
        <v>857</v>
      </c>
      <c r="J16" s="185"/>
      <c r="K16" s="183"/>
    </row>
    <row r="17" spans="1:16" x14ac:dyDescent="0.2">
      <c r="A17" s="185" t="s">
        <v>856</v>
      </c>
      <c r="B17" s="185"/>
      <c r="C17" s="186"/>
      <c r="D17" s="186"/>
      <c r="E17" s="295">
        <v>-83</v>
      </c>
      <c r="F17" s="186"/>
      <c r="G17" s="186"/>
      <c r="H17" s="226">
        <v>23159</v>
      </c>
      <c r="I17" s="185" t="s">
        <v>1007</v>
      </c>
      <c r="J17" s="185"/>
      <c r="K17" s="183"/>
    </row>
    <row r="18" spans="1:16" x14ac:dyDescent="0.2">
      <c r="A18" s="185" t="s">
        <v>868</v>
      </c>
      <c r="B18" s="185"/>
      <c r="C18" s="276">
        <f>-((7.5+8.2)*38*1.25)</f>
        <v>-745.75</v>
      </c>
      <c r="D18" s="186"/>
      <c r="E18" s="186"/>
      <c r="F18" s="186"/>
      <c r="G18" s="186"/>
      <c r="H18" s="226"/>
      <c r="I18" s="185" t="s">
        <v>869</v>
      </c>
      <c r="J18" s="185"/>
      <c r="K18" s="183"/>
      <c r="P18">
        <f>606.49+139.26</f>
        <v>745.75</v>
      </c>
    </row>
    <row r="19" spans="1:16" x14ac:dyDescent="0.2">
      <c r="A19" s="185" t="s">
        <v>883</v>
      </c>
      <c r="B19" s="185"/>
      <c r="C19" s="186"/>
      <c r="D19" s="186"/>
      <c r="E19" s="295">
        <v>-117</v>
      </c>
      <c r="F19" s="186"/>
      <c r="G19" s="186"/>
      <c r="H19" s="226">
        <v>103143</v>
      </c>
      <c r="I19" s="185" t="s">
        <v>885</v>
      </c>
      <c r="J19" s="185"/>
      <c r="K19" s="183" t="s">
        <v>852</v>
      </c>
    </row>
    <row r="20" spans="1:16" x14ac:dyDescent="0.2">
      <c r="A20" s="185" t="s">
        <v>883</v>
      </c>
      <c r="B20" s="185"/>
      <c r="C20" s="186"/>
      <c r="D20" s="186"/>
      <c r="E20" s="295">
        <v>-80</v>
      </c>
      <c r="F20" s="186"/>
      <c r="G20" s="186"/>
      <c r="H20" s="226">
        <v>103143</v>
      </c>
      <c r="I20" s="185" t="s">
        <v>886</v>
      </c>
      <c r="J20" s="185"/>
      <c r="K20" s="183" t="s">
        <v>852</v>
      </c>
    </row>
    <row r="21" spans="1:16" x14ac:dyDescent="0.2">
      <c r="A21" s="185" t="s">
        <v>883</v>
      </c>
      <c r="B21" s="185"/>
      <c r="C21" s="186"/>
      <c r="D21" s="186"/>
      <c r="E21" s="295">
        <v>-102.5</v>
      </c>
      <c r="F21" s="186"/>
      <c r="G21" s="186"/>
      <c r="H21" s="226">
        <v>103143</v>
      </c>
      <c r="I21" s="185" t="s">
        <v>887</v>
      </c>
      <c r="J21" s="185"/>
      <c r="K21" s="183" t="s">
        <v>852</v>
      </c>
    </row>
    <row r="22" spans="1:16" x14ac:dyDescent="0.2">
      <c r="A22" s="185" t="s">
        <v>940</v>
      </c>
      <c r="B22" s="185"/>
      <c r="C22" s="276">
        <f>-(360*1.25*1.29)-(34.78*1.25*38)</f>
        <v>-2232.5500000000002</v>
      </c>
      <c r="D22" s="186"/>
      <c r="E22" s="186"/>
      <c r="F22" s="186"/>
      <c r="G22" s="186"/>
      <c r="H22" s="226"/>
      <c r="I22" s="185" t="s">
        <v>941</v>
      </c>
      <c r="J22" s="185"/>
      <c r="K22" s="183"/>
      <c r="P22">
        <f>1826.1+406.45</f>
        <v>2232.5499999999997</v>
      </c>
    </row>
    <row r="23" spans="1:16" x14ac:dyDescent="0.2">
      <c r="A23" s="185" t="s">
        <v>940</v>
      </c>
      <c r="B23" s="185"/>
      <c r="C23" s="186"/>
      <c r="D23" s="186"/>
      <c r="E23" s="295">
        <v>-116.4</v>
      </c>
      <c r="F23" s="186"/>
      <c r="G23" s="186"/>
      <c r="H23" s="226">
        <v>35271</v>
      </c>
      <c r="I23" s="185" t="s">
        <v>1037</v>
      </c>
      <c r="J23" s="185"/>
      <c r="K23" s="183"/>
    </row>
    <row r="24" spans="1:16" x14ac:dyDescent="0.2">
      <c r="A24" s="185" t="s">
        <v>982</v>
      </c>
      <c r="B24" s="185"/>
      <c r="C24" s="186"/>
      <c r="D24" s="186"/>
      <c r="E24" s="295">
        <v>-266</v>
      </c>
      <c r="F24" s="186"/>
      <c r="G24" s="186"/>
      <c r="H24" s="226">
        <v>23159</v>
      </c>
      <c r="I24" s="185" t="s">
        <v>983</v>
      </c>
      <c r="J24" s="185"/>
      <c r="K24" s="183"/>
    </row>
    <row r="25" spans="1:16" x14ac:dyDescent="0.2">
      <c r="A25" s="185" t="s">
        <v>953</v>
      </c>
      <c r="B25" s="185"/>
      <c r="C25" s="186"/>
      <c r="D25" s="276">
        <v>-18</v>
      </c>
      <c r="E25" s="186"/>
      <c r="F25" s="186"/>
      <c r="G25" s="186"/>
      <c r="H25" s="226">
        <v>23118</v>
      </c>
      <c r="I25" s="185" t="s">
        <v>954</v>
      </c>
      <c r="J25" s="185"/>
      <c r="K25" s="183" t="s">
        <v>317</v>
      </c>
    </row>
    <row r="26" spans="1:16" x14ac:dyDescent="0.2">
      <c r="A26" s="185" t="s">
        <v>953</v>
      </c>
      <c r="B26" s="185"/>
      <c r="C26" s="186"/>
      <c r="D26" s="276">
        <v>-47</v>
      </c>
      <c r="E26" s="186"/>
      <c r="F26" s="186"/>
      <c r="G26" s="186"/>
      <c r="H26" s="226">
        <v>23118</v>
      </c>
      <c r="I26" s="185" t="s">
        <v>955</v>
      </c>
      <c r="J26" s="185"/>
      <c r="K26" s="183"/>
    </row>
    <row r="27" spans="1:16" x14ac:dyDescent="0.2">
      <c r="A27" s="185" t="s">
        <v>987</v>
      </c>
      <c r="B27" s="185"/>
      <c r="C27" s="276">
        <f>-(34.43*38*1.25)</f>
        <v>-1635.425</v>
      </c>
      <c r="D27" s="276">
        <f>-250*1.25*1.29</f>
        <v>-403.125</v>
      </c>
      <c r="E27" s="186"/>
      <c r="F27" s="186"/>
      <c r="G27" s="186"/>
      <c r="H27" s="226"/>
      <c r="I27" s="185" t="s">
        <v>988</v>
      </c>
      <c r="J27" s="185"/>
      <c r="K27" s="183"/>
      <c r="P27">
        <f>1656.46+382.09-403</f>
        <v>1635.55</v>
      </c>
    </row>
    <row r="28" spans="1:16" x14ac:dyDescent="0.2">
      <c r="A28" s="301" t="s">
        <v>999</v>
      </c>
      <c r="B28" s="301"/>
      <c r="C28" s="297"/>
      <c r="D28" s="297"/>
      <c r="E28" s="297"/>
      <c r="F28" s="297"/>
      <c r="G28" s="297"/>
      <c r="H28" s="302"/>
      <c r="I28" s="301" t="s">
        <v>1251</v>
      </c>
      <c r="J28" s="301"/>
      <c r="K28" s="303" t="s">
        <v>1253</v>
      </c>
      <c r="L28" s="298"/>
    </row>
    <row r="29" spans="1:16" x14ac:dyDescent="0.2">
      <c r="A29" s="185" t="s">
        <v>1030</v>
      </c>
      <c r="B29" s="185"/>
      <c r="C29" s="276">
        <f>-(8+8.22+8+8.85)*38*1.25</f>
        <v>-1570.825</v>
      </c>
      <c r="D29" s="276">
        <f>-(380*1.29*1.25)-((12+3.5)*2.58*1.25)</f>
        <v>-662.73749999999995</v>
      </c>
      <c r="E29" s="186"/>
      <c r="F29" s="186"/>
      <c r="G29" s="186"/>
      <c r="H29" s="226"/>
      <c r="I29" s="185" t="s">
        <v>1036</v>
      </c>
      <c r="J29" s="185"/>
      <c r="K29" s="183"/>
      <c r="P29">
        <f>1829.71+403.85-663</f>
        <v>1570.56</v>
      </c>
    </row>
    <row r="30" spans="1:16" x14ac:dyDescent="0.2">
      <c r="A30" s="185" t="s">
        <v>1076</v>
      </c>
      <c r="B30" s="185"/>
      <c r="C30" s="276">
        <f>-(8.62+4.95+8.18+8.82+8.38+7.97+9.05+6.75)*38*1.25</f>
        <v>-2979.2000000000003</v>
      </c>
      <c r="D30" s="276">
        <f>-(370*1.29*1.25)-(3.5*2.58*1.25)</f>
        <v>-607.91250000000002</v>
      </c>
      <c r="E30" s="186"/>
      <c r="F30" s="186"/>
      <c r="G30" s="186"/>
      <c r="H30" s="226"/>
      <c r="I30" s="185" t="s">
        <v>1077</v>
      </c>
      <c r="J30" s="185"/>
      <c r="K30" s="183"/>
      <c r="P30">
        <f>2932.2+654.92-608</f>
        <v>2979.12</v>
      </c>
    </row>
    <row r="31" spans="1:16" x14ac:dyDescent="0.2">
      <c r="A31" s="185" t="s">
        <v>1087</v>
      </c>
      <c r="B31" s="185"/>
      <c r="C31" s="186"/>
      <c r="D31" s="186"/>
      <c r="E31" s="295">
        <v>-222.3</v>
      </c>
      <c r="F31" s="186"/>
      <c r="G31" s="186"/>
      <c r="H31" s="226">
        <v>96027</v>
      </c>
      <c r="I31" s="185" t="s">
        <v>1116</v>
      </c>
      <c r="J31" s="185"/>
      <c r="K31" s="183"/>
    </row>
    <row r="32" spans="1:16" x14ac:dyDescent="0.2">
      <c r="A32" s="185" t="s">
        <v>1117</v>
      </c>
      <c r="B32" s="185"/>
      <c r="C32" s="276">
        <f>-4477.39-D32</f>
        <v>-3466.3525</v>
      </c>
      <c r="D32" s="276">
        <f>-(620*1.29*1.25)-(3.5*2.58*1.25)</f>
        <v>-1011.0375000000001</v>
      </c>
      <c r="E32" s="186"/>
      <c r="F32" s="186"/>
      <c r="G32" s="186"/>
      <c r="H32" s="226"/>
      <c r="I32" s="185" t="s">
        <v>1120</v>
      </c>
      <c r="J32" s="185"/>
      <c r="K32" s="183"/>
      <c r="P32">
        <f>3658.03+819.36-1011</f>
        <v>3466.3900000000003</v>
      </c>
    </row>
    <row r="33" spans="1:18" x14ac:dyDescent="0.2">
      <c r="A33" s="185" t="s">
        <v>1117</v>
      </c>
      <c r="B33" s="185"/>
      <c r="C33" s="276">
        <f>-2201.84-D33</f>
        <v>-1298.8400000000001</v>
      </c>
      <c r="D33" s="276">
        <f>-560*1.29*1.25</f>
        <v>-903</v>
      </c>
      <c r="E33" s="186"/>
      <c r="F33" s="186"/>
      <c r="G33" s="186"/>
      <c r="H33" s="226"/>
      <c r="I33" s="185" t="s">
        <v>1121</v>
      </c>
      <c r="J33" s="185"/>
      <c r="K33" s="183"/>
      <c r="P33">
        <f>1982.4+219.44-903</f>
        <v>1298.8400000000001</v>
      </c>
    </row>
    <row r="34" spans="1:18" x14ac:dyDescent="0.2">
      <c r="A34" s="185" t="s">
        <v>1148</v>
      </c>
      <c r="B34" s="185"/>
      <c r="C34" s="285"/>
      <c r="D34" s="285"/>
      <c r="E34" s="295">
        <v>-59.9</v>
      </c>
      <c r="F34" s="186"/>
      <c r="G34" s="186"/>
      <c r="H34" s="226">
        <v>95919</v>
      </c>
      <c r="I34" s="185" t="s">
        <v>1149</v>
      </c>
      <c r="J34" s="185"/>
      <c r="K34" s="183" t="s">
        <v>317</v>
      </c>
    </row>
    <row r="35" spans="1:18" x14ac:dyDescent="0.2">
      <c r="A35" s="185" t="s">
        <v>1134</v>
      </c>
      <c r="B35" s="185"/>
      <c r="C35" s="186"/>
      <c r="D35" s="186"/>
      <c r="E35" s="295">
        <v>-1668</v>
      </c>
      <c r="F35" s="186"/>
      <c r="G35" s="186"/>
      <c r="H35" s="226">
        <v>96027</v>
      </c>
      <c r="I35" s="185" t="s">
        <v>1135</v>
      </c>
      <c r="J35" s="185"/>
      <c r="K35" s="183"/>
    </row>
    <row r="36" spans="1:18" x14ac:dyDescent="0.2">
      <c r="A36" s="185" t="s">
        <v>1130</v>
      </c>
      <c r="B36" s="185"/>
      <c r="C36" s="186"/>
      <c r="D36" s="186"/>
      <c r="E36" s="295">
        <v>-865</v>
      </c>
      <c r="F36" s="186"/>
      <c r="G36" s="186"/>
      <c r="H36" s="226">
        <v>96027</v>
      </c>
      <c r="I36" s="185" t="s">
        <v>1131</v>
      </c>
      <c r="J36" s="185"/>
      <c r="K36" s="183"/>
    </row>
    <row r="37" spans="1:18" x14ac:dyDescent="0.2">
      <c r="A37" s="185" t="s">
        <v>1130</v>
      </c>
      <c r="B37" s="185"/>
      <c r="C37" s="186"/>
      <c r="D37" s="186"/>
      <c r="E37" s="295">
        <v>-96</v>
      </c>
      <c r="F37" s="186"/>
      <c r="G37" s="186"/>
      <c r="H37" s="226">
        <v>96027</v>
      </c>
      <c r="I37" s="185" t="s">
        <v>1139</v>
      </c>
      <c r="J37" s="185"/>
      <c r="K37" s="183"/>
    </row>
    <row r="38" spans="1:18" x14ac:dyDescent="0.2">
      <c r="A38" s="185" t="s">
        <v>1144</v>
      </c>
      <c r="B38" s="185"/>
      <c r="C38" s="186"/>
      <c r="D38" s="186"/>
      <c r="E38" s="295">
        <v>-84.5</v>
      </c>
      <c r="F38" s="186"/>
      <c r="G38" s="186"/>
      <c r="H38" s="226">
        <v>95919</v>
      </c>
      <c r="I38" s="185" t="s">
        <v>1150</v>
      </c>
      <c r="J38" s="185"/>
      <c r="K38" s="183" t="s">
        <v>317</v>
      </c>
    </row>
    <row r="39" spans="1:18" x14ac:dyDescent="0.2">
      <c r="A39" s="185" t="s">
        <v>1147</v>
      </c>
      <c r="B39" s="185"/>
      <c r="C39" s="186"/>
      <c r="D39" s="186"/>
      <c r="E39" s="295">
        <v>-173.4</v>
      </c>
      <c r="F39" s="186"/>
      <c r="G39" s="186"/>
      <c r="H39" s="226">
        <v>95919</v>
      </c>
      <c r="I39" s="185" t="s">
        <v>1151</v>
      </c>
      <c r="J39" s="185"/>
      <c r="K39" s="183" t="s">
        <v>317</v>
      </c>
      <c r="R39">
        <f>18+47</f>
        <v>65</v>
      </c>
    </row>
    <row r="40" spans="1:18" x14ac:dyDescent="0.2">
      <c r="A40" s="185" t="s">
        <v>1239</v>
      </c>
      <c r="B40" s="185"/>
      <c r="C40" s="186"/>
      <c r="D40" s="186"/>
      <c r="E40" s="186">
        <f>-28.8-29</f>
        <v>-57.8</v>
      </c>
      <c r="F40" s="186"/>
      <c r="G40" s="186"/>
      <c r="H40" s="226"/>
      <c r="I40" s="185" t="s">
        <v>1243</v>
      </c>
      <c r="J40" s="185"/>
      <c r="K40" s="183"/>
    </row>
    <row r="41" spans="1:18" x14ac:dyDescent="0.2">
      <c r="A41" s="185" t="s">
        <v>1240</v>
      </c>
      <c r="B41" s="185"/>
      <c r="C41" s="186"/>
      <c r="D41" s="186"/>
      <c r="E41" s="186">
        <v>-9</v>
      </c>
      <c r="F41" s="186"/>
      <c r="G41" s="186"/>
      <c r="H41" s="226"/>
      <c r="I41" s="185" t="s">
        <v>695</v>
      </c>
      <c r="J41" s="185"/>
      <c r="K41" s="183"/>
    </row>
    <row r="42" spans="1:18" x14ac:dyDescent="0.2">
      <c r="A42" s="185" t="s">
        <v>1154</v>
      </c>
      <c r="B42" s="185"/>
      <c r="C42" s="186">
        <f>-(328*1.29*1.25)-(54.5*40*1.25)+257.5</f>
        <v>-2996.4</v>
      </c>
      <c r="D42" s="186"/>
      <c r="E42" s="186"/>
      <c r="F42" s="186"/>
      <c r="G42" s="186"/>
      <c r="H42" s="226"/>
      <c r="I42" s="185" t="s">
        <v>1155</v>
      </c>
      <c r="J42" s="185"/>
      <c r="K42" s="183"/>
      <c r="P42">
        <f>2702.64+293.77</f>
        <v>2996.41</v>
      </c>
    </row>
    <row r="43" spans="1:18" x14ac:dyDescent="0.2">
      <c r="A43" s="185" t="s">
        <v>1154</v>
      </c>
      <c r="B43" s="185"/>
      <c r="C43" s="186"/>
      <c r="D43" s="186"/>
      <c r="E43" s="295">
        <v>-359</v>
      </c>
      <c r="F43" s="186"/>
      <c r="G43" s="186"/>
      <c r="H43" s="226">
        <v>105683</v>
      </c>
      <c r="I43" s="185" t="s">
        <v>1167</v>
      </c>
      <c r="J43" s="185"/>
      <c r="K43" s="183"/>
    </row>
    <row r="44" spans="1:18" x14ac:dyDescent="0.2">
      <c r="A44" s="185" t="s">
        <v>1163</v>
      </c>
      <c r="B44" s="185"/>
      <c r="C44" s="186"/>
      <c r="D44" s="186"/>
      <c r="E44" s="186">
        <f>-144-53.1-31.5</f>
        <v>-228.6</v>
      </c>
      <c r="F44" s="186"/>
      <c r="G44" s="186"/>
      <c r="H44" s="226"/>
      <c r="I44" s="185" t="s">
        <v>1243</v>
      </c>
      <c r="J44" s="185"/>
      <c r="K44" s="183"/>
    </row>
    <row r="45" spans="1:18" x14ac:dyDescent="0.2">
      <c r="A45" s="185" t="s">
        <v>1241</v>
      </c>
      <c r="B45" s="185"/>
      <c r="C45" s="186"/>
      <c r="D45" s="186"/>
      <c r="E45" s="186">
        <v>-13.5</v>
      </c>
      <c r="F45" s="186"/>
      <c r="G45" s="186"/>
      <c r="H45" s="226"/>
      <c r="I45" s="185" t="s">
        <v>695</v>
      </c>
      <c r="J45" s="185"/>
      <c r="K45" s="183"/>
    </row>
    <row r="46" spans="1:18" x14ac:dyDescent="0.2">
      <c r="A46" s="185" t="s">
        <v>1209</v>
      </c>
      <c r="B46" s="185"/>
      <c r="C46" s="186"/>
      <c r="D46" s="186"/>
      <c r="E46" s="295">
        <v>-42</v>
      </c>
      <c r="F46" s="186"/>
      <c r="G46" s="186"/>
      <c r="H46" s="226">
        <v>105507</v>
      </c>
      <c r="I46" s="185" t="s">
        <v>1210</v>
      </c>
      <c r="J46" s="185"/>
      <c r="K46" s="183" t="s">
        <v>317</v>
      </c>
    </row>
    <row r="47" spans="1:18" x14ac:dyDescent="0.2">
      <c r="A47" s="185" t="s">
        <v>1184</v>
      </c>
      <c r="B47" s="185"/>
      <c r="C47" s="186"/>
      <c r="D47" s="186"/>
      <c r="E47" s="295">
        <v>-3101</v>
      </c>
      <c r="F47" s="186"/>
      <c r="G47" s="186"/>
      <c r="H47" s="226">
        <v>105683</v>
      </c>
      <c r="I47" s="185" t="s">
        <v>1185</v>
      </c>
      <c r="J47" s="185"/>
      <c r="K47" s="183"/>
    </row>
    <row r="48" spans="1:18" x14ac:dyDescent="0.2">
      <c r="A48" s="185" t="s">
        <v>1190</v>
      </c>
      <c r="B48" s="185"/>
      <c r="C48" s="186">
        <f>-2588.67+649</f>
        <v>-1939.67</v>
      </c>
      <c r="D48" s="186">
        <v>-57</v>
      </c>
      <c r="E48" s="186"/>
      <c r="F48" s="186"/>
      <c r="G48" s="186"/>
      <c r="H48" s="226"/>
      <c r="I48" s="185" t="s">
        <v>1192</v>
      </c>
      <c r="J48" s="185"/>
      <c r="K48" s="183"/>
      <c r="P48">
        <f>1619.73+377.27-57</f>
        <v>1940</v>
      </c>
    </row>
    <row r="49" spans="1:14" x14ac:dyDescent="0.2">
      <c r="A49" s="185"/>
      <c r="B49" s="185"/>
      <c r="C49" s="186"/>
      <c r="D49" s="186"/>
      <c r="E49" s="186"/>
      <c r="F49" s="186"/>
      <c r="G49" s="186"/>
      <c r="H49" s="226"/>
      <c r="I49" s="185"/>
      <c r="J49" s="185"/>
      <c r="K49" s="183"/>
    </row>
    <row r="50" spans="1:14" x14ac:dyDescent="0.2">
      <c r="A50" s="185"/>
      <c r="B50" s="185"/>
      <c r="C50" s="186"/>
      <c r="D50" s="186"/>
      <c r="E50" s="295">
        <v>-968</v>
      </c>
      <c r="F50" s="186"/>
      <c r="G50" s="186"/>
      <c r="H50" s="226"/>
      <c r="I50" s="185" t="s">
        <v>1252</v>
      </c>
      <c r="J50" s="185"/>
      <c r="K50" s="183" t="s">
        <v>1254</v>
      </c>
    </row>
    <row r="51" spans="1:14" x14ac:dyDescent="0.2">
      <c r="A51" s="185"/>
      <c r="B51" s="185"/>
      <c r="C51" s="186"/>
      <c r="D51" s="186"/>
      <c r="E51" s="186"/>
      <c r="F51" s="186"/>
      <c r="G51" s="186"/>
      <c r="H51" s="226"/>
      <c r="I51" s="185"/>
      <c r="J51" s="185"/>
      <c r="K51" s="183"/>
    </row>
    <row r="52" spans="1:14" x14ac:dyDescent="0.2">
      <c r="A52" s="185"/>
      <c r="B52" s="185"/>
      <c r="C52" s="186"/>
      <c r="D52" s="186"/>
      <c r="E52" s="186"/>
      <c r="F52" s="186"/>
      <c r="G52" s="186"/>
      <c r="H52" s="226"/>
      <c r="I52" s="185"/>
      <c r="J52" s="185"/>
      <c r="K52" s="183"/>
    </row>
    <row r="53" spans="1:14" ht="15" x14ac:dyDescent="0.25">
      <c r="A53" s="133" t="s">
        <v>77</v>
      </c>
      <c r="B53" s="59"/>
      <c r="C53" s="184">
        <f>SUM(C3:C52)</f>
        <v>-22999.762500000004</v>
      </c>
      <c r="D53" s="184">
        <f>SUM(D3:D52)</f>
        <v>-4000.0625</v>
      </c>
      <c r="E53" s="184">
        <f>SUM(E3:E52)</f>
        <v>-16607.14</v>
      </c>
      <c r="F53" s="184"/>
      <c r="G53" s="184"/>
      <c r="H53" s="184"/>
      <c r="I53" s="59"/>
      <c r="J53" s="147" t="s">
        <v>395</v>
      </c>
      <c r="K53" s="147"/>
      <c r="L53" s="134"/>
      <c r="M53" s="135"/>
      <c r="N53" s="134"/>
    </row>
    <row r="54" spans="1:14" ht="15" x14ac:dyDescent="0.25">
      <c r="A54" s="136" t="s">
        <v>78</v>
      </c>
      <c r="B54" s="137"/>
      <c r="C54" s="138">
        <v>23000</v>
      </c>
      <c r="D54" s="138">
        <v>4000</v>
      </c>
      <c r="E54" s="138">
        <v>16478</v>
      </c>
      <c r="F54" s="139"/>
      <c r="G54" s="139"/>
      <c r="H54" s="138"/>
      <c r="I54" s="138">
        <f>SUM(C54:H54)</f>
        <v>43478</v>
      </c>
      <c r="J54" s="148">
        <v>6522</v>
      </c>
      <c r="K54" s="148">
        <f>I54+J54</f>
        <v>50000</v>
      </c>
      <c r="L54" s="134"/>
      <c r="M54" s="135"/>
      <c r="N54" s="134"/>
    </row>
    <row r="55" spans="1:14" ht="15.75" thickBot="1" x14ac:dyDescent="0.3">
      <c r="A55" s="140" t="s">
        <v>79</v>
      </c>
      <c r="B55" s="141"/>
      <c r="C55" s="142">
        <f t="shared" ref="C55:E55" si="0">C54+C53</f>
        <v>0.23749999999563443</v>
      </c>
      <c r="D55" s="142">
        <f t="shared" si="0"/>
        <v>-6.25E-2</v>
      </c>
      <c r="E55" s="142">
        <f t="shared" si="0"/>
        <v>-129.13999999999942</v>
      </c>
      <c r="F55" s="142"/>
      <c r="G55" s="142"/>
      <c r="H55" s="142"/>
      <c r="I55" s="143"/>
      <c r="L55" s="134"/>
      <c r="M55" s="135"/>
      <c r="N55" s="134"/>
    </row>
    <row r="56" spans="1:14" ht="18.75" thickBot="1" x14ac:dyDescent="0.3">
      <c r="A56" s="144" t="s">
        <v>83</v>
      </c>
      <c r="B56" s="145">
        <f>SUM(C55:H55)</f>
        <v>-128.96500000000378</v>
      </c>
      <c r="C56" s="132"/>
      <c r="D56" s="132"/>
      <c r="E56" s="146"/>
      <c r="F56" s="146"/>
      <c r="G56" s="146"/>
      <c r="H56" s="146"/>
      <c r="I56" s="146"/>
      <c r="L56" s="134"/>
      <c r="M56" s="135"/>
      <c r="N56" s="134"/>
    </row>
    <row r="60" spans="1:14" x14ac:dyDescent="0.2">
      <c r="A60" s="10"/>
      <c r="B60" s="164" t="s">
        <v>574</v>
      </c>
      <c r="C60" s="165"/>
      <c r="D60" s="165"/>
      <c r="E60" s="165">
        <v>0</v>
      </c>
      <c r="F60" s="165"/>
      <c r="G60" s="166"/>
      <c r="H60" s="167"/>
    </row>
    <row r="61" spans="1:14" ht="38.25" x14ac:dyDescent="0.2">
      <c r="A61" s="10"/>
      <c r="B61" s="168" t="s">
        <v>575</v>
      </c>
      <c r="C61" s="168" t="s">
        <v>576</v>
      </c>
      <c r="D61" s="168" t="s">
        <v>577</v>
      </c>
      <c r="E61" s="168" t="s">
        <v>578</v>
      </c>
      <c r="F61" s="168" t="s">
        <v>579</v>
      </c>
      <c r="G61" s="168" t="s">
        <v>580</v>
      </c>
      <c r="H61" s="169" t="s">
        <v>11</v>
      </c>
    </row>
    <row r="62" spans="1:14" x14ac:dyDescent="0.2">
      <c r="A62" s="305" t="s">
        <v>62</v>
      </c>
      <c r="B62" s="169" t="s">
        <v>581</v>
      </c>
      <c r="C62" s="170"/>
      <c r="D62" s="119"/>
      <c r="E62" s="171"/>
      <c r="F62" s="171"/>
      <c r="G62" s="171"/>
      <c r="H62" s="119"/>
    </row>
    <row r="63" spans="1:14" x14ac:dyDescent="0.2">
      <c r="A63" s="305"/>
      <c r="B63" s="169" t="s">
        <v>582</v>
      </c>
      <c r="C63" s="119"/>
      <c r="D63" s="119"/>
      <c r="E63" s="171"/>
      <c r="F63" s="171"/>
      <c r="G63" s="171"/>
      <c r="H63" s="119"/>
    </row>
    <row r="64" spans="1:14" x14ac:dyDescent="0.2">
      <c r="A64" s="305" t="s">
        <v>63</v>
      </c>
      <c r="B64" s="169" t="s">
        <v>581</v>
      </c>
      <c r="C64" s="119"/>
      <c r="D64" s="119"/>
      <c r="E64" s="171"/>
      <c r="F64" s="171"/>
      <c r="G64" s="171"/>
      <c r="H64" s="119"/>
    </row>
    <row r="65" spans="1:8" x14ac:dyDescent="0.2">
      <c r="A65" s="305"/>
      <c r="B65" s="169" t="s">
        <v>582</v>
      </c>
      <c r="C65" s="119"/>
      <c r="D65" s="119"/>
      <c r="E65" s="171"/>
      <c r="F65" s="171"/>
      <c r="G65" s="171"/>
      <c r="H65" s="119"/>
    </row>
    <row r="66" spans="1:8" x14ac:dyDescent="0.2">
      <c r="A66" s="305" t="s">
        <v>64</v>
      </c>
      <c r="B66" s="169" t="s">
        <v>581</v>
      </c>
      <c r="C66" s="119"/>
      <c r="D66" s="119"/>
      <c r="E66" s="171"/>
      <c r="F66" s="171"/>
      <c r="G66" s="171"/>
      <c r="H66" s="119"/>
    </row>
    <row r="67" spans="1:8" x14ac:dyDescent="0.2">
      <c r="A67" s="305"/>
      <c r="B67" s="169" t="s">
        <v>582</v>
      </c>
      <c r="C67" s="119"/>
      <c r="D67" s="119"/>
      <c r="E67" s="171"/>
      <c r="F67" s="171"/>
      <c r="G67" s="171"/>
      <c r="H67" s="119"/>
    </row>
    <row r="68" spans="1:8" x14ac:dyDescent="0.2">
      <c r="A68" s="10"/>
      <c r="B68" s="172" t="s">
        <v>65</v>
      </c>
      <c r="C68" s="172"/>
      <c r="D68" s="172"/>
      <c r="E68" s="173">
        <f>SUM(E62:E67)</f>
        <v>0</v>
      </c>
      <c r="F68" s="174">
        <f>SUM(F62:F67)</f>
        <v>0</v>
      </c>
      <c r="G68" s="174">
        <f>SUM(G62:G67)</f>
        <v>0</v>
      </c>
      <c r="H68" s="175"/>
    </row>
    <row r="69" spans="1:8" x14ac:dyDescent="0.2">
      <c r="A69" s="176"/>
      <c r="B69" s="176"/>
      <c r="C69" s="177"/>
      <c r="D69" s="176"/>
      <c r="E69" s="177"/>
      <c r="F69" s="177"/>
      <c r="G69" s="177"/>
      <c r="H69" s="177"/>
    </row>
    <row r="70" spans="1:8" x14ac:dyDescent="0.2">
      <c r="B70" s="176"/>
      <c r="C70" s="177"/>
      <c r="D70" s="176"/>
      <c r="E70" s="177"/>
      <c r="F70" s="177"/>
      <c r="G70" s="177"/>
      <c r="H70" s="177"/>
    </row>
    <row r="71" spans="1:8" x14ac:dyDescent="0.2">
      <c r="B71" s="176"/>
      <c r="C71" s="177"/>
      <c r="D71" s="176"/>
      <c r="E71" s="177"/>
      <c r="F71" s="177"/>
      <c r="G71" s="177"/>
      <c r="H71" s="177"/>
    </row>
    <row r="72" spans="1:8" x14ac:dyDescent="0.2">
      <c r="A72" s="178" t="s">
        <v>583</v>
      </c>
      <c r="B72" s="178"/>
      <c r="C72" s="178"/>
      <c r="D72" s="176"/>
      <c r="E72" s="179" t="s">
        <v>584</v>
      </c>
      <c r="F72" s="180"/>
      <c r="G72" s="180"/>
      <c r="H72" s="180"/>
    </row>
    <row r="73" spans="1:8" x14ac:dyDescent="0.2">
      <c r="A73" s="169" t="s">
        <v>585</v>
      </c>
      <c r="B73" s="169" t="s">
        <v>586</v>
      </c>
      <c r="C73" s="169" t="s">
        <v>11</v>
      </c>
      <c r="D73" s="176"/>
      <c r="E73" s="181" t="s">
        <v>587</v>
      </c>
      <c r="F73" s="182"/>
      <c r="G73" s="182"/>
      <c r="H73" s="182"/>
    </row>
    <row r="74" spans="1:8" x14ac:dyDescent="0.2">
      <c r="A74" s="175" t="s">
        <v>588</v>
      </c>
      <c r="B74" s="175"/>
      <c r="C74" s="175"/>
      <c r="D74" s="177"/>
      <c r="E74" s="168" t="s">
        <v>395</v>
      </c>
      <c r="F74" s="182"/>
      <c r="G74" s="182"/>
      <c r="H74" s="182"/>
    </row>
    <row r="75" spans="1:8" x14ac:dyDescent="0.2">
      <c r="A75" s="175" t="s">
        <v>589</v>
      </c>
      <c r="B75" s="175"/>
      <c r="C75" s="175"/>
      <c r="D75" s="177"/>
      <c r="E75" s="177"/>
      <c r="F75" s="177"/>
      <c r="G75" s="177"/>
      <c r="H75" s="177"/>
    </row>
  </sheetData>
  <mergeCells count="3">
    <mergeCell ref="A62:A63"/>
    <mergeCell ref="A64:A65"/>
    <mergeCell ref="A66:A67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16</vt:i4>
      </vt:variant>
    </vt:vector>
  </HeadingPairs>
  <TitlesOfParts>
    <vt:vector size="16" baseType="lpstr">
      <vt:lpstr>סיכום תקציבי מחקר</vt:lpstr>
      <vt:lpstr>מוטי שונות 2020</vt:lpstr>
      <vt:lpstr>מ. המדע - שימוש בתגי PIT</vt:lpstr>
      <vt:lpstr>מ. המדע - ירגזים כמדבירים</vt:lpstr>
      <vt:lpstr>ירגזים דוח כספי 08-2020</vt:lpstr>
      <vt:lpstr>מ. החקלאות - נזקי נברנים</vt:lpstr>
      <vt:lpstr>דוח כספי נזקי נברנים 0820</vt:lpstr>
      <vt:lpstr>מ. החקלאות - מיגל</vt:lpstr>
      <vt:lpstr>דוח מייגל 092020</vt:lpstr>
      <vt:lpstr>קקל - תנשמות בישראל</vt:lpstr>
      <vt:lpstr>תרומות</vt:lpstr>
      <vt:lpstr>מוטי שונות 2019</vt:lpstr>
      <vt:lpstr>מוטי שונות 2018</vt:lpstr>
      <vt:lpstr>מיגל שימוש ברחפנים</vt:lpstr>
      <vt:lpstr>גיליון1</vt:lpstr>
      <vt:lpstr>מוטי שונות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</dc:creator>
  <cp:lastModifiedBy>Rachel Cohen</cp:lastModifiedBy>
  <cp:lastPrinted>2019-02-04T08:57:50Z</cp:lastPrinted>
  <dcterms:created xsi:type="dcterms:W3CDTF">2017-11-05T09:11:47Z</dcterms:created>
  <dcterms:modified xsi:type="dcterms:W3CDTF">2020-10-11T06:41:03Z</dcterms:modified>
</cp:coreProperties>
</file>