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Group info" sheetId="16" r:id="rId1"/>
    <sheet name="Sheet1" sheetId="1" r:id="rId2"/>
    <sheet name="Balance sheet" sheetId="3" r:id="rId3"/>
    <sheet name="Sheet2" sheetId="4" r:id="rId4"/>
    <sheet name="Balance sheet (2)" sheetId="8" r:id="rId5"/>
    <sheet name="Sheet7" sheetId="10" r:id="rId6"/>
    <sheet name="Sheet8" sheetId="11" r:id="rId7"/>
    <sheet name="Year-over-year chart" sheetId="9" state="hidden" r:id="rId8"/>
    <sheet name="Comparison" sheetId="12" r:id="rId9"/>
    <sheet name="MARICO" sheetId="14" r:id="rId10"/>
    <sheet name="Kohinoor" sheetId="15" r:id="rId11"/>
  </sheets>
  <externalReferences>
    <externalReference r:id="rId12"/>
  </externalReferenc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3" l="1"/>
  <c r="F52" i="3"/>
  <c r="G52" i="3"/>
  <c r="H52" i="3"/>
  <c r="D52" i="3"/>
  <c r="L32" i="12" l="1"/>
  <c r="K32" i="12"/>
  <c r="J32" i="12"/>
  <c r="I32" i="12"/>
  <c r="H32" i="12"/>
  <c r="I31" i="12"/>
  <c r="J31" i="12"/>
  <c r="K31" i="12"/>
  <c r="L31" i="12"/>
  <c r="H31" i="12"/>
  <c r="I29" i="12"/>
  <c r="J29" i="12"/>
  <c r="K29" i="12"/>
  <c r="L29" i="12"/>
  <c r="H29" i="12"/>
  <c r="I28" i="12"/>
  <c r="J28" i="12"/>
  <c r="K28" i="12"/>
  <c r="L28" i="12"/>
  <c r="H28" i="12"/>
  <c r="I26" i="12" l="1"/>
  <c r="J26" i="12"/>
  <c r="K26" i="12"/>
  <c r="L26" i="12"/>
  <c r="I25" i="12"/>
  <c r="J25" i="12"/>
  <c r="K25" i="12"/>
  <c r="L25" i="12"/>
  <c r="H25" i="12"/>
  <c r="I23" i="12"/>
  <c r="J23" i="12"/>
  <c r="K23" i="12"/>
  <c r="L23" i="12"/>
  <c r="L20" i="12" l="1"/>
  <c r="K20" i="12"/>
  <c r="J20" i="12"/>
  <c r="I20" i="12"/>
  <c r="H20" i="12"/>
  <c r="I19" i="12"/>
  <c r="J19" i="12"/>
  <c r="K19" i="12"/>
  <c r="L19" i="12"/>
  <c r="H19" i="12"/>
  <c r="L17" i="12"/>
  <c r="K17" i="12"/>
  <c r="J17" i="12"/>
  <c r="I17" i="12"/>
  <c r="H17" i="12"/>
  <c r="I16" i="12"/>
  <c r="J16" i="12"/>
  <c r="K16" i="12"/>
  <c r="L16" i="12"/>
  <c r="G17" i="12"/>
  <c r="J14" i="12"/>
  <c r="I14" i="12"/>
  <c r="H14" i="12"/>
  <c r="H13" i="12"/>
  <c r="G13" i="12"/>
  <c r="G16" i="12" s="1"/>
  <c r="L11" i="12"/>
  <c r="K11" i="12"/>
  <c r="J11" i="12"/>
  <c r="I11" i="12"/>
  <c r="H11" i="12"/>
  <c r="G18" i="10"/>
  <c r="F18" i="10"/>
  <c r="F27" i="10"/>
  <c r="G27" i="10"/>
  <c r="H27" i="10"/>
  <c r="I27" i="10"/>
  <c r="E27" i="10"/>
  <c r="F28" i="10"/>
  <c r="F31" i="10"/>
  <c r="G31" i="10"/>
  <c r="F30" i="10"/>
  <c r="G30" i="10"/>
  <c r="H30" i="10"/>
  <c r="I30" i="10"/>
  <c r="G28" i="10"/>
  <c r="H28" i="10"/>
  <c r="I28" i="10"/>
  <c r="F26" i="10"/>
  <c r="G26" i="10"/>
  <c r="H26" i="10"/>
  <c r="I26" i="10"/>
  <c r="F25" i="10"/>
  <c r="G25" i="10"/>
  <c r="H25" i="10"/>
  <c r="I25" i="10"/>
  <c r="F23" i="10"/>
  <c r="G23" i="10"/>
  <c r="H23" i="10"/>
  <c r="I23" i="10"/>
  <c r="F22" i="10"/>
  <c r="G22" i="10"/>
  <c r="H22" i="10"/>
  <c r="I22" i="10"/>
  <c r="F20" i="10"/>
  <c r="G20" i="10"/>
  <c r="F19" i="10"/>
  <c r="G19" i="10"/>
  <c r="F17" i="10"/>
  <c r="G17" i="10"/>
  <c r="H17" i="10"/>
  <c r="I17" i="10"/>
  <c r="F16" i="10"/>
  <c r="G16" i="10"/>
  <c r="H16" i="10"/>
  <c r="I16" i="10"/>
  <c r="D49" i="8"/>
  <c r="E49" i="8"/>
  <c r="F49" i="8"/>
  <c r="G49" i="8"/>
  <c r="D47" i="8"/>
  <c r="E47" i="8"/>
  <c r="F47" i="8"/>
  <c r="G47" i="8"/>
  <c r="D41" i="8"/>
  <c r="E41" i="8"/>
  <c r="F41" i="8"/>
  <c r="G41" i="8"/>
  <c r="C41" i="8"/>
  <c r="F36" i="8"/>
  <c r="G36" i="8"/>
  <c r="D36" i="8"/>
  <c r="E36" i="8"/>
  <c r="F20" i="8"/>
  <c r="F26" i="8" s="1"/>
  <c r="G20" i="8"/>
  <c r="F12" i="8"/>
  <c r="G12" i="8"/>
  <c r="G26" i="8" s="1"/>
  <c r="D12" i="8"/>
  <c r="D26" i="8" s="1"/>
  <c r="E12" i="8"/>
  <c r="D20" i="8"/>
  <c r="E20" i="8"/>
  <c r="C20" i="8"/>
  <c r="H30" i="4"/>
  <c r="I30" i="4"/>
  <c r="H26" i="4"/>
  <c r="I26" i="4"/>
  <c r="I14" i="4"/>
  <c r="H14" i="4"/>
  <c r="J18" i="4"/>
  <c r="J22" i="4" s="1"/>
  <c r="J24" i="4" s="1"/>
  <c r="J26" i="4" s="1"/>
  <c r="J30" i="4" s="1"/>
  <c r="J33" i="4" s="1"/>
  <c r="H18" i="10" s="1"/>
  <c r="K14" i="12" s="1"/>
  <c r="J14" i="4"/>
  <c r="K14" i="4"/>
  <c r="K18" i="4" s="1"/>
  <c r="K22" i="4" s="1"/>
  <c r="K24" i="4" s="1"/>
  <c r="K26" i="4" s="1"/>
  <c r="K30" i="4" s="1"/>
  <c r="K33" i="4" s="1"/>
  <c r="I18" i="10" s="1"/>
  <c r="L14" i="12" s="1"/>
  <c r="E16" i="11"/>
  <c r="E18" i="11"/>
  <c r="F18" i="11"/>
  <c r="G18" i="11"/>
  <c r="H18" i="11"/>
  <c r="I31" i="10" l="1"/>
  <c r="I19" i="10"/>
  <c r="I20" i="10"/>
  <c r="H19" i="10"/>
  <c r="H20" i="10"/>
  <c r="H31" i="10"/>
  <c r="E26" i="8"/>
  <c r="G21" i="11" l="1"/>
  <c r="H21" i="11"/>
  <c r="H19" i="11"/>
  <c r="L22" i="12" s="1"/>
  <c r="H17" i="11"/>
  <c r="H16" i="11"/>
  <c r="G14" i="11"/>
  <c r="H14" i="11"/>
  <c r="H13" i="11"/>
  <c r="G13" i="11"/>
  <c r="F21" i="11"/>
  <c r="E21" i="11"/>
  <c r="F19" i="11"/>
  <c r="J22" i="12" s="1"/>
  <c r="E19" i="11"/>
  <c r="I22" i="12" s="1"/>
  <c r="F17" i="11"/>
  <c r="E17" i="11"/>
  <c r="F14" i="11"/>
  <c r="E14" i="11"/>
  <c r="F13" i="11"/>
  <c r="E13" i="11"/>
  <c r="F9" i="11"/>
  <c r="J13" i="12" s="1"/>
  <c r="H50" i="3"/>
  <c r="G50" i="3"/>
  <c r="H48" i="3"/>
  <c r="G48" i="3"/>
  <c r="H33" i="3"/>
  <c r="G33" i="3"/>
  <c r="G39" i="3"/>
  <c r="H39" i="3"/>
  <c r="H46" i="3"/>
  <c r="G46" i="3"/>
  <c r="H23" i="3"/>
  <c r="G23" i="3"/>
  <c r="H15" i="3"/>
  <c r="G15" i="3"/>
  <c r="G20" i="3"/>
  <c r="H20" i="3"/>
  <c r="E15" i="3"/>
  <c r="F33" i="3"/>
  <c r="E33" i="3"/>
  <c r="F39" i="3"/>
  <c r="E39" i="3"/>
  <c r="F23" i="3"/>
  <c r="F15" i="3"/>
  <c r="G22" i="1"/>
  <c r="G12" i="1"/>
  <c r="G11" i="1"/>
  <c r="H7" i="11" s="1"/>
  <c r="L10" i="12" s="1"/>
  <c r="D22" i="1"/>
  <c r="C22" i="1"/>
  <c r="F24" i="1"/>
  <c r="F22" i="1" s="1"/>
  <c r="F16" i="1"/>
  <c r="F15" i="1"/>
  <c r="F19" i="1" s="1"/>
  <c r="F21" i="1" s="1"/>
  <c r="F12" i="1"/>
  <c r="F11" i="1"/>
  <c r="F10" i="1"/>
  <c r="G16" i="11" s="1"/>
  <c r="F9" i="1"/>
  <c r="G17" i="11" s="1"/>
  <c r="G15" i="1" l="1"/>
  <c r="G7" i="11"/>
  <c r="K10" i="12" s="1"/>
  <c r="G19" i="11"/>
  <c r="K22" i="12" s="1"/>
  <c r="G8" i="11"/>
  <c r="F25" i="1"/>
  <c r="H8" i="11" l="1"/>
  <c r="G19" i="1"/>
  <c r="G21" i="1" s="1"/>
  <c r="G25" i="1" s="1"/>
  <c r="G11" i="11"/>
  <c r="G10" i="11"/>
  <c r="F31" i="1"/>
  <c r="G9" i="11" s="1"/>
  <c r="K13" i="12" s="1"/>
  <c r="F28" i="1"/>
  <c r="G31" i="1" l="1"/>
  <c r="H9" i="11" s="1"/>
  <c r="L13" i="12" s="1"/>
  <c r="H11" i="11"/>
  <c r="G28" i="1"/>
  <c r="H10" i="11"/>
  <c r="F8" i="11"/>
  <c r="E8" i="11"/>
  <c r="I13" i="4"/>
  <c r="I18" i="4" s="1"/>
  <c r="I22" i="4" s="1"/>
  <c r="H13" i="4"/>
  <c r="H18" i="4" s="1"/>
  <c r="H22" i="4" s="1"/>
  <c r="F48" i="3"/>
  <c r="E48" i="3"/>
  <c r="F46" i="3"/>
  <c r="E46" i="3"/>
  <c r="D28" i="1"/>
  <c r="C28" i="1"/>
  <c r="C25" i="1"/>
  <c r="D21" i="1"/>
  <c r="D25" i="1" s="1"/>
  <c r="C21" i="1"/>
  <c r="D19" i="1"/>
  <c r="C19" i="1"/>
  <c r="D15" i="1"/>
  <c r="C15" i="1"/>
  <c r="D12" i="1"/>
  <c r="C12" i="1"/>
  <c r="D11" i="1"/>
  <c r="F7" i="11" s="1"/>
  <c r="J10" i="12" s="1"/>
  <c r="C11" i="1"/>
  <c r="E7" i="11" s="1"/>
  <c r="I10" i="12" s="1"/>
  <c r="F10" i="11" l="1"/>
  <c r="F11" i="11"/>
  <c r="C31" i="1"/>
  <c r="E9" i="11" s="1"/>
  <c r="I13" i="12" s="1"/>
  <c r="E10" i="11"/>
  <c r="E11" i="11"/>
  <c r="E26" i="10"/>
  <c r="E25" i="10"/>
  <c r="D17" i="11"/>
  <c r="D55" i="3"/>
  <c r="D18" i="11" s="1"/>
  <c r="D16" i="11"/>
  <c r="D7" i="11"/>
  <c r="H10" i="12" s="1"/>
  <c r="C12" i="8" l="1"/>
  <c r="C24" i="8"/>
  <c r="C36" i="8"/>
  <c r="C47" i="8"/>
  <c r="C49" i="8" l="1"/>
  <c r="E23" i="10"/>
  <c r="E22" i="10"/>
  <c r="C26" i="8"/>
  <c r="E30" i="10" s="1"/>
  <c r="H26" i="12" s="1"/>
  <c r="G14" i="4"/>
  <c r="G13" i="4"/>
  <c r="G18" i="4" l="1"/>
  <c r="E16" i="10"/>
  <c r="E28" i="10"/>
  <c r="H23" i="12" s="1"/>
  <c r="C50" i="3"/>
  <c r="E23" i="3"/>
  <c r="C20" i="3"/>
  <c r="D20" i="3"/>
  <c r="D15" i="3"/>
  <c r="C15" i="3"/>
  <c r="C33" i="3"/>
  <c r="D33" i="3"/>
  <c r="C39" i="3"/>
  <c r="D39" i="3"/>
  <c r="C46" i="3"/>
  <c r="D46" i="3"/>
  <c r="G22" i="4" l="1"/>
  <c r="E17" i="10"/>
  <c r="D23" i="3"/>
  <c r="D13" i="11"/>
  <c r="D14" i="11"/>
  <c r="C23" i="3"/>
  <c r="D48" i="3"/>
  <c r="C48" i="3"/>
  <c r="B22" i="1"/>
  <c r="B15" i="1"/>
  <c r="B19" i="1" l="1"/>
  <c r="B21" i="1" s="1"/>
  <c r="D8" i="11"/>
  <c r="G24" i="4"/>
  <c r="G26" i="4" s="1"/>
  <c r="E31" i="10"/>
  <c r="D19" i="11"/>
  <c r="H22" i="12" s="1"/>
  <c r="D21" i="11"/>
  <c r="B25" i="1"/>
  <c r="D11" i="11" l="1"/>
  <c r="E20" i="10"/>
  <c r="G33" i="4"/>
  <c r="E19" i="10"/>
  <c r="B31" i="1"/>
  <c r="D24" i="11" s="1"/>
  <c r="H16" i="12" s="1"/>
  <c r="D10" i="11"/>
</calcChain>
</file>

<file path=xl/sharedStrings.xml><?xml version="1.0" encoding="utf-8"?>
<sst xmlns="http://schemas.openxmlformats.org/spreadsheetml/2006/main" count="1084" uniqueCount="886">
  <si>
    <t>Particulars</t>
  </si>
  <si>
    <t>Turnover</t>
  </si>
  <si>
    <t>Cost of goods sold</t>
  </si>
  <si>
    <t>Gross profit</t>
  </si>
  <si>
    <t>Operating expenses</t>
  </si>
  <si>
    <t>Operating profit</t>
  </si>
  <si>
    <t>Financial expenses</t>
  </si>
  <si>
    <t>Net profit after tax</t>
  </si>
  <si>
    <t xml:space="preserve">Earning per share </t>
  </si>
  <si>
    <t>general and administrative expenses</t>
  </si>
  <si>
    <t>Selling and distrubutuion expense</t>
  </si>
  <si>
    <t>Amortization of Goodwill</t>
  </si>
  <si>
    <t>Other income</t>
  </si>
  <si>
    <t>Net profit before W.P.P.F and Income tax</t>
  </si>
  <si>
    <t>Worker's profit Participation Fund</t>
  </si>
  <si>
    <t>Net profit before Income Tax</t>
  </si>
  <si>
    <t>Income Tax Expense</t>
  </si>
  <si>
    <t xml:space="preserve">Current Tax Expense </t>
  </si>
  <si>
    <t>Deferred tax Income</t>
  </si>
  <si>
    <t>Other Comprehensive Income</t>
  </si>
  <si>
    <t>Total Comprehensive Income For the year</t>
  </si>
  <si>
    <t>No of shares Outstanding</t>
  </si>
  <si>
    <t>Previous Year Balance is auto calculated in cell C49 and Current Year Balance in cell D49.</t>
  </si>
  <si>
    <t>Total liabilities and owner's equity</t>
  </si>
  <si>
    <t>Total liabilities and owner's equity for previous year are auto calculated in cell C46 and for the current year in cell D46. Next instruction is in cell A49.</t>
  </si>
  <si>
    <t>Total owner's equity</t>
  </si>
  <si>
    <t>Investment capital</t>
  </si>
  <si>
    <t>Previous Year</t>
  </si>
  <si>
    <t>Owner's equity:</t>
  </si>
  <si>
    <t>Enter details in Owner’s Equity table starting in cell at right. Next instruction is in cell A46.</t>
  </si>
  <si>
    <t>Enter details in Long-term Liabilities table starting in cell at right. Next instruction is in cell A41.</t>
  </si>
  <si>
    <t>Total current liabilities</t>
  </si>
  <si>
    <t>Other</t>
  </si>
  <si>
    <t>Current liabilities:</t>
  </si>
  <si>
    <t>Enter details in Current Liabilities table starting in cell at right. Next instruction is in cell A37.</t>
  </si>
  <si>
    <t>Liabilities and owner's equity</t>
  </si>
  <si>
    <t>Liabilities and owner's equity label is in cell at right.</t>
  </si>
  <si>
    <t>Total assets</t>
  </si>
  <si>
    <t>Total Assets for Previous Year are auto calculated in cell C25 and Total Assets for Current Year in cell D25. Next instruction is in cell A27.</t>
  </si>
  <si>
    <t>Enter details in Other Assets table starting in cell at right. Next instruction is in cell A25.</t>
  </si>
  <si>
    <t>Total fixed assets</t>
  </si>
  <si>
    <t>Property and equipment</t>
  </si>
  <si>
    <t>Fixed assets:</t>
  </si>
  <si>
    <t>Enter details in Fixed Assets table starting in cell at right. Next instruction is in cell A21.</t>
  </si>
  <si>
    <t>Total current assets</t>
  </si>
  <si>
    <t>Pre-paid expenses</t>
  </si>
  <si>
    <t>Accounts receivable</t>
  </si>
  <si>
    <t>Inventories</t>
  </si>
  <si>
    <t>Investments</t>
  </si>
  <si>
    <t>Cash</t>
  </si>
  <si>
    <t>Current assets:</t>
  </si>
  <si>
    <t>Enter details in Current Assets table starting in cell at right. Next instruction is in cell A14.</t>
  </si>
  <si>
    <t>Assets</t>
  </si>
  <si>
    <t>Assets label is in cell at right.</t>
  </si>
  <si>
    <t>Enter Company Name in cell at right. Title of this worksheet is in cell D1. Next instruction is in cell A4.</t>
  </si>
  <si>
    <t>Balance Sheet</t>
  </si>
  <si>
    <t>Create a Balance Sheet in this worksheet. Helpful instructions on how to use this worksheet are in cells in this column. Arrow down to get started.</t>
  </si>
  <si>
    <t>2019</t>
  </si>
  <si>
    <t>inter company current account</t>
  </si>
  <si>
    <t>Fixed Deposits with banks</t>
  </si>
  <si>
    <t>Short term loan</t>
  </si>
  <si>
    <t>Trade and Other payable</t>
  </si>
  <si>
    <t>Accrued liabilities</t>
  </si>
  <si>
    <t>Dividend payable</t>
  </si>
  <si>
    <t>Non current liabilities:</t>
  </si>
  <si>
    <t>Provision for gratuity</t>
  </si>
  <si>
    <t>Loan Fund</t>
  </si>
  <si>
    <t>Deferred Tax Liability</t>
  </si>
  <si>
    <t>Non current liabilities</t>
  </si>
  <si>
    <t>Revaluation reserve</t>
  </si>
  <si>
    <t>Retained earning</t>
  </si>
  <si>
    <t>Contingent Liabilities</t>
  </si>
  <si>
    <t>Other income/(expense)</t>
  </si>
  <si>
    <t>Net financial  income</t>
  </si>
  <si>
    <t>Remeasurement of defined benefit plan</t>
  </si>
  <si>
    <t>Related tax</t>
  </si>
  <si>
    <t>Other Comprehensive Income/(loss)</t>
  </si>
  <si>
    <t>Total long-term liabilities</t>
  </si>
  <si>
    <t>Long-term liabilities:</t>
  </si>
  <si>
    <t>Accounts payable</t>
  </si>
  <si>
    <t>Total other assets</t>
  </si>
  <si>
    <t>Goodwill</t>
  </si>
  <si>
    <t>Other assets:</t>
  </si>
  <si>
    <t>Advances, deposits and prepayments</t>
  </si>
  <si>
    <t>Intangible assets</t>
  </si>
  <si>
    <t>Deferred tax assets</t>
  </si>
  <si>
    <t>Other financial assets</t>
  </si>
  <si>
    <t>Employee benefit obligation</t>
  </si>
  <si>
    <t>Trade and other payables</t>
  </si>
  <si>
    <t>Current tax liabilities</t>
  </si>
  <si>
    <t>Total liabilities</t>
  </si>
  <si>
    <t>Share capital</t>
  </si>
  <si>
    <t>Share premium</t>
  </si>
  <si>
    <t>Retained earnings</t>
  </si>
  <si>
    <t>P/E ratio</t>
  </si>
  <si>
    <t>Liquidity Ratio</t>
  </si>
  <si>
    <t>Activity Ratio</t>
  </si>
  <si>
    <t>Kohinoor chemicals</t>
  </si>
  <si>
    <t>Ratio</t>
  </si>
  <si>
    <t>Profitablity ratio</t>
  </si>
  <si>
    <t>Gross margin</t>
  </si>
  <si>
    <t>Operating profit margin</t>
  </si>
  <si>
    <t>Earning per share</t>
  </si>
  <si>
    <t>Return on assets</t>
  </si>
  <si>
    <t>Return on equity</t>
  </si>
  <si>
    <t>Quick ratio</t>
  </si>
  <si>
    <t>Current ratio</t>
  </si>
  <si>
    <t>inventroy turnover</t>
  </si>
  <si>
    <t>average collection period</t>
  </si>
  <si>
    <t>average payment period</t>
  </si>
  <si>
    <t>Total assets turnover</t>
  </si>
  <si>
    <t>Raw materials purchased</t>
  </si>
  <si>
    <t>packing materials purchased</t>
  </si>
  <si>
    <t>Total purchases</t>
  </si>
  <si>
    <t>Solvency</t>
  </si>
  <si>
    <t>Debt ratio</t>
  </si>
  <si>
    <t>times interest earned ratio</t>
  </si>
  <si>
    <t>Market price per share</t>
  </si>
  <si>
    <t>Purchases during the period</t>
  </si>
  <si>
    <t>Interest paid</t>
  </si>
  <si>
    <t>2018</t>
  </si>
  <si>
    <t>2017</t>
  </si>
  <si>
    <t>Cash ans cash equivalents</t>
  </si>
  <si>
    <t>307824838</t>
  </si>
  <si>
    <t>319993892</t>
  </si>
  <si>
    <t>FVOCI reserve</t>
  </si>
  <si>
    <t>Financial expenses/income</t>
  </si>
  <si>
    <t>Unrealized Loss(gain) on quoted shares</t>
  </si>
  <si>
    <t>2015</t>
  </si>
  <si>
    <t>2016</t>
  </si>
  <si>
    <t>Short term invsestment</t>
  </si>
  <si>
    <t>Related party</t>
  </si>
  <si>
    <t>Defferred tax liability(Current)</t>
  </si>
  <si>
    <t>Provision for gratuity(current)</t>
  </si>
  <si>
    <t>Provision for leave encashment</t>
  </si>
  <si>
    <t>Gross margin:</t>
  </si>
  <si>
    <t>Earning per share:</t>
  </si>
  <si>
    <t>Activity ratio:</t>
  </si>
  <si>
    <t>Assets turnover</t>
  </si>
  <si>
    <t>Comparison between the companies</t>
  </si>
  <si>
    <t>30/12/2014</t>
  </si>
  <si>
    <t>15/01/2017</t>
  </si>
  <si>
    <t>30/12/2015</t>
  </si>
  <si>
    <t>16/01/2017</t>
  </si>
  <si>
    <t>31/12/2015</t>
  </si>
  <si>
    <t>17/01/2017</t>
  </si>
  <si>
    <t>18/01/2017</t>
  </si>
  <si>
    <t>13/01/2015</t>
  </si>
  <si>
    <t>19/01/2017</t>
  </si>
  <si>
    <t>14/01/2015</t>
  </si>
  <si>
    <t>22/01/2017</t>
  </si>
  <si>
    <t>15/01/2015</t>
  </si>
  <si>
    <t>23/01/2017</t>
  </si>
  <si>
    <t>18/01/2015</t>
  </si>
  <si>
    <t>24/01/2017</t>
  </si>
  <si>
    <t>19/01/2015</t>
  </si>
  <si>
    <t>25/01/2017</t>
  </si>
  <si>
    <t>20/01/2015</t>
  </si>
  <si>
    <t>14/01/2018</t>
  </si>
  <si>
    <t>26/01/2017</t>
  </si>
  <si>
    <t>21/01/2015</t>
  </si>
  <si>
    <t>15/01/2018</t>
  </si>
  <si>
    <t>29/01/2017</t>
  </si>
  <si>
    <t>13/01/2016</t>
  </si>
  <si>
    <t>22/01/2015</t>
  </si>
  <si>
    <t>13/01/2019</t>
  </si>
  <si>
    <t>16/01/2018</t>
  </si>
  <si>
    <t>30/01/2017</t>
  </si>
  <si>
    <t>14/01/2016</t>
  </si>
  <si>
    <t>25/01/2015</t>
  </si>
  <si>
    <t>14/01/2019</t>
  </si>
  <si>
    <t>17/01/2018</t>
  </si>
  <si>
    <t>31/01/2017</t>
  </si>
  <si>
    <t>17/01/2016</t>
  </si>
  <si>
    <t>26/01/2015</t>
  </si>
  <si>
    <t>15/01/2019</t>
  </si>
  <si>
    <t>18/01/2018</t>
  </si>
  <si>
    <t>18/01/2016</t>
  </si>
  <si>
    <t>27/01/2015</t>
  </si>
  <si>
    <t>16/01/2019</t>
  </si>
  <si>
    <t>21/01/2018</t>
  </si>
  <si>
    <t>19/01/2016</t>
  </si>
  <si>
    <t>28/01/2015</t>
  </si>
  <si>
    <t>17/01/2019</t>
  </si>
  <si>
    <t>22/01/2018</t>
  </si>
  <si>
    <t>20/01/2016</t>
  </si>
  <si>
    <t>20/01/2019</t>
  </si>
  <si>
    <t>23/01/2018</t>
  </si>
  <si>
    <t>21/01/2016</t>
  </si>
  <si>
    <t>21/01/2019</t>
  </si>
  <si>
    <t>24/01/2018</t>
  </si>
  <si>
    <t>24/01/2016</t>
  </si>
  <si>
    <t>22/01/2019</t>
  </si>
  <si>
    <t>25/01/2018</t>
  </si>
  <si>
    <t>25/01/2016</t>
  </si>
  <si>
    <t>23/01/2019</t>
  </si>
  <si>
    <t>28/01/2018</t>
  </si>
  <si>
    <t>26/01/2016</t>
  </si>
  <si>
    <t>24/01/2019</t>
  </si>
  <si>
    <t>29/01/2018</t>
  </si>
  <si>
    <t>27/01/2016</t>
  </si>
  <si>
    <t>27/01/2019</t>
  </si>
  <si>
    <t>30/01/2018</t>
  </si>
  <si>
    <t>13/02/2017</t>
  </si>
  <si>
    <t>28/01/2016</t>
  </si>
  <si>
    <t>28/01/2019</t>
  </si>
  <si>
    <t>31/01/2018</t>
  </si>
  <si>
    <t>14/02/2017</t>
  </si>
  <si>
    <t>31/01/2016</t>
  </si>
  <si>
    <t>29/01/2019</t>
  </si>
  <si>
    <t>15/02/2017</t>
  </si>
  <si>
    <t>30/01/2019</t>
  </si>
  <si>
    <t>16/02/2017</t>
  </si>
  <si>
    <t>31/01/2019</t>
  </si>
  <si>
    <t>19/02/2017</t>
  </si>
  <si>
    <t>15/02/2015</t>
  </si>
  <si>
    <t>20/02/2017</t>
  </si>
  <si>
    <t>16/02/2015</t>
  </si>
  <si>
    <t>22/02/2017</t>
  </si>
  <si>
    <t>17/02/2015</t>
  </si>
  <si>
    <t>23/02/2017</t>
  </si>
  <si>
    <t>18/02/2015</t>
  </si>
  <si>
    <t>26/02/2017</t>
  </si>
  <si>
    <t>19/02/2015</t>
  </si>
  <si>
    <t>13/02/2018</t>
  </si>
  <si>
    <t>27/02/2017</t>
  </si>
  <si>
    <t>22/02/2015</t>
  </si>
  <si>
    <t>14/02/2018</t>
  </si>
  <si>
    <t>28/02/2017</t>
  </si>
  <si>
    <t>23/02/2015</t>
  </si>
  <si>
    <t>15/02/2018</t>
  </si>
  <si>
    <t>14/02/2016</t>
  </si>
  <si>
    <t>24/02/2015</t>
  </si>
  <si>
    <t>18/02/2018</t>
  </si>
  <si>
    <t>16/02/2016</t>
  </si>
  <si>
    <t>25/02/2015</t>
  </si>
  <si>
    <t>13/02/2019</t>
  </si>
  <si>
    <t>19/02/2018</t>
  </si>
  <si>
    <t>17/02/2016</t>
  </si>
  <si>
    <t>26/02/2015</t>
  </si>
  <si>
    <t>14/02/2019</t>
  </si>
  <si>
    <t>20/02/2018</t>
  </si>
  <si>
    <t>18/02/2016</t>
  </si>
  <si>
    <t>17/02/2019</t>
  </si>
  <si>
    <t>22/02/2018</t>
  </si>
  <si>
    <t>22/02/2016</t>
  </si>
  <si>
    <t>18/02/2019</t>
  </si>
  <si>
    <t>25/02/2018</t>
  </si>
  <si>
    <t>23/02/2016</t>
  </si>
  <si>
    <t>19/02/2019</t>
  </si>
  <si>
    <t>26/02/2018</t>
  </si>
  <si>
    <t>24/02/2016</t>
  </si>
  <si>
    <t>20/02/2019</t>
  </si>
  <si>
    <t>27/02/2018</t>
  </si>
  <si>
    <t>25/02/2016</t>
  </si>
  <si>
    <t>24/02/2019</t>
  </si>
  <si>
    <t>28/02/2018</t>
  </si>
  <si>
    <t>13/03/2017</t>
  </si>
  <si>
    <t>28/02/2016</t>
  </si>
  <si>
    <t>25/02/2019</t>
  </si>
  <si>
    <t>14/03/2017</t>
  </si>
  <si>
    <t>29/02/2016</t>
  </si>
  <si>
    <t>26/02/2019</t>
  </si>
  <si>
    <t>15/03/2017</t>
  </si>
  <si>
    <t>27/02/2019</t>
  </si>
  <si>
    <t>16/03/2017</t>
  </si>
  <si>
    <t>19/03/2017</t>
  </si>
  <si>
    <t>20/03/2017</t>
  </si>
  <si>
    <t>15/03/2015</t>
  </si>
  <si>
    <t>21/03/2017</t>
  </si>
  <si>
    <t>16/03/2015</t>
  </si>
  <si>
    <t>22/03/2017</t>
  </si>
  <si>
    <t>18/03/2015</t>
  </si>
  <si>
    <t>23/03/2017</t>
  </si>
  <si>
    <t>19/03/2015</t>
  </si>
  <si>
    <t>13/03/2018</t>
  </si>
  <si>
    <t>27/03/2017</t>
  </si>
  <si>
    <t>22/03/2015</t>
  </si>
  <si>
    <t>14/03/2018</t>
  </si>
  <si>
    <t>28/03/2017</t>
  </si>
  <si>
    <t>13/03/2016</t>
  </si>
  <si>
    <t>23/03/2015</t>
  </si>
  <si>
    <t>15/03/2018</t>
  </si>
  <si>
    <t>29/03/2017</t>
  </si>
  <si>
    <t>14/03/2016</t>
  </si>
  <si>
    <t>24/03/2015</t>
  </si>
  <si>
    <t>13/03/2019</t>
  </si>
  <si>
    <t>18/03/2018</t>
  </si>
  <si>
    <t>30/03/2017</t>
  </si>
  <si>
    <t>15/03/2016</t>
  </si>
  <si>
    <t>25/03/2015</t>
  </si>
  <si>
    <t>14/03/2019</t>
  </si>
  <si>
    <t>19/03/2018</t>
  </si>
  <si>
    <t>16/03/2016</t>
  </si>
  <si>
    <t>29/03/2015</t>
  </si>
  <si>
    <t>18/03/2019</t>
  </si>
  <si>
    <t>20/03/2018</t>
  </si>
  <si>
    <t>20/03/2016</t>
  </si>
  <si>
    <t>30/03/2015</t>
  </si>
  <si>
    <t>19/03/2019</t>
  </si>
  <si>
    <t>21/03/2018</t>
  </si>
  <si>
    <t>21/03/2016</t>
  </si>
  <si>
    <t>31/03/2015</t>
  </si>
  <si>
    <t>20/03/2019</t>
  </si>
  <si>
    <t>22/03/2018</t>
  </si>
  <si>
    <t>22/03/2016</t>
  </si>
  <si>
    <t>21/03/2019</t>
  </si>
  <si>
    <t>25/03/2018</t>
  </si>
  <si>
    <t>23/03/2016</t>
  </si>
  <si>
    <t>24/03/2019</t>
  </si>
  <si>
    <t>27/03/2018</t>
  </si>
  <si>
    <t>24/03/2016</t>
  </si>
  <si>
    <t>25/03/2019</t>
  </si>
  <si>
    <t>28/03/2018</t>
  </si>
  <si>
    <t>27/03/2016</t>
  </si>
  <si>
    <t>27/03/2019</t>
  </si>
  <si>
    <t>29/03/2018</t>
  </si>
  <si>
    <t>28/03/2016</t>
  </si>
  <si>
    <t>28/03/2019</t>
  </si>
  <si>
    <t>29/03/2016</t>
  </si>
  <si>
    <t>31/03/2019</t>
  </si>
  <si>
    <t>13/04/2017</t>
  </si>
  <si>
    <t>30/03/2016</t>
  </si>
  <si>
    <t>16/04/2017</t>
  </si>
  <si>
    <t>31/03/2016</t>
  </si>
  <si>
    <t>17/04/2017</t>
  </si>
  <si>
    <t>13/04/2015</t>
  </si>
  <si>
    <t>18/04/2017</t>
  </si>
  <si>
    <t>15/04/2015</t>
  </si>
  <si>
    <t>19/04/2017</t>
  </si>
  <si>
    <t>16/04/2015</t>
  </si>
  <si>
    <t>20/04/2017</t>
  </si>
  <si>
    <t>19/04/2015</t>
  </si>
  <si>
    <t>23/04/2017</t>
  </si>
  <si>
    <t>20/04/2015</t>
  </si>
  <si>
    <t>24/04/2017</t>
  </si>
  <si>
    <t>21/04/2015</t>
  </si>
  <si>
    <t>25/04/2017</t>
  </si>
  <si>
    <t>22/04/2015</t>
  </si>
  <si>
    <t>15/04/2018</t>
  </si>
  <si>
    <t>26/04/2017</t>
  </si>
  <si>
    <t>23/04/2015</t>
  </si>
  <si>
    <t>15/04/2019</t>
  </si>
  <si>
    <t>16/04/2018</t>
  </si>
  <si>
    <t>27/04/2017</t>
  </si>
  <si>
    <t>13/04/2016</t>
  </si>
  <si>
    <t>26/04/2015</t>
  </si>
  <si>
    <t>16/04/2019</t>
  </si>
  <si>
    <t>17/04/2018</t>
  </si>
  <si>
    <t>30/04/2017</t>
  </si>
  <si>
    <t>17/04/2016</t>
  </si>
  <si>
    <t>27/04/2015</t>
  </si>
  <si>
    <t>17/04/2019</t>
  </si>
  <si>
    <t>18/04/2018</t>
  </si>
  <si>
    <t>18/04/2016</t>
  </si>
  <si>
    <t>29/04/2015</t>
  </si>
  <si>
    <t>18/04/2019</t>
  </si>
  <si>
    <t>19/04/2018</t>
  </si>
  <si>
    <t>19/04/2016</t>
  </si>
  <si>
    <t>30/04/2015</t>
  </si>
  <si>
    <t>21/04/2019</t>
  </si>
  <si>
    <t>22/04/2018</t>
  </si>
  <si>
    <t>20/04/2016</t>
  </si>
  <si>
    <t>24/04/2019</t>
  </si>
  <si>
    <t>23/04/2018</t>
  </si>
  <si>
    <t>21/04/2016</t>
  </si>
  <si>
    <t>25/04/2019</t>
  </si>
  <si>
    <t>24/04/2018</t>
  </si>
  <si>
    <t>24/04/2016</t>
  </si>
  <si>
    <t>28/04/2019</t>
  </si>
  <si>
    <t>25/04/2018</t>
  </si>
  <si>
    <t>25/04/2016</t>
  </si>
  <si>
    <t>29/04/2019</t>
  </si>
  <si>
    <t>26/04/2018</t>
  </si>
  <si>
    <t>26/04/2016</t>
  </si>
  <si>
    <t>30/04/2019</t>
  </si>
  <si>
    <t>30/04/2018</t>
  </si>
  <si>
    <t>14/05/2017</t>
  </si>
  <si>
    <t>27/04/2016</t>
  </si>
  <si>
    <t>15/05/2017</t>
  </si>
  <si>
    <t>28/04/2016</t>
  </si>
  <si>
    <t>16/05/2017</t>
  </si>
  <si>
    <t>13/05/2015</t>
  </si>
  <si>
    <t>17/05/2017</t>
  </si>
  <si>
    <t>14/05/2015</t>
  </si>
  <si>
    <t>18/05/2017</t>
  </si>
  <si>
    <t>17/05/2015</t>
  </si>
  <si>
    <t>21/05/2017</t>
  </si>
  <si>
    <t>18/05/2015</t>
  </si>
  <si>
    <t>22/05/2017</t>
  </si>
  <si>
    <t>19/05/2015</t>
  </si>
  <si>
    <t>14/05/2018</t>
  </si>
  <si>
    <t>23/05/2017</t>
  </si>
  <si>
    <t>20/05/2015</t>
  </si>
  <si>
    <t>13/05/2019</t>
  </si>
  <si>
    <t>15/05/2018</t>
  </si>
  <si>
    <t>24/05/2017</t>
  </si>
  <si>
    <t>21/05/2015</t>
  </si>
  <si>
    <t>14/05/2019</t>
  </si>
  <si>
    <t>16/05/2018</t>
  </si>
  <si>
    <t>25/05/2017</t>
  </si>
  <si>
    <t>24/05/2015</t>
  </si>
  <si>
    <t>15/05/2019</t>
  </si>
  <si>
    <t>17/05/2018</t>
  </si>
  <si>
    <t>28/05/2017</t>
  </si>
  <si>
    <t>25/05/2015</t>
  </si>
  <si>
    <t>16/05/2019</t>
  </si>
  <si>
    <t>20/05/2018</t>
  </si>
  <si>
    <t>29/05/2017</t>
  </si>
  <si>
    <t>15/05/2016</t>
  </si>
  <si>
    <t>26/05/2015</t>
  </si>
  <si>
    <t>19/05/2019</t>
  </si>
  <si>
    <t>21/05/2018</t>
  </si>
  <si>
    <t>30/05/2017</t>
  </si>
  <si>
    <t>16/05/2016</t>
  </si>
  <si>
    <t>27/05/2015</t>
  </si>
  <si>
    <t>20/05/2019</t>
  </si>
  <si>
    <t>22/05/2018</t>
  </si>
  <si>
    <t>31/05/2017</t>
  </si>
  <si>
    <t>17/05/2016</t>
  </si>
  <si>
    <t>28/05/2015</t>
  </si>
  <si>
    <t>21/05/2019</t>
  </si>
  <si>
    <t>23/05/2018</t>
  </si>
  <si>
    <t>18/05/2016</t>
  </si>
  <si>
    <t>31/05/2015</t>
  </si>
  <si>
    <t>22/05/2019</t>
  </si>
  <si>
    <t>24/05/2018</t>
  </si>
  <si>
    <t>19/05/2016</t>
  </si>
  <si>
    <t>23/05/2019</t>
  </si>
  <si>
    <t>27/05/2018</t>
  </si>
  <si>
    <t>24/05/2016</t>
  </si>
  <si>
    <t>26/05/2019</t>
  </si>
  <si>
    <t>28/05/2018</t>
  </si>
  <si>
    <t>25/05/2016</t>
  </si>
  <si>
    <t>27/05/2019</t>
  </si>
  <si>
    <t>29/05/2018</t>
  </si>
  <si>
    <t>26/05/2016</t>
  </si>
  <si>
    <t>28/05/2019</t>
  </si>
  <si>
    <t>30/05/2018</t>
  </si>
  <si>
    <t>29/05/2016</t>
  </si>
  <si>
    <t>29/05/2019</t>
  </si>
  <si>
    <t>31/05/2018</t>
  </si>
  <si>
    <t>30/05/2016</t>
  </si>
  <si>
    <t>13/06/2017</t>
  </si>
  <si>
    <t>31/05/2016</t>
  </si>
  <si>
    <t>14/06/2017</t>
  </si>
  <si>
    <t>15/06/2017</t>
  </si>
  <si>
    <t>14/06/2015</t>
  </si>
  <si>
    <t>18/06/2017</t>
  </si>
  <si>
    <t>15/06/2015</t>
  </si>
  <si>
    <t>13/06/2019</t>
  </si>
  <si>
    <t>19/06/2017</t>
  </si>
  <si>
    <t>16/06/2015</t>
  </si>
  <si>
    <t>16/06/2019</t>
  </si>
  <si>
    <t>20/06/2017</t>
  </si>
  <si>
    <t>17/06/2015</t>
  </si>
  <si>
    <t>17/06/2019</t>
  </si>
  <si>
    <t>21/06/2017</t>
  </si>
  <si>
    <t>21/06/2015</t>
  </si>
  <si>
    <t>18/06/2019</t>
  </si>
  <si>
    <t>18/06/2018</t>
  </si>
  <si>
    <t>22/06/2017</t>
  </si>
  <si>
    <t>22/06/2015</t>
  </si>
  <si>
    <t>19/06/2019</t>
  </si>
  <si>
    <t>19/06/2018</t>
  </si>
  <si>
    <t>28/06/2017</t>
  </si>
  <si>
    <t>23/06/2015</t>
  </si>
  <si>
    <t>20/06/2019</t>
  </si>
  <si>
    <t>20/06/2018</t>
  </si>
  <si>
    <t>29/06/2017</t>
  </si>
  <si>
    <t>13/06/2016</t>
  </si>
  <si>
    <t>24/06/2015</t>
  </si>
  <si>
    <t>23/06/2019</t>
  </si>
  <si>
    <t>21/06/2018</t>
  </si>
  <si>
    <t>14/06/2016</t>
  </si>
  <si>
    <t>25/06/2015</t>
  </si>
  <si>
    <t>24/06/2019</t>
  </si>
  <si>
    <t>24/06/2018</t>
  </si>
  <si>
    <t>15/06/2016</t>
  </si>
  <si>
    <t>28/06/2015</t>
  </si>
  <si>
    <t>25/06/2019</t>
  </si>
  <si>
    <t>25/06/2018</t>
  </si>
  <si>
    <t>16/06/2016</t>
  </si>
  <si>
    <t>29/06/2015</t>
  </si>
  <si>
    <t>26/06/2019</t>
  </si>
  <si>
    <t>26/06/2018</t>
  </si>
  <si>
    <t>19/06/2016</t>
  </si>
  <si>
    <t>30/06/2015</t>
  </si>
  <si>
    <t>27/06/2019</t>
  </si>
  <si>
    <t>27/06/2018</t>
  </si>
  <si>
    <t>20/06/2016</t>
  </si>
  <si>
    <t>30/06/2019</t>
  </si>
  <si>
    <t>28/06/2018</t>
  </si>
  <si>
    <t>21/06/2016</t>
  </si>
  <si>
    <t>22/06/2016</t>
  </si>
  <si>
    <t>23/06/2016</t>
  </si>
  <si>
    <t>26/06/2016</t>
  </si>
  <si>
    <t>13/07/2017</t>
  </si>
  <si>
    <t>27/06/2016</t>
  </si>
  <si>
    <t>16/07/2017</t>
  </si>
  <si>
    <t>28/06/2016</t>
  </si>
  <si>
    <t>17/07/2017</t>
  </si>
  <si>
    <t>29/06/2016</t>
  </si>
  <si>
    <t>13/07/2015</t>
  </si>
  <si>
    <t>18/07/2017</t>
  </si>
  <si>
    <t>30/06/2016</t>
  </si>
  <si>
    <t>14/07/2015</t>
  </si>
  <si>
    <t>19/07/2017</t>
  </si>
  <si>
    <t>21/07/2015</t>
  </si>
  <si>
    <t>14/07/2019</t>
  </si>
  <si>
    <t>20/07/2017</t>
  </si>
  <si>
    <t>22/07/2015</t>
  </si>
  <si>
    <t>15/07/2019</t>
  </si>
  <si>
    <t>15/07/2018</t>
  </si>
  <si>
    <t>23/07/2017</t>
  </si>
  <si>
    <t>13/07/2016</t>
  </si>
  <si>
    <t>23/07/2015</t>
  </si>
  <si>
    <t>16/07/2019</t>
  </si>
  <si>
    <t>16/07/2018</t>
  </si>
  <si>
    <t>24/07/2017</t>
  </si>
  <si>
    <t>14/07/2016</t>
  </si>
  <si>
    <t>26/07/2015</t>
  </si>
  <si>
    <t>17/07/2019</t>
  </si>
  <si>
    <t>17/07/2018</t>
  </si>
  <si>
    <t>25/07/2017</t>
  </si>
  <si>
    <t>16/07/2016</t>
  </si>
  <si>
    <t>27/07/2015</t>
  </si>
  <si>
    <t>18/07/2019</t>
  </si>
  <si>
    <t>18/07/2018</t>
  </si>
  <si>
    <t>26/07/2017</t>
  </si>
  <si>
    <t>17/07/2016</t>
  </si>
  <si>
    <t>28/07/2015</t>
  </si>
  <si>
    <t>21/07/2019</t>
  </si>
  <si>
    <t>19/07/2018</t>
  </si>
  <si>
    <t>27/07/2017</t>
  </si>
  <si>
    <t>18/07/2016</t>
  </si>
  <si>
    <t>29/07/2015</t>
  </si>
  <si>
    <t>22/07/2019</t>
  </si>
  <si>
    <t>22/07/2018</t>
  </si>
  <si>
    <t>30/07/2017</t>
  </si>
  <si>
    <t>19/07/2016</t>
  </si>
  <si>
    <t>30/07/2015</t>
  </si>
  <si>
    <t>23/07/2019</t>
  </si>
  <si>
    <t>23/07/2018</t>
  </si>
  <si>
    <t>31/07/2017</t>
  </si>
  <si>
    <t>20/07/2016</t>
  </si>
  <si>
    <t>24/07/2019</t>
  </si>
  <si>
    <t>24/07/2018</t>
  </si>
  <si>
    <t>21/07/2016</t>
  </si>
  <si>
    <t>25/07/2019</t>
  </si>
  <si>
    <t>25/07/2018</t>
  </si>
  <si>
    <t>25/07/2016</t>
  </si>
  <si>
    <t>28/07/2019</t>
  </si>
  <si>
    <t>26/07/2018</t>
  </si>
  <si>
    <t>26/07/2016</t>
  </si>
  <si>
    <t>29/07/2019</t>
  </si>
  <si>
    <t>29/07/2018</t>
  </si>
  <si>
    <t>27/07/2016</t>
  </si>
  <si>
    <t>30/07/2019</t>
  </si>
  <si>
    <t>30/07/2018</t>
  </si>
  <si>
    <t>28/07/2016</t>
  </si>
  <si>
    <t>31/07/2019</t>
  </si>
  <si>
    <t>31/07/2018</t>
  </si>
  <si>
    <t>31/07/2016</t>
  </si>
  <si>
    <t>13/08/2017</t>
  </si>
  <si>
    <t>13/08/2015</t>
  </si>
  <si>
    <t>16/08/2017</t>
  </si>
  <si>
    <t>16/08/2015</t>
  </si>
  <si>
    <t>17/08/2017</t>
  </si>
  <si>
    <t>17/08/2015</t>
  </si>
  <si>
    <t>20/08/2017</t>
  </si>
  <si>
    <t>18/08/2015</t>
  </si>
  <si>
    <t>18/08/2019</t>
  </si>
  <si>
    <t>21/08/2017</t>
  </si>
  <si>
    <t>19/08/2015</t>
  </si>
  <si>
    <t>19/08/2019</t>
  </si>
  <si>
    <t>13/08/2018</t>
  </si>
  <si>
    <t>22/08/2017</t>
  </si>
  <si>
    <t>20/08/2015</t>
  </si>
  <si>
    <t>21/08/2019</t>
  </si>
  <si>
    <t>14/08/2018</t>
  </si>
  <si>
    <t>23/08/2017</t>
  </si>
  <si>
    <t>23/08/2015</t>
  </si>
  <si>
    <t>22/08/2019</t>
  </si>
  <si>
    <t>16/08/2018</t>
  </si>
  <si>
    <t>24/08/2017</t>
  </si>
  <si>
    <t>14/08/2016</t>
  </si>
  <si>
    <t>24/08/2015</t>
  </si>
  <si>
    <t>25/08/2019</t>
  </si>
  <si>
    <t>19/08/2018</t>
  </si>
  <si>
    <t>27/08/2017</t>
  </si>
  <si>
    <t>16/08/2016</t>
  </si>
  <si>
    <t>25/08/2015</t>
  </si>
  <si>
    <t>26/08/2019</t>
  </si>
  <si>
    <t>20/08/2018</t>
  </si>
  <si>
    <t>28/08/2017</t>
  </si>
  <si>
    <t>18/08/2016</t>
  </si>
  <si>
    <t>26/08/2015</t>
  </si>
  <si>
    <t>27/08/2019</t>
  </si>
  <si>
    <t>26/08/2018</t>
  </si>
  <si>
    <t>29/08/2017</t>
  </si>
  <si>
    <t>21/08/2016</t>
  </si>
  <si>
    <t>27/08/2015</t>
  </si>
  <si>
    <t>28/08/2019</t>
  </si>
  <si>
    <t>27/08/2018</t>
  </si>
  <si>
    <t>30/08/2017</t>
  </si>
  <si>
    <t>22/08/2016</t>
  </si>
  <si>
    <t>30/08/2015</t>
  </si>
  <si>
    <t>29/08/2019</t>
  </si>
  <si>
    <t>28/08/2018</t>
  </si>
  <si>
    <t>31/08/2017</t>
  </si>
  <si>
    <t>23/08/2016</t>
  </si>
  <si>
    <t>31/08/2015</t>
  </si>
  <si>
    <t>30/08/2018</t>
  </si>
  <si>
    <t>24/08/2016</t>
  </si>
  <si>
    <t>28/08/2016</t>
  </si>
  <si>
    <t>29/08/2016</t>
  </si>
  <si>
    <t>30/08/2016</t>
  </si>
  <si>
    <t>31/08/2016</t>
  </si>
  <si>
    <t>13/09/2017</t>
  </si>
  <si>
    <t>14/09/2017</t>
  </si>
  <si>
    <t>13/09/2015</t>
  </si>
  <si>
    <t>15/09/2019</t>
  </si>
  <si>
    <t>13/09/2018</t>
  </si>
  <si>
    <t>17/09/2017</t>
  </si>
  <si>
    <t>14/09/2015</t>
  </si>
  <si>
    <t>16/09/2019</t>
  </si>
  <si>
    <t>16/09/2018</t>
  </si>
  <si>
    <t>18/09/2017</t>
  </si>
  <si>
    <t>18/09/2016</t>
  </si>
  <si>
    <t>15/09/2015</t>
  </si>
  <si>
    <t>17/09/2019</t>
  </si>
  <si>
    <t>17/09/2018</t>
  </si>
  <si>
    <t>19/09/2017</t>
  </si>
  <si>
    <t>19/09/2016</t>
  </si>
  <si>
    <t>16/09/2015</t>
  </si>
  <si>
    <t>18/09/2019</t>
  </si>
  <si>
    <t>18/09/2018</t>
  </si>
  <si>
    <t>20/09/2017</t>
  </si>
  <si>
    <t>20/09/2016</t>
  </si>
  <si>
    <t>17/09/2015</t>
  </si>
  <si>
    <t>19/09/2019</t>
  </si>
  <si>
    <t>19/09/2018</t>
  </si>
  <si>
    <t>21/09/2017</t>
  </si>
  <si>
    <t>21/09/2016</t>
  </si>
  <si>
    <t>20/09/2015</t>
  </si>
  <si>
    <t>22/09/2019</t>
  </si>
  <si>
    <t>20/09/2018</t>
  </si>
  <si>
    <t>24/09/2017</t>
  </si>
  <si>
    <t>22/09/2016</t>
  </si>
  <si>
    <t>21/09/2015</t>
  </si>
  <si>
    <t>23/09/2019</t>
  </si>
  <si>
    <t>23/09/2018</t>
  </si>
  <si>
    <t>25/09/2017</t>
  </si>
  <si>
    <t>24/09/2016</t>
  </si>
  <si>
    <t>22/09/2015</t>
  </si>
  <si>
    <t>24/09/2019</t>
  </si>
  <si>
    <t>24/09/2018</t>
  </si>
  <si>
    <t>26/09/2017</t>
  </si>
  <si>
    <t>25/09/2016</t>
  </si>
  <si>
    <t>28/09/2015</t>
  </si>
  <si>
    <t>25/09/2019</t>
  </si>
  <si>
    <t>25/09/2018</t>
  </si>
  <si>
    <t>27/09/2017</t>
  </si>
  <si>
    <t>26/09/2016</t>
  </si>
  <si>
    <t>29/09/2015</t>
  </si>
  <si>
    <t>26/09/2019</t>
  </si>
  <si>
    <t>26/09/2018</t>
  </si>
  <si>
    <t>28/09/2017</t>
  </si>
  <si>
    <t>27/09/2016</t>
  </si>
  <si>
    <t>30/09/2015</t>
  </si>
  <si>
    <t>29/09/2019</t>
  </si>
  <si>
    <t>27/09/2018</t>
  </si>
  <si>
    <t>28/09/2016</t>
  </si>
  <si>
    <t>30/09/2019</t>
  </si>
  <si>
    <t>30/09/2018</t>
  </si>
  <si>
    <t>29/09/2016</t>
  </si>
  <si>
    <t>13/10/2015</t>
  </si>
  <si>
    <t>13/10/2019</t>
  </si>
  <si>
    <t>15/10/2017</t>
  </si>
  <si>
    <t>13/10/2016</t>
  </si>
  <si>
    <t>14/10/2015</t>
  </si>
  <si>
    <t>14/10/2019</t>
  </si>
  <si>
    <t>16/10/2017</t>
  </si>
  <si>
    <t>16/10/2016</t>
  </si>
  <si>
    <t>15/10/2015</t>
  </si>
  <si>
    <t>15/10/2019</t>
  </si>
  <si>
    <t>14/10/2018</t>
  </si>
  <si>
    <t>17/10/2017</t>
  </si>
  <si>
    <t>17/10/2016</t>
  </si>
  <si>
    <t>18/10/2015</t>
  </si>
  <si>
    <t>16/10/2019</t>
  </si>
  <si>
    <t>15/10/2018</t>
  </si>
  <si>
    <t>18/10/2017</t>
  </si>
  <si>
    <t>18/10/2016</t>
  </si>
  <si>
    <t>19/10/2015</t>
  </si>
  <si>
    <t>17/10/2019</t>
  </si>
  <si>
    <t>16/10/2018</t>
  </si>
  <si>
    <t>19/10/2017</t>
  </si>
  <si>
    <t>19/10/2016</t>
  </si>
  <si>
    <t>20/10/2015</t>
  </si>
  <si>
    <t>20/10/2019</t>
  </si>
  <si>
    <t>17/10/2018</t>
  </si>
  <si>
    <t>22/10/2017</t>
  </si>
  <si>
    <t>20/10/2016</t>
  </si>
  <si>
    <t>21/10/2015</t>
  </si>
  <si>
    <t>21/10/2019</t>
  </si>
  <si>
    <t>18/10/2018</t>
  </si>
  <si>
    <t>23/10/2017</t>
  </si>
  <si>
    <t>23/10/2016</t>
  </si>
  <si>
    <t>25/10/2015</t>
  </si>
  <si>
    <t>22/10/2019</t>
  </si>
  <si>
    <t>21/10/2018</t>
  </si>
  <si>
    <t>24/10/2017</t>
  </si>
  <si>
    <t>24/10/2016</t>
  </si>
  <si>
    <t>26/10/2015</t>
  </si>
  <si>
    <t>23/10/2019</t>
  </si>
  <si>
    <t>22/10/2018</t>
  </si>
  <si>
    <t>25/10/2017</t>
  </si>
  <si>
    <t>25/10/2016</t>
  </si>
  <si>
    <t>27/10/2015</t>
  </si>
  <si>
    <t>24/10/2019</t>
  </si>
  <si>
    <t>23/10/2018</t>
  </si>
  <si>
    <t>26/10/2017</t>
  </si>
  <si>
    <t>26/10/2016</t>
  </si>
  <si>
    <t>28/10/2015</t>
  </si>
  <si>
    <t>27/10/2019</t>
  </si>
  <si>
    <t>24/10/2018</t>
  </si>
  <si>
    <t>29/10/2017</t>
  </si>
  <si>
    <t>27/10/2016</t>
  </si>
  <si>
    <t>29/10/2015</t>
  </si>
  <si>
    <t>28/10/2019</t>
  </si>
  <si>
    <t>25/10/2018</t>
  </si>
  <si>
    <t>30/10/2017</t>
  </si>
  <si>
    <t>30/10/2016</t>
  </si>
  <si>
    <t>29/10/2019</t>
  </si>
  <si>
    <t>28/10/2018</t>
  </si>
  <si>
    <t>31/10/2017</t>
  </si>
  <si>
    <t>31/10/2016</t>
  </si>
  <si>
    <t>30/10/2019</t>
  </si>
  <si>
    <t>29/10/2018</t>
  </si>
  <si>
    <t>31/10/2019</t>
  </si>
  <si>
    <t>30/10/2018</t>
  </si>
  <si>
    <t>31/10/2018</t>
  </si>
  <si>
    <t>13/11/2016</t>
  </si>
  <si>
    <t>15/11/2015</t>
  </si>
  <si>
    <t>13/11/2017</t>
  </si>
  <si>
    <t>14/11/2016</t>
  </si>
  <si>
    <t>16/11/2015</t>
  </si>
  <si>
    <t>13/11/2019</t>
  </si>
  <si>
    <t>15/11/2017</t>
  </si>
  <si>
    <t>15/11/2016</t>
  </si>
  <si>
    <t>17/11/2015</t>
  </si>
  <si>
    <t>17/11/2019</t>
  </si>
  <si>
    <t>16/11/2017</t>
  </si>
  <si>
    <t>16/11/2016</t>
  </si>
  <si>
    <t>18/11/2015</t>
  </si>
  <si>
    <t>18/11/2019</t>
  </si>
  <si>
    <t>13/11/2018</t>
  </si>
  <si>
    <t>19/11/2017</t>
  </si>
  <si>
    <t>17/11/2016</t>
  </si>
  <si>
    <t>19/11/2015</t>
  </si>
  <si>
    <t>19/11/2019</t>
  </si>
  <si>
    <t>14/11/2018</t>
  </si>
  <si>
    <t>20/11/2017</t>
  </si>
  <si>
    <t>20/11/2016</t>
  </si>
  <si>
    <t>22/11/2015</t>
  </si>
  <si>
    <t>20/11/2019</t>
  </si>
  <si>
    <t>18/11/2018</t>
  </si>
  <si>
    <t>21/11/2017</t>
  </si>
  <si>
    <t>21/11/2016</t>
  </si>
  <si>
    <t>23/11/2015</t>
  </si>
  <si>
    <t>21/11/2019</t>
  </si>
  <si>
    <t>19/11/2018</t>
  </si>
  <si>
    <t>22/11/2017</t>
  </si>
  <si>
    <t>22/11/2016</t>
  </si>
  <si>
    <t>24/11/2015</t>
  </si>
  <si>
    <t>24/11/2019</t>
  </si>
  <si>
    <t>20/11/2018</t>
  </si>
  <si>
    <t>23/11/2017</t>
  </si>
  <si>
    <t>23/11/2016</t>
  </si>
  <si>
    <t>25/11/2015</t>
  </si>
  <si>
    <t>25/11/2019</t>
  </si>
  <si>
    <t>22/11/2018</t>
  </si>
  <si>
    <t>26/11/2017</t>
  </si>
  <si>
    <t>24/11/2016</t>
  </si>
  <si>
    <t>26/11/2015</t>
  </si>
  <si>
    <t>26/11/2019</t>
  </si>
  <si>
    <t>25/11/2018</t>
  </si>
  <si>
    <t>27/11/2017</t>
  </si>
  <si>
    <t>27/11/2016</t>
  </si>
  <si>
    <t>29/11/2015</t>
  </si>
  <si>
    <t>27/11/2019</t>
  </si>
  <si>
    <t>26/11/2018</t>
  </si>
  <si>
    <t>28/11/2017</t>
  </si>
  <si>
    <t>28/11/2016</t>
  </si>
  <si>
    <t>30/11/2015</t>
  </si>
  <si>
    <t>28/11/2019</t>
  </si>
  <si>
    <t>27/11/2018</t>
  </si>
  <si>
    <t>29/11/2017</t>
  </si>
  <si>
    <t>29/11/2016</t>
  </si>
  <si>
    <t>28/11/2018</t>
  </si>
  <si>
    <t>30/11/2017</t>
  </si>
  <si>
    <t>30/11/2016</t>
  </si>
  <si>
    <t>29/11/2018</t>
  </si>
  <si>
    <t>13/12/2015</t>
  </si>
  <si>
    <t>14/12/2015</t>
  </si>
  <si>
    <t>13/12/2017</t>
  </si>
  <si>
    <t>14/12/2016</t>
  </si>
  <si>
    <t>15/12/2015</t>
  </si>
  <si>
    <t>15/12/2019</t>
  </si>
  <si>
    <t>14/12/2017</t>
  </si>
  <si>
    <t>15/12/2016</t>
  </si>
  <si>
    <t>17/12/2015</t>
  </si>
  <si>
    <t>17/12/2019</t>
  </si>
  <si>
    <t>13/12/2018</t>
  </si>
  <si>
    <t>17/12/2017</t>
  </si>
  <si>
    <t>18/12/2016</t>
  </si>
  <si>
    <t>20/12/2015</t>
  </si>
  <si>
    <t>18/12/2019</t>
  </si>
  <si>
    <t>17/12/2018</t>
  </si>
  <si>
    <t>18/12/2017</t>
  </si>
  <si>
    <t>19/12/2016</t>
  </si>
  <si>
    <t>21/12/2015</t>
  </si>
  <si>
    <t>19/12/2019</t>
  </si>
  <si>
    <t>18/12/2018</t>
  </si>
  <si>
    <t>19/12/2017</t>
  </si>
  <si>
    <t>20/12/2016</t>
  </si>
  <si>
    <t>22/12/2015</t>
  </si>
  <si>
    <t>22/12/2019</t>
  </si>
  <si>
    <t>19/12/2018</t>
  </si>
  <si>
    <t>20/12/2017</t>
  </si>
  <si>
    <t>21/12/2016</t>
  </si>
  <si>
    <t>23/12/2015</t>
  </si>
  <si>
    <t>23/12/2019</t>
  </si>
  <si>
    <t>20/12/2018</t>
  </si>
  <si>
    <t>21/12/2017</t>
  </si>
  <si>
    <t>22/12/2016</t>
  </si>
  <si>
    <t>24/12/2015</t>
  </si>
  <si>
    <t>24/12/2019</t>
  </si>
  <si>
    <t>23/12/2018</t>
  </si>
  <si>
    <t>24/12/2017</t>
  </si>
  <si>
    <t>26/12/2016</t>
  </si>
  <si>
    <t>27/12/2015</t>
  </si>
  <si>
    <t>CV</t>
  </si>
  <si>
    <t>26/12/2019</t>
  </si>
  <si>
    <t>24/12/2018</t>
  </si>
  <si>
    <t>26/12/2017</t>
  </si>
  <si>
    <t>27/12/2016</t>
  </si>
  <si>
    <t>28/12/2015</t>
  </si>
  <si>
    <t>Risk</t>
  </si>
  <si>
    <t>29/12/2019</t>
  </si>
  <si>
    <t>26/12/2018</t>
  </si>
  <si>
    <t>27/12/2017</t>
  </si>
  <si>
    <t>28/12/2016</t>
  </si>
  <si>
    <t>29/12/2015</t>
  </si>
  <si>
    <t>Average</t>
  </si>
  <si>
    <t>30/12/2019</t>
  </si>
  <si>
    <t>27/12/2018</t>
  </si>
  <si>
    <t>28/12/2017</t>
  </si>
  <si>
    <t>29/12/2016</t>
  </si>
  <si>
    <t xml:space="preserve">Average </t>
  </si>
  <si>
    <t>Return</t>
  </si>
  <si>
    <t>Volume</t>
  </si>
  <si>
    <t>Close</t>
  </si>
  <si>
    <t>Low</t>
  </si>
  <si>
    <t>High</t>
  </si>
  <si>
    <t>Open</t>
  </si>
  <si>
    <t>Date</t>
  </si>
  <si>
    <t>Returns</t>
  </si>
  <si>
    <t>Marico</t>
  </si>
  <si>
    <t>Risk (SD)</t>
  </si>
  <si>
    <t>Varience</t>
  </si>
  <si>
    <t xml:space="preserve">                                                                                                                                               kohinoor imcome statement</t>
  </si>
  <si>
    <t>Marico Bangladesh</t>
  </si>
  <si>
    <t>Group 2</t>
  </si>
  <si>
    <t>Your Company</t>
  </si>
  <si>
    <t xml:space="preserve">Benchmark Company </t>
  </si>
  <si>
    <t xml:space="preserve">Kohinoor Chemical </t>
  </si>
  <si>
    <t xml:space="preserve">Marico Bangladesh </t>
  </si>
  <si>
    <t>Name</t>
  </si>
  <si>
    <t>ID</t>
  </si>
  <si>
    <t>Shadman Islam</t>
  </si>
  <si>
    <t>Average return</t>
  </si>
  <si>
    <r>
      <t xml:space="preserve">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Marico Bangladesh</t>
    </r>
  </si>
  <si>
    <t xml:space="preserve">                                                                  Marico 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</si>
</sst>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\ ;\(&quot;$&quot;#,##0.0\)"/>
    <numFmt numFmtId="165" formatCode="_([$$-409]* #,##0.00_);_([$$-409]* \(#,##0.00\);_([$$-409]* &quot;-&quot;??_);_(@_)"/>
    <numFmt numFmtId="166" formatCode="#,##0.0\ ;\(#,##0.0\)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0"/>
      <color theme="0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Arial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Up">
        <fgColor theme="0"/>
        <bgColor theme="5" tint="0.39997558519241921"/>
      </patternFill>
    </fill>
    <fill>
      <patternFill patternType="lightUp">
        <fgColor theme="0"/>
        <bgColor theme="5" tint="0.79998168889431442"/>
      </patternFill>
    </fill>
    <fill>
      <patternFill patternType="lightUp">
        <fgColor theme="0"/>
        <bgColor theme="4" tint="0.39997558519241921"/>
      </patternFill>
    </fill>
    <fill>
      <patternFill patternType="lightUp">
        <fgColor theme="0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lightUp">
        <fgColor theme="0"/>
        <bgColor theme="8" tint="-0.249977111117893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ck">
        <color theme="5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ck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2" fillId="0" borderId="0"/>
    <xf numFmtId="0" fontId="7" fillId="0" borderId="2" applyNumberFormat="0" applyFill="0" applyAlignment="0" applyProtection="0"/>
    <xf numFmtId="44" fontId="8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9" fontId="12" fillId="0" borderId="0" applyFont="0" applyFill="0" applyBorder="0" applyAlignment="0" applyProtection="0"/>
  </cellStyleXfs>
  <cellXfs count="15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3" fontId="0" fillId="3" borderId="1" xfId="0" applyNumberFormat="1" applyFill="1" applyBorder="1"/>
    <xf numFmtId="0" fontId="1" fillId="3" borderId="1" xfId="0" applyFont="1" applyFill="1" applyBorder="1"/>
    <xf numFmtId="2" fontId="0" fillId="3" borderId="1" xfId="0" applyNumberFormat="1" applyFill="1" applyBorder="1"/>
    <xf numFmtId="3" fontId="0" fillId="0" borderId="0" xfId="0" applyNumberFormat="1"/>
    <xf numFmtId="3" fontId="1" fillId="3" borderId="1" xfId="0" applyNumberFormat="1" applyFont="1" applyFill="1" applyBorder="1"/>
    <xf numFmtId="0" fontId="0" fillId="3" borderId="1" xfId="0" applyFont="1" applyFill="1" applyBorder="1"/>
    <xf numFmtId="2" fontId="1" fillId="3" borderId="1" xfId="0" applyNumberFormat="1" applyFont="1" applyFill="1" applyBorder="1"/>
    <xf numFmtId="0" fontId="2" fillId="0" borderId="0" xfId="1"/>
    <xf numFmtId="0" fontId="3" fillId="0" borderId="0" xfId="1" applyFont="1"/>
    <xf numFmtId="0" fontId="4" fillId="0" borderId="0" xfId="1" applyFont="1"/>
    <xf numFmtId="43" fontId="5" fillId="0" borderId="0" xfId="1" applyNumberFormat="1" applyFont="1"/>
    <xf numFmtId="0" fontId="5" fillId="0" borderId="0" xfId="1" applyFont="1" applyAlignment="1">
      <alignment horizontal="right"/>
    </xf>
    <xf numFmtId="164" fontId="6" fillId="0" borderId="0" xfId="1" applyNumberFormat="1" applyFont="1"/>
    <xf numFmtId="164" fontId="3" fillId="0" borderId="0" xfId="1" applyNumberFormat="1" applyFont="1"/>
    <xf numFmtId="43" fontId="5" fillId="0" borderId="3" xfId="2" applyNumberFormat="1" applyFont="1" applyBorder="1"/>
    <xf numFmtId="0" fontId="5" fillId="0" borderId="3" xfId="2" applyFont="1" applyBorder="1" applyAlignment="1">
      <alignment horizontal="left" wrapText="1"/>
    </xf>
    <xf numFmtId="165" fontId="6" fillId="0" borderId="0" xfId="3" applyNumberFormat="1" applyFont="1"/>
    <xf numFmtId="165" fontId="3" fillId="0" borderId="0" xfId="3" applyNumberFormat="1" applyFont="1"/>
    <xf numFmtId="0" fontId="3" fillId="0" borderId="0" xfId="1" applyFont="1" applyAlignment="1">
      <alignment horizontal="left" wrapText="1"/>
    </xf>
    <xf numFmtId="43" fontId="9" fillId="4" borderId="4" xfId="1" applyNumberFormat="1" applyFont="1" applyFill="1" applyBorder="1"/>
    <xf numFmtId="0" fontId="9" fillId="4" borderId="4" xfId="1" applyFont="1" applyFill="1" applyBorder="1" applyAlignment="1">
      <alignment wrapText="1"/>
    </xf>
    <xf numFmtId="43" fontId="2" fillId="5" borderId="0" xfId="4" applyNumberFormat="1"/>
    <xf numFmtId="0" fontId="2" fillId="5" borderId="0" xfId="4" applyAlignment="1">
      <alignment wrapText="1"/>
    </xf>
    <xf numFmtId="0" fontId="9" fillId="4" borderId="0" xfId="4" applyFont="1" applyFill="1" applyAlignment="1">
      <alignment horizontal="center"/>
    </xf>
    <xf numFmtId="0" fontId="9" fillId="4" borderId="0" xfId="4" applyFont="1" applyFill="1" applyAlignment="1">
      <alignment wrapText="1"/>
    </xf>
    <xf numFmtId="166" fontId="6" fillId="0" borderId="0" xfId="1" applyNumberFormat="1" applyFont="1"/>
    <xf numFmtId="166" fontId="3" fillId="0" borderId="0" xfId="1" applyNumberFormat="1" applyFont="1"/>
    <xf numFmtId="0" fontId="10" fillId="0" borderId="0" xfId="1" applyFont="1" applyAlignment="1">
      <alignment wrapText="1"/>
    </xf>
    <xf numFmtId="0" fontId="10" fillId="0" borderId="3" xfId="2" applyFont="1" applyBorder="1" applyAlignment="1">
      <alignment horizontal="center"/>
    </xf>
    <xf numFmtId="0" fontId="5" fillId="0" borderId="3" xfId="2" applyFont="1" applyBorder="1"/>
    <xf numFmtId="43" fontId="5" fillId="0" borderId="2" xfId="2" applyNumberFormat="1" applyFont="1"/>
    <xf numFmtId="0" fontId="5" fillId="0" borderId="2" xfId="2" applyFont="1" applyAlignment="1">
      <alignment wrapText="1"/>
    </xf>
    <xf numFmtId="0" fontId="3" fillId="0" borderId="0" xfId="1" applyFont="1" applyAlignment="1">
      <alignment wrapText="1"/>
    </xf>
    <xf numFmtId="43" fontId="9" fillId="6" borderId="4" xfId="1" applyNumberFormat="1" applyFont="1" applyFill="1" applyBorder="1"/>
    <xf numFmtId="0" fontId="9" fillId="6" borderId="4" xfId="1" applyFont="1" applyFill="1" applyBorder="1" applyAlignment="1">
      <alignment wrapText="1"/>
    </xf>
    <xf numFmtId="43" fontId="2" fillId="7" borderId="0" xfId="5" applyNumberFormat="1"/>
    <xf numFmtId="0" fontId="2" fillId="7" borderId="0" xfId="5" applyAlignment="1">
      <alignment wrapText="1"/>
    </xf>
    <xf numFmtId="0" fontId="9" fillId="6" borderId="0" xfId="5" applyFont="1" applyFill="1" applyAlignment="1">
      <alignment horizontal="center"/>
    </xf>
    <xf numFmtId="0" fontId="9" fillId="6" borderId="0" xfId="5" applyFont="1" applyFill="1" applyAlignment="1">
      <alignment wrapText="1"/>
    </xf>
    <xf numFmtId="43" fontId="9" fillId="6" borderId="4" xfId="5" applyNumberFormat="1" applyFont="1" applyFill="1" applyBorder="1"/>
    <xf numFmtId="0" fontId="9" fillId="6" borderId="4" xfId="5" applyFont="1" applyFill="1" applyBorder="1" applyAlignment="1">
      <alignment wrapText="1"/>
    </xf>
    <xf numFmtId="0" fontId="6" fillId="0" borderId="0" xfId="1" applyFont="1"/>
    <xf numFmtId="0" fontId="10" fillId="0" borderId="2" xfId="2" applyFont="1" applyAlignment="1">
      <alignment horizontal="center"/>
    </xf>
    <xf numFmtId="0" fontId="5" fillId="0" borderId="2" xfId="2" applyFont="1" applyAlignment="1">
      <alignment horizontal="center"/>
    </xf>
    <xf numFmtId="43" fontId="10" fillId="0" borderId="2" xfId="2" applyNumberFormat="1" applyFont="1"/>
    <xf numFmtId="0" fontId="9" fillId="4" borderId="4" xfId="0" applyNumberFormat="1" applyFont="1" applyFill="1" applyBorder="1" applyAlignment="1" applyProtection="1">
      <alignment wrapText="1"/>
    </xf>
    <xf numFmtId="43" fontId="9" fillId="4" borderId="4" xfId="0" applyNumberFormat="1" applyFont="1" applyFill="1" applyBorder="1" applyAlignment="1" applyProtection="1"/>
    <xf numFmtId="43" fontId="10" fillId="0" borderId="3" xfId="2" applyNumberFormat="1" applyFont="1" applyBorder="1"/>
    <xf numFmtId="0" fontId="11" fillId="4" borderId="5" xfId="0" applyNumberFormat="1" applyFont="1" applyFill="1" applyBorder="1" applyAlignment="1">
      <alignment wrapText="1"/>
    </xf>
    <xf numFmtId="43" fontId="11" fillId="4" borderId="6" xfId="0" applyNumberFormat="1" applyFont="1" applyFill="1" applyBorder="1" applyAlignment="1"/>
    <xf numFmtId="43" fontId="11" fillId="4" borderId="7" xfId="0" applyNumberFormat="1" applyFont="1" applyFill="1" applyBorder="1" applyAlignment="1"/>
    <xf numFmtId="0" fontId="14" fillId="0" borderId="0" xfId="0" applyFont="1"/>
    <xf numFmtId="43" fontId="6" fillId="0" borderId="2" xfId="2" applyNumberFormat="1" applyFont="1"/>
    <xf numFmtId="0" fontId="15" fillId="5" borderId="0" xfId="4" applyFont="1" applyAlignment="1">
      <alignment wrapText="1"/>
    </xf>
    <xf numFmtId="43" fontId="15" fillId="5" borderId="0" xfId="4" applyNumberFormat="1" applyFont="1"/>
    <xf numFmtId="0" fontId="1" fillId="0" borderId="0" xfId="0" applyFont="1"/>
    <xf numFmtId="9" fontId="0" fillId="0" borderId="0" xfId="0" applyNumberFormat="1"/>
    <xf numFmtId="0" fontId="13" fillId="8" borderId="8" xfId="0" applyFont="1" applyFill="1" applyBorder="1"/>
    <xf numFmtId="0" fontId="13" fillId="8" borderId="9" xfId="0" applyFont="1" applyFill="1" applyBorder="1"/>
    <xf numFmtId="0" fontId="0" fillId="9" borderId="8" xfId="0" applyFont="1" applyFill="1" applyBorder="1"/>
    <xf numFmtId="0" fontId="0" fillId="9" borderId="9" xfId="0" applyFont="1" applyFill="1" applyBorder="1"/>
    <xf numFmtId="0" fontId="0" fillId="0" borderId="8" xfId="0" applyFont="1" applyBorder="1"/>
    <xf numFmtId="0" fontId="0" fillId="0" borderId="9" xfId="0" applyFont="1" applyBorder="1"/>
    <xf numFmtId="10" fontId="0" fillId="0" borderId="0" xfId="0" applyNumberFormat="1"/>
    <xf numFmtId="43" fontId="0" fillId="0" borderId="0" xfId="0" applyNumberFormat="1"/>
    <xf numFmtId="0" fontId="1" fillId="9" borderId="8" xfId="0" applyFont="1" applyFill="1" applyBorder="1"/>
    <xf numFmtId="9" fontId="0" fillId="0" borderId="9" xfId="0" applyNumberFormat="1" applyFont="1" applyBorder="1"/>
    <xf numFmtId="10" fontId="0" fillId="9" borderId="9" xfId="0" applyNumberFormat="1" applyFont="1" applyFill="1" applyBorder="1"/>
    <xf numFmtId="43" fontId="0" fillId="9" borderId="9" xfId="0" applyNumberFormat="1" applyFont="1" applyFill="1" applyBorder="1"/>
    <xf numFmtId="0" fontId="1" fillId="0" borderId="8" xfId="0" applyFont="1" applyBorder="1"/>
    <xf numFmtId="43" fontId="0" fillId="0" borderId="9" xfId="0" applyNumberFormat="1" applyFont="1" applyBorder="1"/>
    <xf numFmtId="9" fontId="0" fillId="0" borderId="9" xfId="6" applyFont="1" applyBorder="1"/>
    <xf numFmtId="0" fontId="15" fillId="0" borderId="0" xfId="1" applyFont="1"/>
    <xf numFmtId="3" fontId="0" fillId="3" borderId="10" xfId="0" applyNumberFormat="1" applyFill="1" applyBorder="1"/>
    <xf numFmtId="3" fontId="0" fillId="3" borderId="0" xfId="0" applyNumberFormat="1" applyFill="1" applyBorder="1"/>
    <xf numFmtId="0" fontId="2" fillId="5" borderId="0" xfId="4"/>
    <xf numFmtId="0" fontId="9" fillId="4" borderId="0" xfId="4" applyFont="1" applyFill="1"/>
    <xf numFmtId="0" fontId="2" fillId="7" borderId="0" xfId="5"/>
    <xf numFmtId="0" fontId="2" fillId="6" borderId="0" xfId="1" applyFill="1"/>
    <xf numFmtId="0" fontId="15" fillId="6" borderId="0" xfId="1" applyFont="1" applyFill="1"/>
    <xf numFmtId="0" fontId="2" fillId="6" borderId="0" xfId="1" applyFont="1" applyFill="1"/>
    <xf numFmtId="0" fontId="6" fillId="0" borderId="2" xfId="2" applyNumberFormat="1" applyFont="1"/>
    <xf numFmtId="0" fontId="0" fillId="6" borderId="0" xfId="0" applyFont="1" applyFill="1"/>
    <xf numFmtId="0" fontId="6" fillId="0" borderId="0" xfId="1" applyNumberFormat="1" applyFont="1"/>
    <xf numFmtId="0" fontId="1" fillId="2" borderId="0" xfId="0" applyFont="1" applyFill="1"/>
    <xf numFmtId="0" fontId="0" fillId="0" borderId="0" xfId="0" applyNumberFormat="1"/>
    <xf numFmtId="0" fontId="16" fillId="0" borderId="0" xfId="0" applyFont="1"/>
    <xf numFmtId="3" fontId="1" fillId="3" borderId="10" xfId="0" applyNumberFormat="1" applyFont="1" applyFill="1" applyBorder="1"/>
    <xf numFmtId="3" fontId="1" fillId="3" borderId="0" xfId="0" applyNumberFormat="1" applyFont="1" applyFill="1" applyBorder="1"/>
    <xf numFmtId="0" fontId="17" fillId="0" borderId="0" xfId="0" applyFont="1"/>
    <xf numFmtId="0" fontId="2" fillId="0" borderId="0" xfId="1" applyFill="1" applyAlignment="1">
      <alignment wrapText="1"/>
    </xf>
    <xf numFmtId="43" fontId="2" fillId="0" borderId="0" xfId="1" applyNumberFormat="1" applyFill="1"/>
    <xf numFmtId="0" fontId="9" fillId="6" borderId="4" xfId="0" applyNumberFormat="1" applyFont="1" applyFill="1" applyBorder="1" applyAlignment="1" applyProtection="1">
      <alignment wrapText="1"/>
    </xf>
    <xf numFmtId="43" fontId="9" fillId="6" borderId="4" xfId="0" applyNumberFormat="1" applyFont="1" applyFill="1" applyBorder="1" applyAlignment="1" applyProtection="1"/>
    <xf numFmtId="0" fontId="19" fillId="11" borderId="0" xfId="0" applyFont="1" applyFill="1"/>
    <xf numFmtId="0" fontId="20" fillId="11" borderId="0" xfId="0" applyFont="1" applyFill="1"/>
    <xf numFmtId="0" fontId="19" fillId="6" borderId="0" xfId="0" applyFont="1" applyFill="1"/>
    <xf numFmtId="9" fontId="0" fillId="0" borderId="0" xfId="6" applyFont="1"/>
    <xf numFmtId="3" fontId="0" fillId="3" borderId="11" xfId="0" applyNumberFormat="1" applyFill="1" applyBorder="1"/>
    <xf numFmtId="3" fontId="1" fillId="3" borderId="11" xfId="0" applyNumberFormat="1" applyFont="1" applyFill="1" applyBorder="1"/>
    <xf numFmtId="2" fontId="1" fillId="3" borderId="11" xfId="0" applyNumberFormat="1" applyFont="1" applyFill="1" applyBorder="1"/>
    <xf numFmtId="0" fontId="1" fillId="2" borderId="4" xfId="0" applyFont="1" applyFill="1" applyBorder="1"/>
    <xf numFmtId="3" fontId="0" fillId="3" borderId="12" xfId="0" applyNumberFormat="1" applyFill="1" applyBorder="1"/>
    <xf numFmtId="3" fontId="2" fillId="0" borderId="0" xfId="1" applyNumberFormat="1"/>
    <xf numFmtId="0" fontId="21" fillId="0" borderId="0" xfId="0" applyFont="1"/>
    <xf numFmtId="3" fontId="1" fillId="0" borderId="0" xfId="0" applyNumberFormat="1" applyFont="1"/>
    <xf numFmtId="0" fontId="22" fillId="6" borderId="0" xfId="1" applyFont="1" applyFill="1"/>
    <xf numFmtId="3" fontId="2" fillId="7" borderId="0" xfId="5" applyNumberFormat="1"/>
    <xf numFmtId="0" fontId="9" fillId="6" borderId="4" xfId="0" applyFont="1" applyFill="1" applyBorder="1" applyAlignment="1">
      <alignment wrapText="1"/>
    </xf>
    <xf numFmtId="43" fontId="9" fillId="6" borderId="4" xfId="0" applyNumberFormat="1" applyFont="1" applyFill="1" applyBorder="1"/>
    <xf numFmtId="3" fontId="2" fillId="5" borderId="0" xfId="4" applyNumberFormat="1"/>
    <xf numFmtId="0" fontId="15" fillId="5" borderId="0" xfId="4" applyFont="1"/>
    <xf numFmtId="3" fontId="15" fillId="5" borderId="0" xfId="4" applyNumberFormat="1" applyFont="1"/>
    <xf numFmtId="3" fontId="15" fillId="0" borderId="0" xfId="1" applyNumberFormat="1" applyFont="1"/>
    <xf numFmtId="0" fontId="13" fillId="10" borderId="0" xfId="0" applyFont="1" applyFill="1"/>
    <xf numFmtId="2" fontId="0" fillId="0" borderId="0" xfId="0" applyNumberFormat="1"/>
    <xf numFmtId="2" fontId="0" fillId="0" borderId="9" xfId="0" applyNumberFormat="1" applyFont="1" applyBorder="1"/>
    <xf numFmtId="2" fontId="0" fillId="9" borderId="9" xfId="0" applyNumberFormat="1" applyFont="1" applyFill="1" applyBorder="1"/>
    <xf numFmtId="2" fontId="0" fillId="0" borderId="9" xfId="6" applyNumberFormat="1" applyFont="1" applyBorder="1"/>
    <xf numFmtId="10" fontId="0" fillId="0" borderId="0" xfId="6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0" fillId="0" borderId="0" xfId="0" applyAlignment="1"/>
    <xf numFmtId="14" fontId="0" fillId="0" borderId="0" xfId="0" applyNumberFormat="1"/>
    <xf numFmtId="11" fontId="0" fillId="0" borderId="0" xfId="0" applyNumberFormat="1"/>
    <xf numFmtId="0" fontId="0" fillId="0" borderId="13" xfId="0" applyBorder="1" applyAlignment="1">
      <alignment wrapText="1"/>
    </xf>
    <xf numFmtId="0" fontId="24" fillId="0" borderId="13" xfId="0" applyFont="1" applyBorder="1" applyAlignment="1">
      <alignment horizontal="right" wrapText="1"/>
    </xf>
    <xf numFmtId="14" fontId="24" fillId="0" borderId="13" xfId="0" applyNumberFormat="1" applyFont="1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1" fillId="0" borderId="13" xfId="0" applyFont="1" applyBorder="1" applyAlignment="1">
      <alignment wrapText="1"/>
    </xf>
    <xf numFmtId="0" fontId="0" fillId="0" borderId="13" xfId="0" applyBorder="1" applyAlignment="1">
      <alignment horizontal="center" wrapText="1"/>
    </xf>
    <xf numFmtId="0" fontId="24" fillId="0" borderId="13" xfId="0" applyFont="1" applyBorder="1" applyAlignment="1">
      <alignment wrapText="1"/>
    </xf>
    <xf numFmtId="0" fontId="23" fillId="0" borderId="0" xfId="0" applyFont="1"/>
    <xf numFmtId="0" fontId="1" fillId="0" borderId="0" xfId="0" applyFont="1" applyBorder="1"/>
    <xf numFmtId="43" fontId="0" fillId="0" borderId="0" xfId="0" applyNumberFormat="1" applyFont="1" applyBorder="1"/>
    <xf numFmtId="10" fontId="0" fillId="0" borderId="0" xfId="0" applyNumberFormat="1" applyFont="1" applyBorder="1"/>
    <xf numFmtId="10" fontId="0" fillId="0" borderId="0" xfId="6" applyNumberFormat="1" applyFont="1" applyBorder="1"/>
    <xf numFmtId="0" fontId="25" fillId="13" borderId="0" xfId="0" applyFont="1" applyFill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8" fillId="0" borderId="18" xfId="0" applyFont="1" applyBorder="1"/>
    <xf numFmtId="0" fontId="29" fillId="0" borderId="19" xfId="0" applyFont="1" applyBorder="1" applyAlignment="1">
      <alignment horizontal="center"/>
    </xf>
    <xf numFmtId="0" fontId="0" fillId="6" borderId="0" xfId="0" applyFill="1"/>
    <xf numFmtId="2" fontId="1" fillId="0" borderId="0" xfId="0" applyNumberFormat="1" applyFont="1"/>
    <xf numFmtId="0" fontId="25" fillId="12" borderId="14" xfId="0" applyFont="1" applyFill="1" applyBorder="1" applyAlignment="1">
      <alignment horizontal="center"/>
    </xf>
    <xf numFmtId="0" fontId="25" fillId="12" borderId="15" xfId="0" applyFont="1" applyFill="1" applyBorder="1" applyAlignment="1">
      <alignment horizontal="center"/>
    </xf>
    <xf numFmtId="0" fontId="5" fillId="0" borderId="0" xfId="2" applyFont="1" applyBorder="1" applyAlignment="1">
      <alignment horizontal="left" wrapText="1"/>
    </xf>
    <xf numFmtId="0" fontId="5" fillId="0" borderId="2" xfId="2" applyFont="1" applyAlignment="1">
      <alignment horizontal="left" wrapText="1"/>
    </xf>
    <xf numFmtId="0" fontId="5" fillId="0" borderId="0" xfId="2" applyFont="1" applyBorder="1" applyAlignment="1">
      <alignment horizontal="right"/>
    </xf>
    <xf numFmtId="0" fontId="5" fillId="0" borderId="2" xfId="2" applyFont="1" applyAlignment="1">
      <alignment horizontal="right"/>
    </xf>
    <xf numFmtId="0" fontId="0" fillId="0" borderId="0" xfId="0" applyAlignment="1">
      <alignment horizontal="center"/>
    </xf>
  </cellXfs>
  <cellStyles count="7">
    <cellStyle name="Currency 2" xfId="3"/>
    <cellStyle name="Emphasis 1" xfId="5" builtinId="12"/>
    <cellStyle name="Emphasis 2" xfId="4" builtinId="13"/>
    <cellStyle name="Heading 2 2" xfId="2"/>
    <cellStyle name="Normal" xfId="0" builtinId="0"/>
    <cellStyle name="Normal 2" xfId="1"/>
    <cellStyle name="Percent" xfId="6" builtinId="5"/>
  </cellStyles>
  <dxfs count="141">
    <dxf>
      <font>
        <color indexed="10"/>
      </font>
    </dxf>
    <dxf>
      <font>
        <color indexed="1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F0"/>
        </patternFill>
      </fill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lightUp">
          <fgColor theme="0"/>
          <bgColor theme="8" tint="-0.249977111117893"/>
        </patternFill>
      </fill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lightUp">
          <fgColor theme="0"/>
          <bgColor theme="8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lightUp">
          <fgColor theme="0"/>
          <bgColor theme="8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lightUp">
          <fgColor theme="0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lightUp">
          <fgColor theme="0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4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ill>
        <patternFill patternType="lightUp">
          <fgColor theme="0"/>
          <bgColor theme="4" tint="0.39997558519241921"/>
        </patternFill>
      </fill>
    </dxf>
    <dxf>
      <fill>
        <patternFill patternType="lightUp">
          <fgColor theme="0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lightUp">
          <fgColor theme="0"/>
          <bgColor theme="5" tint="0.39997558519241921"/>
        </patternFill>
      </fill>
      <border diagonalUp="0" diagonalDown="0" outline="0">
        <left/>
        <right/>
        <top/>
        <bottom style="thin">
          <color indexed="64"/>
        </bottom>
      </border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lightUp">
          <fgColor theme="0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Sheet7!$D$16</c:f>
              <c:strCache>
                <c:ptCount val="1"/>
                <c:pt idx="0">
                  <c:v>Gross margin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Sheet7!$E$14:$I$14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Sheet7!$E$16:$I$16</c:f>
              <c:numCache>
                <c:formatCode>0%</c:formatCode>
                <c:ptCount val="5"/>
                <c:pt idx="0">
                  <c:v>0.4898932783382976</c:v>
                </c:pt>
                <c:pt idx="1">
                  <c:v>0.45877136496462051</c:v>
                </c:pt>
                <c:pt idx="2">
                  <c:v>0.46352910189551155</c:v>
                </c:pt>
                <c:pt idx="3">
                  <c:v>0.47068365046765309</c:v>
                </c:pt>
                <c:pt idx="4">
                  <c:v>0.44989842577674127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F9-485A-9AC5-D41BC57F0602}"/>
            </c:ext>
          </c:extLst>
        </c:ser>
        <c:ser>
          <c:idx val="1"/>
          <c:order val="1"/>
          <c:tx>
            <c:strRef>
              <c:f>Sheet7!$D$17</c:f>
              <c:strCache>
                <c:ptCount val="1"/>
                <c:pt idx="0">
                  <c:v>Operating profit margin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Sheet7!$E$14:$I$14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Sheet7!$E$17:$I$17</c:f>
              <c:numCache>
                <c:formatCode>0.00%</c:formatCode>
                <c:ptCount val="5"/>
                <c:pt idx="0">
                  <c:v>0.29556338219332828</c:v>
                </c:pt>
                <c:pt idx="1">
                  <c:v>0.27333769992016826</c:v>
                </c:pt>
                <c:pt idx="2">
                  <c:v>0.26871323910097439</c:v>
                </c:pt>
                <c:pt idx="3">
                  <c:v>0.24656474840565668</c:v>
                </c:pt>
                <c:pt idx="4">
                  <c:v>0.23511730290375069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F9-485A-9AC5-D41BC57F0602}"/>
            </c:ext>
          </c:extLst>
        </c:ser>
        <c:ser>
          <c:idx val="3"/>
          <c:order val="2"/>
          <c:tx>
            <c:strRef>
              <c:f>Sheet7!$D$19</c:f>
              <c:strCache>
                <c:ptCount val="1"/>
                <c:pt idx="0">
                  <c:v>Return on assets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Sheet7!$E$14:$I$14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Sheet7!$E$19:$I$19</c:f>
              <c:numCache>
                <c:formatCode>0.00%</c:formatCode>
                <c:ptCount val="5"/>
                <c:pt idx="0">
                  <c:v>0.44214110306647753</c:v>
                </c:pt>
                <c:pt idx="1">
                  <c:v>0.36843357911030955</c:v>
                </c:pt>
                <c:pt idx="2">
                  <c:v>0.38389154461983033</c:v>
                </c:pt>
                <c:pt idx="3">
                  <c:v>0.40787902815261234</c:v>
                </c:pt>
                <c:pt idx="4">
                  <c:v>0.4009530895298683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6F9-485A-9AC5-D41BC57F0602}"/>
            </c:ext>
          </c:extLst>
        </c:ser>
        <c:ser>
          <c:idx val="4"/>
          <c:order val="3"/>
          <c:tx>
            <c:strRef>
              <c:f>Sheet7!$D$20</c:f>
              <c:strCache>
                <c:ptCount val="1"/>
                <c:pt idx="0">
                  <c:v>Return on equity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Sheet7!$E$14:$I$14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Sheet7!$E$20:$I$20</c:f>
              <c:numCache>
                <c:formatCode>0%</c:formatCode>
                <c:ptCount val="5"/>
                <c:pt idx="0">
                  <c:v>1.5539023606289826</c:v>
                </c:pt>
                <c:pt idx="1">
                  <c:v>1.1005238952516507</c:v>
                </c:pt>
                <c:pt idx="2">
                  <c:v>0.91145034456148566</c:v>
                </c:pt>
                <c:pt idx="3">
                  <c:v>0.82754899913019386</c:v>
                </c:pt>
                <c:pt idx="4">
                  <c:v>0.78541794020965916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6F9-485A-9AC5-D41BC57F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529600"/>
        <c:axId val="115531136"/>
      </c:barChart>
      <c:catAx>
        <c:axId val="1155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1136"/>
        <c:crosses val="autoZero"/>
        <c:auto val="1"/>
        <c:lblAlgn val="ctr"/>
        <c:lblOffset val="100"/>
        <c:noMultiLvlLbl val="0"/>
      </c:catAx>
      <c:valAx>
        <c:axId val="1155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9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70034995625552E-2"/>
          <c:y val="7.407407407407407E-2"/>
          <c:w val="0.8725855205599299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Sheet8!$C$19</c:f>
              <c:strCache>
                <c:ptCount val="1"/>
                <c:pt idx="0">
                  <c:v>Total assets turnover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Sheet8!$D$5:$H$5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Sheet8!$D$19:$H$19</c:f>
              <c:numCache>
                <c:formatCode>General</c:formatCode>
                <c:ptCount val="5"/>
                <c:pt idx="0" formatCode="_(* #,##0.00_);_(* \(#,##0.00\);_(* &quot;-&quot;??_);_(@_)">
                  <c:v>2.1036558505423844</c:v>
                </c:pt>
                <c:pt idx="1">
                  <c:v>1.8930083888678666</c:v>
                </c:pt>
                <c:pt idx="2">
                  <c:v>2.2165951570180105</c:v>
                </c:pt>
                <c:pt idx="3">
                  <c:v>1.7540241366617342</c:v>
                </c:pt>
                <c:pt idx="4">
                  <c:v>1.603954940803568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A9-41C2-83F8-DA6356B5EE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873984"/>
        <c:axId val="150901504"/>
      </c:barChart>
      <c:catAx>
        <c:axId val="1508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1504"/>
        <c:crosses val="autoZero"/>
        <c:auto val="1"/>
        <c:lblAlgn val="ctr"/>
        <c:lblOffset val="100"/>
        <c:noMultiLvlLbl val="0"/>
      </c:catAx>
      <c:valAx>
        <c:axId val="15090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Sheet8!$C$24</c:f>
              <c:strCache>
                <c:ptCount val="1"/>
                <c:pt idx="0">
                  <c:v>P/E ratio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Sheet8!$D$5:$H$5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Sheet8!$D$24:$H$24</c:f>
              <c:numCache>
                <c:formatCode>General</c:formatCode>
                <c:ptCount val="5"/>
                <c:pt idx="0">
                  <c:v>37.102750031722287</c:v>
                </c:pt>
                <c:pt idx="1">
                  <c:v>40.11</c:v>
                </c:pt>
                <c:pt idx="2">
                  <c:v>34.68</c:v>
                </c:pt>
                <c:pt idx="3">
                  <c:v>30.31</c:v>
                </c:pt>
                <c:pt idx="4">
                  <c:v>39.28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B1-4452-A374-605C142C67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516160"/>
        <c:axId val="159523200"/>
      </c:lineChart>
      <c:catAx>
        <c:axId val="1595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3200"/>
        <c:crosses val="autoZero"/>
        <c:auto val="1"/>
        <c:lblAlgn val="ctr"/>
        <c:lblOffset val="100"/>
        <c:noMultiLvlLbl val="0"/>
      </c:catAx>
      <c:valAx>
        <c:axId val="159523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Year-over-year comparison</a:t>
            </a:r>
          </a:p>
        </c:rich>
      </c:tx>
      <c:overlay val="0"/>
    </c:title>
    <c:autoTitleDeleted val="0"/>
    <c:view3D>
      <c:rotX val="14"/>
      <c:rotY val="5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060953838306831E-2"/>
          <c:y val="0.10289473684210526"/>
          <c:w val="0.94185156847742924"/>
          <c:h val="0.509473684210526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('Balance sheet (2)'!$B$6:$B$12,'Balance sheet (2)'!$B$15:$B$20,'Balance sheet (2)'!$B$23:$B$24,'Balance sheet (2)'!$B$30:$B$36,'Balance sheet (2)'!$B$39:$B$41,'Balance sheet (2)'!$B$44:$B$47)</c:f>
              <c:strCache>
                <c:ptCount val="29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Advances, deposits and prepayments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Intangible assets</c:v>
                </c:pt>
                <c:pt idx="9">
                  <c:v>Deferred tax assets</c:v>
                </c:pt>
                <c:pt idx="10">
                  <c:v>Advances, deposits and prepayments</c:v>
                </c:pt>
                <c:pt idx="11">
                  <c:v>Other financial assets</c:v>
                </c:pt>
                <c:pt idx="12">
                  <c:v>Total fixed assets</c:v>
                </c:pt>
                <c:pt idx="13">
                  <c:v>Goodwill</c:v>
                </c:pt>
                <c:pt idx="14">
                  <c:v>Total other assets</c:v>
                </c:pt>
                <c:pt idx="15">
                  <c:v>Accounts payable</c:v>
                </c:pt>
                <c:pt idx="16">
                  <c:v>Employee benefit obligation</c:v>
                </c:pt>
                <c:pt idx="17">
                  <c:v>Trade and other payables</c:v>
                </c:pt>
                <c:pt idx="18">
                  <c:v>Current tax liabilities</c:v>
                </c:pt>
                <c:pt idx="19">
                  <c:v>Provision for gratuity</c:v>
                </c:pt>
                <c:pt idx="20">
                  <c:v>Provision for leave encashment</c:v>
                </c:pt>
                <c:pt idx="21">
                  <c:v>Total current liabilities</c:v>
                </c:pt>
                <c:pt idx="22">
                  <c:v>Employee benefit obligation</c:v>
                </c:pt>
                <c:pt idx="23">
                  <c:v>Total long-term liabilities</c:v>
                </c:pt>
                <c:pt idx="24">
                  <c:v>Total liabilities</c:v>
                </c:pt>
                <c:pt idx="25">
                  <c:v>Share capital</c:v>
                </c:pt>
                <c:pt idx="26">
                  <c:v>Share premium</c:v>
                </c:pt>
                <c:pt idx="27">
                  <c:v>Retained earnings</c:v>
                </c:pt>
                <c:pt idx="28">
                  <c:v>Total owner's equity</c:v>
                </c:pt>
              </c:strCache>
            </c:strRef>
          </c:cat>
          <c:val>
            <c:numRef>
              <c:f>('Balance sheet (2)'!$C$6:$C$12,'Balance sheet (2)'!$C$15:$C$20,'Balance sheet (2)'!$C$23:$C$24,'Balance sheet (2)'!$C$30:$C$36,'Balance sheet (2)'!$C$39:$C$41,'Balance sheet (2)'!$C$44:$C$47)</c:f>
              <c:numCache>
                <c:formatCode>_(* #,##0.00_);_(* \(#,##0.00\);_(* "-"??_);_(@_)</c:formatCode>
                <c:ptCount val="29"/>
                <c:pt idx="0">
                  <c:v>383101877</c:v>
                </c:pt>
                <c:pt idx="1">
                  <c:v>0</c:v>
                </c:pt>
                <c:pt idx="2">
                  <c:v>1091494753</c:v>
                </c:pt>
                <c:pt idx="3">
                  <c:v>22521632</c:v>
                </c:pt>
                <c:pt idx="4">
                  <c:v>435633515</c:v>
                </c:pt>
                <c:pt idx="5">
                  <c:v>2067670160</c:v>
                </c:pt>
                <c:pt idx="6">
                  <c:v>4000421937</c:v>
                </c:pt>
                <c:pt idx="7">
                  <c:v>468716557</c:v>
                </c:pt>
                <c:pt idx="8">
                  <c:v>3647084</c:v>
                </c:pt>
                <c:pt idx="9">
                  <c:v>47513604</c:v>
                </c:pt>
                <c:pt idx="10">
                  <c:v>51127555</c:v>
                </c:pt>
                <c:pt idx="11">
                  <c:v>4921872</c:v>
                </c:pt>
                <c:pt idx="12">
                  <c:v>575926672</c:v>
                </c:pt>
                <c:pt idx="13">
                  <c:v>0</c:v>
                </c:pt>
                <c:pt idx="14">
                  <c:v>0</c:v>
                </c:pt>
                <c:pt idx="15">
                  <c:v>200000000</c:v>
                </c:pt>
                <c:pt idx="16">
                  <c:v>9665787</c:v>
                </c:pt>
                <c:pt idx="17">
                  <c:v>2539270784</c:v>
                </c:pt>
                <c:pt idx="18">
                  <c:v>460368335</c:v>
                </c:pt>
                <c:pt idx="19">
                  <c:v>0</c:v>
                </c:pt>
                <c:pt idx="20">
                  <c:v>0</c:v>
                </c:pt>
                <c:pt idx="21">
                  <c:v>3209304906</c:v>
                </c:pt>
                <c:pt idx="22">
                  <c:v>64907949</c:v>
                </c:pt>
                <c:pt idx="23">
                  <c:v>64907949</c:v>
                </c:pt>
                <c:pt idx="24">
                  <c:v>3274212855</c:v>
                </c:pt>
                <c:pt idx="25">
                  <c:v>315000000</c:v>
                </c:pt>
                <c:pt idx="26">
                  <c:v>252000000</c:v>
                </c:pt>
                <c:pt idx="27">
                  <c:v>735135754</c:v>
                </c:pt>
                <c:pt idx="28">
                  <c:v>1302135754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EB5-478B-9B91-8E45E4BBE9E6}"/>
            </c:ext>
          </c:extLst>
        </c:ser>
        <c:ser>
          <c:idx val="1"/>
          <c:order val="1"/>
          <c:invertIfNegative val="0"/>
          <c:cat>
            <c:strRef>
              <c:f>('Balance sheet (2)'!$B$6:$B$12,'Balance sheet (2)'!$B$15:$B$20,'Balance sheet (2)'!$B$23:$B$24,'Balance sheet (2)'!$B$30:$B$36,'Balance sheet (2)'!$B$39:$B$41,'Balance sheet (2)'!$B$44:$B$47)</c:f>
              <c:strCache>
                <c:ptCount val="29"/>
                <c:pt idx="0">
                  <c:v>Cash</c:v>
                </c:pt>
                <c:pt idx="1">
                  <c:v>Investments</c:v>
                </c:pt>
                <c:pt idx="2">
                  <c:v>Inventories</c:v>
                </c:pt>
                <c:pt idx="3">
                  <c:v>Accounts receivable</c:v>
                </c:pt>
                <c:pt idx="4">
                  <c:v>Advances, deposits and prepayments</c:v>
                </c:pt>
                <c:pt idx="5">
                  <c:v>Other</c:v>
                </c:pt>
                <c:pt idx="6">
                  <c:v>Total current assets</c:v>
                </c:pt>
                <c:pt idx="7">
                  <c:v>Property and equipment</c:v>
                </c:pt>
                <c:pt idx="8">
                  <c:v>Intangible assets</c:v>
                </c:pt>
                <c:pt idx="9">
                  <c:v>Deferred tax assets</c:v>
                </c:pt>
                <c:pt idx="10">
                  <c:v>Advances, deposits and prepayments</c:v>
                </c:pt>
                <c:pt idx="11">
                  <c:v>Other financial assets</c:v>
                </c:pt>
                <c:pt idx="12">
                  <c:v>Total fixed assets</c:v>
                </c:pt>
                <c:pt idx="13">
                  <c:v>Goodwill</c:v>
                </c:pt>
                <c:pt idx="14">
                  <c:v>Total other assets</c:v>
                </c:pt>
                <c:pt idx="15">
                  <c:v>Accounts payable</c:v>
                </c:pt>
                <c:pt idx="16">
                  <c:v>Employee benefit obligation</c:v>
                </c:pt>
                <c:pt idx="17">
                  <c:v>Trade and other payables</c:v>
                </c:pt>
                <c:pt idx="18">
                  <c:v>Current tax liabilities</c:v>
                </c:pt>
                <c:pt idx="19">
                  <c:v>Provision for gratuity</c:v>
                </c:pt>
                <c:pt idx="20">
                  <c:v>Provision for leave encashment</c:v>
                </c:pt>
                <c:pt idx="21">
                  <c:v>Total current liabilities</c:v>
                </c:pt>
                <c:pt idx="22">
                  <c:v>Employee benefit obligation</c:v>
                </c:pt>
                <c:pt idx="23">
                  <c:v>Total long-term liabilities</c:v>
                </c:pt>
                <c:pt idx="24">
                  <c:v>Total liabilities</c:v>
                </c:pt>
                <c:pt idx="25">
                  <c:v>Share capital</c:v>
                </c:pt>
                <c:pt idx="26">
                  <c:v>Share premium</c:v>
                </c:pt>
                <c:pt idx="27">
                  <c:v>Retained earnings</c:v>
                </c:pt>
                <c:pt idx="28">
                  <c:v>Total owner's equity</c:v>
                </c:pt>
              </c:strCache>
            </c:strRef>
          </c:cat>
          <c:val>
            <c:numRef>
              <c:f>('Balance sheet (2)'!$D$6:$D$12,'Balance sheet (2)'!$D$15:$D$20,'Balance sheet (2)'!$D$23:$D$24,'Balance sheet (2)'!$D$30:$D$36,'Balance sheet (2)'!$D$39:$D$41,'Balance sheet (2)'!$D$44:$D$47)</c:f>
              <c:numCache>
                <c:formatCode>_(* #,##0.00_);_(* \(#,##0.00\);_(* "-"??_);_(@_)</c:formatCode>
                <c:ptCount val="29"/>
                <c:pt idx="0">
                  <c:v>269743772</c:v>
                </c:pt>
                <c:pt idx="1">
                  <c:v>0</c:v>
                </c:pt>
                <c:pt idx="2">
                  <c:v>1717322020</c:v>
                </c:pt>
                <c:pt idx="3">
                  <c:v>0</c:v>
                </c:pt>
                <c:pt idx="4">
                  <c:v>1244197702</c:v>
                </c:pt>
                <c:pt idx="5">
                  <c:v>610794216</c:v>
                </c:pt>
                <c:pt idx="6">
                  <c:v>3842057710</c:v>
                </c:pt>
                <c:pt idx="7">
                  <c:v>511585227</c:v>
                </c:pt>
                <c:pt idx="8">
                  <c:v>6188057</c:v>
                </c:pt>
                <c:pt idx="9">
                  <c:v>58510013</c:v>
                </c:pt>
                <c:pt idx="10">
                  <c:v>34928937</c:v>
                </c:pt>
                <c:pt idx="11">
                  <c:v>5138448</c:v>
                </c:pt>
                <c:pt idx="12">
                  <c:v>616350682</c:v>
                </c:pt>
                <c:pt idx="13">
                  <c:v>0</c:v>
                </c:pt>
                <c:pt idx="15">
                  <c:v>300000000</c:v>
                </c:pt>
                <c:pt idx="16">
                  <c:v>6984584</c:v>
                </c:pt>
                <c:pt idx="17">
                  <c:v>2222763532</c:v>
                </c:pt>
                <c:pt idx="18">
                  <c:v>386211784</c:v>
                </c:pt>
                <c:pt idx="19">
                  <c:v>0</c:v>
                </c:pt>
                <c:pt idx="20">
                  <c:v>0</c:v>
                </c:pt>
                <c:pt idx="21">
                  <c:v>2915959900</c:v>
                </c:pt>
                <c:pt idx="22">
                  <c:v>49861763</c:v>
                </c:pt>
                <c:pt idx="23">
                  <c:v>49861763</c:v>
                </c:pt>
                <c:pt idx="24">
                  <c:v>2965821663</c:v>
                </c:pt>
                <c:pt idx="25">
                  <c:v>315000000</c:v>
                </c:pt>
                <c:pt idx="26">
                  <c:v>252000000</c:v>
                </c:pt>
                <c:pt idx="27">
                  <c:v>925586729</c:v>
                </c:pt>
                <c:pt idx="28">
                  <c:v>1492586729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EB5-478B-9B91-8E45E4BBE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4713344"/>
        <c:axId val="114714880"/>
        <c:axId val="159520960"/>
      </c:bar3DChart>
      <c:catAx>
        <c:axId val="11471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4714880"/>
        <c:crosses val="autoZero"/>
        <c:auto val="1"/>
        <c:lblAlgn val="ctr"/>
        <c:lblOffset val="100"/>
        <c:noMultiLvlLbl val="0"/>
      </c:catAx>
      <c:valAx>
        <c:axId val="11471488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14713344"/>
        <c:crosses val="autoZero"/>
        <c:crossBetween val="between"/>
      </c:valAx>
      <c:serAx>
        <c:axId val="159520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714880"/>
        <c:crosses val="autoZero"/>
      </c:serAx>
    </c:plotArea>
    <c:legend>
      <c:legendPos val="b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Comparison!$G$10</c:f>
              <c:strCache>
                <c:ptCount val="1"/>
                <c:pt idx="0">
                  <c:v>Kohinoor chemicals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Comparison!$H$10:$L$10</c:f>
              <c:numCache>
                <c:formatCode>0%</c:formatCode>
                <c:ptCount val="5"/>
                <c:pt idx="0">
                  <c:v>0.18026351580992028</c:v>
                </c:pt>
                <c:pt idx="1">
                  <c:v>0.17975555132009938</c:v>
                </c:pt>
                <c:pt idx="2">
                  <c:v>0.17941656738021808</c:v>
                </c:pt>
                <c:pt idx="3">
                  <c:v>0.17954475794416297</c:v>
                </c:pt>
                <c:pt idx="4">
                  <c:v>0.17976368740787732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2E-4633-A1A5-B817E3874B47}"/>
            </c:ext>
          </c:extLst>
        </c:ser>
        <c:ser>
          <c:idx val="1"/>
          <c:order val="1"/>
          <c:tx>
            <c:strRef>
              <c:f>Comparison!$G$11</c:f>
              <c:strCache>
                <c:ptCount val="1"/>
                <c:pt idx="0">
                  <c:v>Marico Bangladesh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Comparison!$H$11:$L$11</c:f>
              <c:numCache>
                <c:formatCode>0.00%</c:formatCode>
                <c:ptCount val="5"/>
                <c:pt idx="0">
                  <c:v>0.4898932783382976</c:v>
                </c:pt>
                <c:pt idx="1">
                  <c:v>0.45877136496462051</c:v>
                </c:pt>
                <c:pt idx="2">
                  <c:v>0.46352910189551155</c:v>
                </c:pt>
                <c:pt idx="3">
                  <c:v>0.47068365046765309</c:v>
                </c:pt>
                <c:pt idx="4">
                  <c:v>0.44989842577674127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2E-4633-A1A5-B817E3874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351232"/>
        <c:axId val="126352768"/>
      </c:barChart>
      <c:catAx>
        <c:axId val="1263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2768"/>
        <c:crosses val="autoZero"/>
        <c:auto val="1"/>
        <c:lblAlgn val="ctr"/>
        <c:lblOffset val="100"/>
        <c:noMultiLvlLbl val="0"/>
      </c:catAx>
      <c:valAx>
        <c:axId val="1263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Comparison!$H$8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Comparison!$G$13:$G$14</c:f>
              <c:strCache>
                <c:ptCount val="2"/>
                <c:pt idx="0">
                  <c:v>Kohinoor chemicals</c:v>
                </c:pt>
                <c:pt idx="1">
                  <c:v>Marico Bangladesh</c:v>
                </c:pt>
              </c:strCache>
            </c:strRef>
          </c:cat>
          <c:val>
            <c:numRef>
              <c:f>Comparison!$H$13:$H$14</c:f>
              <c:numCache>
                <c:formatCode>0.00</c:formatCode>
                <c:ptCount val="2"/>
                <c:pt idx="0">
                  <c:v>10.37</c:v>
                </c:pt>
                <c:pt idx="1">
                  <c:v>64.23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A6-4D65-8CCB-F0F115EC4BE6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Comparison!$G$13:$G$14</c:f>
              <c:strCache>
                <c:ptCount val="2"/>
                <c:pt idx="0">
                  <c:v>Kohinoor chemicals</c:v>
                </c:pt>
                <c:pt idx="1">
                  <c:v>Marico Bangladesh</c:v>
                </c:pt>
              </c:strCache>
            </c:strRef>
          </c:cat>
          <c:val>
            <c:numRef>
              <c:f>Comparison!$I$13:$I$14</c:f>
              <c:numCache>
                <c:formatCode>0.00</c:formatCode>
                <c:ptCount val="2"/>
                <c:pt idx="0">
                  <c:v>11.02318362541806</c:v>
                </c:pt>
                <c:pt idx="1">
                  <c:v>52.14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A6-4D65-8CCB-F0F115EC4BE6}"/>
            </c:ext>
          </c:extLst>
        </c:ser>
        <c:ser>
          <c:idx val="2"/>
          <c:order val="2"/>
          <c:tx>
            <c:strRef>
              <c:f>Comparison!$J$8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Comparison!$G$13:$G$14</c:f>
              <c:strCache>
                <c:ptCount val="2"/>
                <c:pt idx="0">
                  <c:v>Kohinoor chemicals</c:v>
                </c:pt>
                <c:pt idx="1">
                  <c:v>Marico Bangladesh</c:v>
                </c:pt>
              </c:strCache>
            </c:strRef>
          </c:cat>
          <c:val>
            <c:numRef>
              <c:f>Comparison!$J$13:$J$14</c:f>
              <c:numCache>
                <c:formatCode>0.00</c:formatCode>
                <c:ptCount val="2"/>
                <c:pt idx="0">
                  <c:v>10.47</c:v>
                </c:pt>
                <c:pt idx="1">
                  <c:v>45.72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A6-4D65-8CCB-F0F115EC4BE6}"/>
            </c:ext>
          </c:extLst>
        </c:ser>
        <c:ser>
          <c:idx val="3"/>
          <c:order val="3"/>
          <c:tx>
            <c:strRef>
              <c:f>Comparison!$K$8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Comparison!$G$13:$G$14</c:f>
              <c:strCache>
                <c:ptCount val="2"/>
                <c:pt idx="0">
                  <c:v>Kohinoor chemicals</c:v>
                </c:pt>
                <c:pt idx="1">
                  <c:v>Marico Bangladesh</c:v>
                </c:pt>
              </c:strCache>
            </c:strRef>
          </c:cat>
          <c:val>
            <c:numRef>
              <c:f>Comparison!$K$13:$K$14</c:f>
              <c:numCache>
                <c:formatCode>0.00</c:formatCode>
                <c:ptCount val="2"/>
                <c:pt idx="0">
                  <c:v>11.746294350769231</c:v>
                </c:pt>
                <c:pt idx="1">
                  <c:v>44.890485936507936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A6-4D65-8CCB-F0F115EC4BE6}"/>
            </c:ext>
          </c:extLst>
        </c:ser>
        <c:ser>
          <c:idx val="4"/>
          <c:order val="4"/>
          <c:tx>
            <c:strRef>
              <c:f>Comparison!$L$8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Comparison!$G$13:$G$14</c:f>
              <c:strCache>
                <c:ptCount val="2"/>
                <c:pt idx="0">
                  <c:v>Kohinoor chemicals</c:v>
                </c:pt>
                <c:pt idx="1">
                  <c:v>Marico Bangladesh</c:v>
                </c:pt>
              </c:strCache>
            </c:strRef>
          </c:cat>
          <c:val>
            <c:numRef>
              <c:f>Comparison!$L$13:$L$14</c:f>
              <c:numCache>
                <c:formatCode>0.00</c:formatCode>
                <c:ptCount val="2"/>
                <c:pt idx="0">
                  <c:v>9.0050405415384613</c:v>
                </c:pt>
                <c:pt idx="1">
                  <c:v>42.691096349206347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9A6-4D65-8CCB-F0F115EC4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9910528"/>
        <c:axId val="159920512"/>
      </c:barChart>
      <c:catAx>
        <c:axId val="1599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0512"/>
        <c:crosses val="autoZero"/>
        <c:auto val="1"/>
        <c:lblAlgn val="ctr"/>
        <c:lblOffset val="100"/>
        <c:noMultiLvlLbl val="0"/>
      </c:catAx>
      <c:valAx>
        <c:axId val="159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0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Activity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Comparison!$G$19</c:f>
              <c:strCache>
                <c:ptCount val="1"/>
                <c:pt idx="0">
                  <c:v>Kohinoor chemicals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Comparison!$H$19:$L$19</c:f>
              <c:numCache>
                <c:formatCode>_(* #,##0.00_);_(* \(#,##0.00\);_(* "-"??_);_(@_)</c:formatCode>
                <c:ptCount val="5"/>
                <c:pt idx="0">
                  <c:v>2.4535598495456088</c:v>
                </c:pt>
                <c:pt idx="1">
                  <c:v>1.8477325637694408</c:v>
                </c:pt>
                <c:pt idx="2">
                  <c:v>1.8609431076593721</c:v>
                </c:pt>
                <c:pt idx="3">
                  <c:v>1.4260848358368194</c:v>
                </c:pt>
                <c:pt idx="4">
                  <c:v>1.3438546290907689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F3-442B-9DDC-9C6095109A8C}"/>
            </c:ext>
          </c:extLst>
        </c:ser>
        <c:ser>
          <c:idx val="1"/>
          <c:order val="1"/>
          <c:tx>
            <c:strRef>
              <c:f>Comparison!$G$20</c:f>
              <c:strCache>
                <c:ptCount val="1"/>
                <c:pt idx="0">
                  <c:v>Marico Bangladesh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Comparison!$H$20:$L$20</c:f>
              <c:numCache>
                <c:formatCode>_(* #,##0.00_);_(* \(#,##0.00\);_(* "-"??_);_(@_)</c:formatCode>
                <c:ptCount val="5"/>
                <c:pt idx="0">
                  <c:v>1.2465072824713401</c:v>
                </c:pt>
                <c:pt idx="1">
                  <c:v>1.3175962090562356</c:v>
                </c:pt>
                <c:pt idx="2">
                  <c:v>1.4196457488823677</c:v>
                </c:pt>
                <c:pt idx="3">
                  <c:v>1.6183393688756407</c:v>
                </c:pt>
                <c:pt idx="4">
                  <c:v>1.5966452667466478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F3-442B-9DDC-9C6095109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969664"/>
        <c:axId val="159971200"/>
      </c:lineChart>
      <c:catAx>
        <c:axId val="1599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1200"/>
        <c:crosses val="autoZero"/>
        <c:auto val="1"/>
        <c:lblAlgn val="ctr"/>
        <c:lblOffset val="100"/>
        <c:noMultiLvlLbl val="0"/>
      </c:catAx>
      <c:valAx>
        <c:axId val="1599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</a:t>
            </a:r>
            <a:r>
              <a:rPr lang="en-US" baseline="0"/>
              <a:t> ratio</a:t>
            </a:r>
            <a:endParaRPr lang="en-US"/>
          </a:p>
        </c:rich>
      </c:tx>
      <c:layout>
        <c:manualLayout>
          <c:xMode val="edge"/>
          <c:yMode val="edge"/>
          <c:x val="0.38932600480662816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Comparison!$G$25</c:f>
              <c:strCache>
                <c:ptCount val="1"/>
                <c:pt idx="0">
                  <c:v>Kohinoor chemicals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Comparison!$H$25:$L$25</c:f>
              <c:numCache>
                <c:formatCode>_(* #,##0.00_);_(* \(#,##0.00\);_(* "-"??_);_(@_)</c:formatCode>
                <c:ptCount val="5"/>
                <c:pt idx="0">
                  <c:v>0.53584442257349751</c:v>
                </c:pt>
                <c:pt idx="1">
                  <c:v>0.62366667640748097</c:v>
                </c:pt>
                <c:pt idx="2">
                  <c:v>0.63805194889862671</c:v>
                </c:pt>
                <c:pt idx="3">
                  <c:v>0.75563094156365673</c:v>
                </c:pt>
                <c:pt idx="4">
                  <c:v>0.80162331603111903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21-4243-AA59-B0B4F2FE33BF}"/>
            </c:ext>
          </c:extLst>
        </c:ser>
        <c:ser>
          <c:idx val="1"/>
          <c:order val="1"/>
          <c:tx>
            <c:strRef>
              <c:f>Comparison!$G$26</c:f>
              <c:strCache>
                <c:ptCount val="1"/>
                <c:pt idx="0">
                  <c:v>Marico Bangladesh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Comparison!$H$26:$L$26</c:f>
              <c:numCache>
                <c:formatCode>_(* #,##0.00_);_(* \(#,##0.00\);_(* "-"??_);_(@_)</c:formatCode>
                <c:ptCount val="5"/>
                <c:pt idx="0">
                  <c:v>0.71546403798015379</c:v>
                </c:pt>
                <c:pt idx="1">
                  <c:v>0.66521982784748002</c:v>
                </c:pt>
                <c:pt idx="2">
                  <c:v>0.57895694962886579</c:v>
                </c:pt>
                <c:pt idx="3">
                  <c:v>0.50712401491474346</c:v>
                </c:pt>
                <c:pt idx="4">
                  <c:v>0.48950352544425191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21-4243-AA59-B0B4F2FE33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08448"/>
        <c:axId val="160034816"/>
      </c:lineChart>
      <c:catAx>
        <c:axId val="1600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4816"/>
        <c:crosses val="autoZero"/>
        <c:auto val="1"/>
        <c:lblAlgn val="ctr"/>
        <c:lblOffset val="100"/>
        <c:noMultiLvlLbl val="0"/>
      </c:catAx>
      <c:valAx>
        <c:axId val="1600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8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Risk</a:t>
            </a:r>
            <a:r>
              <a:rPr lang="en-US" baseline="0"/>
              <a:t> percantage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Comparison!$G$28</c:f>
              <c:strCache>
                <c:ptCount val="1"/>
                <c:pt idx="0">
                  <c:v>Kohinoor chemicals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Comparison!$H$28:$L$28</c:f>
              <c:numCache>
                <c:formatCode>0.00%</c:formatCode>
                <c:ptCount val="5"/>
                <c:pt idx="0">
                  <c:v>1.2235094889999999E-2</c:v>
                </c:pt>
                <c:pt idx="1">
                  <c:v>1.86831093E-2</c:v>
                </c:pt>
                <c:pt idx="2">
                  <c:v>1.6950819079999999E-2</c:v>
                </c:pt>
                <c:pt idx="3">
                  <c:v>2.6300345700000002E-2</c:v>
                </c:pt>
                <c:pt idx="4">
                  <c:v>1.8514599440000001E-2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77-4FA2-86C9-581DFAFC9A7A}"/>
            </c:ext>
          </c:extLst>
        </c:ser>
        <c:ser>
          <c:idx val="1"/>
          <c:order val="1"/>
          <c:tx>
            <c:strRef>
              <c:f>Comparison!$G$29</c:f>
              <c:strCache>
                <c:ptCount val="1"/>
                <c:pt idx="0">
                  <c:v>Marico Bangladesh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Comparison!$H$29:$L$29</c:f>
              <c:numCache>
                <c:formatCode>0.00%</c:formatCode>
                <c:ptCount val="5"/>
                <c:pt idx="0">
                  <c:v>1.9256125999999998E-2</c:v>
                </c:pt>
                <c:pt idx="1">
                  <c:v>1.7148204E-2</c:v>
                </c:pt>
                <c:pt idx="2">
                  <c:v>1.2195493999999999E-2</c:v>
                </c:pt>
                <c:pt idx="3">
                  <c:v>1.3086192E-2</c:v>
                </c:pt>
                <c:pt idx="4">
                  <c:v>1.7847475000000002E-2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77-4FA2-86C9-581DFAFC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00384"/>
        <c:axId val="163202176"/>
      </c:lineChart>
      <c:catAx>
        <c:axId val="1632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176"/>
        <c:crosses val="autoZero"/>
        <c:auto val="1"/>
        <c:lblAlgn val="ctr"/>
        <c:lblOffset val="100"/>
        <c:noMultiLvlLbl val="0"/>
      </c:catAx>
      <c:valAx>
        <c:axId val="163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0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return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Comparison!$G$31</c:f>
              <c:strCache>
                <c:ptCount val="1"/>
                <c:pt idx="0">
                  <c:v>Kohinoor chemicals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Comparison!$H$31:$L$31</c:f>
              <c:numCache>
                <c:formatCode>0.00%</c:formatCode>
                <c:ptCount val="5"/>
                <c:pt idx="0">
                  <c:v>4.7542865370000002E-4</c:v>
                </c:pt>
                <c:pt idx="1">
                  <c:v>8.097389527E-4</c:v>
                </c:pt>
                <c:pt idx="2">
                  <c:v>8.2175722699999996E-4</c:v>
                </c:pt>
                <c:pt idx="3">
                  <c:v>1.5306303790000001E-3</c:v>
                </c:pt>
                <c:pt idx="4">
                  <c:v>7.8719383760000004E-5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EB-4935-8722-10B740ACD44A}"/>
            </c:ext>
          </c:extLst>
        </c:ser>
        <c:ser>
          <c:idx val="1"/>
          <c:order val="1"/>
          <c:tx>
            <c:strRef>
              <c:f>Comparison!$G$32</c:f>
              <c:strCache>
                <c:ptCount val="1"/>
                <c:pt idx="0">
                  <c:v>Marico Bangladesh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Comparison!$H$8:$L$8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Comparison!$H$32:$L$32</c:f>
              <c:numCache>
                <c:formatCode>0.00%</c:formatCode>
                <c:ptCount val="5"/>
                <c:pt idx="0">
                  <c:v>2.1329970000000002E-3</c:v>
                </c:pt>
                <c:pt idx="1">
                  <c:v>8.5552399999999998E-4</c:v>
                </c:pt>
                <c:pt idx="2">
                  <c:v>6.4200499999999996E-4</c:v>
                </c:pt>
                <c:pt idx="3">
                  <c:v>-1.553986E-3</c:v>
                </c:pt>
                <c:pt idx="4">
                  <c:v>1.2999999999999999E-3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EB-4935-8722-10B740AC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242368"/>
        <c:axId val="163243904"/>
      </c:barChart>
      <c:catAx>
        <c:axId val="1632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3904"/>
        <c:crosses val="autoZero"/>
        <c:auto val="1"/>
        <c:lblAlgn val="ctr"/>
        <c:lblOffset val="100"/>
        <c:noMultiLvlLbl val="0"/>
      </c:catAx>
      <c:valAx>
        <c:axId val="1632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Earning per share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Sheet7!$E$14:$I$14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Sheet7!$E$18:$I$18</c:f>
              <c:numCache>
                <c:formatCode>General</c:formatCode>
                <c:ptCount val="5"/>
                <c:pt idx="0">
                  <c:v>64.23</c:v>
                </c:pt>
                <c:pt idx="1">
                  <c:v>52.14</c:v>
                </c:pt>
                <c:pt idx="2">
                  <c:v>45.72</c:v>
                </c:pt>
                <c:pt idx="3" formatCode="0.00">
                  <c:v>44.890485936507936</c:v>
                </c:pt>
                <c:pt idx="4" formatCode="0.00">
                  <c:v>42.691096349206347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1E1-4BF9-9B63-B7498F4F3D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774976"/>
        <c:axId val="115777920"/>
      </c:lineChart>
      <c:catAx>
        <c:axId val="11577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5777920"/>
        <c:crosses val="autoZero"/>
        <c:auto val="1"/>
        <c:lblAlgn val="ctr"/>
        <c:lblOffset val="100"/>
        <c:noMultiLvlLbl val="0"/>
      </c:catAx>
      <c:valAx>
        <c:axId val="115777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774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Liquidity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Sheet7!$E$14:$I$14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Sheet7!$E$22:$I$22</c:f>
              <c:numCache>
                <c:formatCode>General</c:formatCode>
                <c:ptCount val="5"/>
                <c:pt idx="0">
                  <c:v>1.2465072824713401</c:v>
                </c:pt>
                <c:pt idx="1">
                  <c:v>1.3175962090562356</c:v>
                </c:pt>
                <c:pt idx="2">
                  <c:v>1.4196457488823677</c:v>
                </c:pt>
                <c:pt idx="3">
                  <c:v>1.6183393688756407</c:v>
                </c:pt>
                <c:pt idx="4">
                  <c:v>1.5966452667466478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52-43EF-94B7-3DE198FEEE76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Sheet7!$E$14:$I$14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Sheet7!$E$23:$I$23</c:f>
              <c:numCache>
                <c:formatCode>_(* #,##0.00_);_(* \(#,##0.00\);_(* "-"??_);_(@_)</c:formatCode>
                <c:ptCount val="5"/>
                <c:pt idx="0">
                  <c:v>0.90640411840008572</c:v>
                </c:pt>
                <c:pt idx="1">
                  <c:v>0.72865737625541416</c:v>
                </c:pt>
                <c:pt idx="2">
                  <c:v>0.78566070880044525</c:v>
                </c:pt>
                <c:pt idx="3">
                  <c:v>0.88181619605912986</c:v>
                </c:pt>
                <c:pt idx="4">
                  <c:v>0.46785165254834715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52-43EF-94B7-3DE198FE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88416"/>
        <c:axId val="115684096"/>
      </c:lineChart>
      <c:catAx>
        <c:axId val="1157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4096"/>
        <c:crosses val="autoZero"/>
        <c:auto val="1"/>
        <c:lblAlgn val="ctr"/>
        <c:lblOffset val="100"/>
        <c:noMultiLvlLbl val="0"/>
      </c:catAx>
      <c:valAx>
        <c:axId val="115684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56722076407116"/>
          <c:y val="3.8097007452381704E-2"/>
          <c:w val="0.73728406498207344"/>
          <c:h val="0.82807633293212912"/>
        </c:manualLayout>
      </c:layout>
      <c:lineChart>
        <c:grouping val="standard"/>
        <c:varyColors val="0"/>
        <c:ser>
          <c:idx val="0"/>
          <c:order val="0"/>
          <c:tx>
            <c:strRef>
              <c:f>Sheet7!$D$25</c:f>
              <c:strCache>
                <c:ptCount val="1"/>
                <c:pt idx="0">
                  <c:v>inventroy turnover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Sheet7!$E$14:$I$14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Sheet7!$E$25:$I$25</c:f>
              <c:numCache>
                <c:formatCode>_(* #,##0.00_);_(* \(#,##0.00\);_(* "-"??_);_(@_)</c:formatCode>
                <c:ptCount val="5"/>
                <c:pt idx="0">
                  <c:v>4.0977727201222747</c:v>
                </c:pt>
                <c:pt idx="1">
                  <c:v>2.4628576345862032</c:v>
                </c:pt>
                <c:pt idx="2">
                  <c:v>2.7505501981904357</c:v>
                </c:pt>
                <c:pt idx="3">
                  <c:v>3.0775776179279104</c:v>
                </c:pt>
                <c:pt idx="4">
                  <c:v>2.2177330228284822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8D-464D-A533-900B01AB53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697920"/>
        <c:axId val="115725440"/>
      </c:lineChart>
      <c:catAx>
        <c:axId val="115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5440"/>
        <c:crosses val="autoZero"/>
        <c:auto val="1"/>
        <c:lblAlgn val="ctr"/>
        <c:lblOffset val="100"/>
        <c:noMultiLvlLbl val="0"/>
      </c:catAx>
      <c:valAx>
        <c:axId val="115725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P/E ratio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Sheet7!$E$14:$I$14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Sheet7!$E$33:$I$33</c:f>
              <c:numCache>
                <c:formatCode>General</c:formatCode>
                <c:ptCount val="5"/>
                <c:pt idx="0">
                  <c:v>22.37</c:v>
                </c:pt>
                <c:pt idx="1">
                  <c:v>23.28</c:v>
                </c:pt>
                <c:pt idx="2">
                  <c:v>22</c:v>
                </c:pt>
                <c:pt idx="3">
                  <c:v>29.08</c:v>
                </c:pt>
                <c:pt idx="4">
                  <c:v>33.54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1E1-4BF9-9B63-B7498F4F3D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274752"/>
        <c:axId val="121277440"/>
      </c:lineChart>
      <c:catAx>
        <c:axId val="12127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1277440"/>
        <c:crosses val="autoZero"/>
        <c:auto val="1"/>
        <c:lblAlgn val="ctr"/>
        <c:lblOffset val="100"/>
        <c:noMultiLvlLbl val="0"/>
      </c:catAx>
      <c:valAx>
        <c:axId val="12127744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1274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Ratio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Sheet8!$C$7</c:f>
              <c:strCache>
                <c:ptCount val="1"/>
                <c:pt idx="0">
                  <c:v>Gross margin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Sheet8!$D$5:$H$5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Sheet8!$D$7:$H$7</c:f>
              <c:numCache>
                <c:formatCode>0%</c:formatCode>
                <c:ptCount val="5"/>
                <c:pt idx="0">
                  <c:v>0.18026351580992028</c:v>
                </c:pt>
                <c:pt idx="1">
                  <c:v>0.17975555132009938</c:v>
                </c:pt>
                <c:pt idx="2">
                  <c:v>0.17941656738021808</c:v>
                </c:pt>
                <c:pt idx="3">
                  <c:v>0.17954475794416297</c:v>
                </c:pt>
                <c:pt idx="4">
                  <c:v>0.17976368740787732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A-4A17-9188-F913B70A440C}"/>
            </c:ext>
          </c:extLst>
        </c:ser>
        <c:ser>
          <c:idx val="1"/>
          <c:order val="1"/>
          <c:tx>
            <c:strRef>
              <c:f>Sheet8!$C$8</c:f>
              <c:strCache>
                <c:ptCount val="1"/>
                <c:pt idx="0">
                  <c:v>Operating profit margin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Sheet8!$D$5:$H$5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Sheet8!$D$8:$H$8</c:f>
              <c:numCache>
                <c:formatCode>0%</c:formatCode>
                <c:ptCount val="5"/>
                <c:pt idx="0" formatCode="0.00%">
                  <c:v>6.1855343275780787E-2</c:v>
                </c:pt>
                <c:pt idx="1">
                  <c:v>6.2766494709713877E-2</c:v>
                </c:pt>
                <c:pt idx="2">
                  <c:v>9.797876452004331E-2</c:v>
                </c:pt>
                <c:pt idx="3" formatCode="0.00%">
                  <c:v>6.38297136028914E-2</c:v>
                </c:pt>
                <c:pt idx="4" formatCode="0.00%">
                  <c:v>5.7453978480030941E-2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0A-4A17-9188-F913B70A440C}"/>
            </c:ext>
          </c:extLst>
        </c:ser>
        <c:ser>
          <c:idx val="3"/>
          <c:order val="2"/>
          <c:tx>
            <c:strRef>
              <c:f>Sheet8!$C$10</c:f>
              <c:strCache>
                <c:ptCount val="1"/>
                <c:pt idx="0">
                  <c:v>Return on assets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Sheet8!$D$5:$H$5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Sheet8!$D$10:$H$10</c:f>
              <c:numCache>
                <c:formatCode>0%</c:formatCode>
                <c:ptCount val="5"/>
                <c:pt idx="0" formatCode="0.00%">
                  <c:v>9.1788845133096389E-2</c:v>
                </c:pt>
                <c:pt idx="1">
                  <c:v>7.9879231274789048E-2</c:v>
                </c:pt>
                <c:pt idx="2">
                  <c:v>9.5894088706281688E-2</c:v>
                </c:pt>
                <c:pt idx="3">
                  <c:v>7.7931501794599248E-2</c:v>
                </c:pt>
                <c:pt idx="4">
                  <c:v>5.5212309935538016E-2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E0A-4A17-9188-F913B70A440C}"/>
            </c:ext>
          </c:extLst>
        </c:ser>
        <c:ser>
          <c:idx val="4"/>
          <c:order val="3"/>
          <c:tx>
            <c:strRef>
              <c:f>Sheet8!$C$11</c:f>
              <c:strCache>
                <c:ptCount val="1"/>
                <c:pt idx="0">
                  <c:v>Return on equity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Sheet8!$D$5:$H$5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Sheet8!$D$11:$H$11</c:f>
              <c:numCache>
                <c:formatCode>0%</c:formatCode>
                <c:ptCount val="5"/>
                <c:pt idx="0" formatCode="0.00%">
                  <c:v>0.19775448060328621</c:v>
                </c:pt>
                <c:pt idx="1">
                  <c:v>0.21225659878390035</c:v>
                </c:pt>
                <c:pt idx="2">
                  <c:v>0.26493881764105415</c:v>
                </c:pt>
                <c:pt idx="3">
                  <c:v>0.28578944554110819</c:v>
                </c:pt>
                <c:pt idx="4">
                  <c:v>0.27832055997154709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E0A-4A17-9188-F913B70A440C}"/>
            </c:ext>
          </c:extLst>
        </c:ser>
        <c:ser>
          <c:idx val="2"/>
          <c:order val="4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E0A-4A17-9188-F913B70A4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423872"/>
        <c:axId val="159433856"/>
      </c:barChart>
      <c:catAx>
        <c:axId val="1594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3856"/>
        <c:crosses val="autoZero"/>
        <c:auto val="1"/>
        <c:lblAlgn val="ctr"/>
        <c:lblOffset val="100"/>
        <c:noMultiLvlLbl val="0"/>
      </c:catAx>
      <c:valAx>
        <c:axId val="1594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3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Sheet8!$D$5:$H$5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Sheet8!$D$13:$H$13</c:f>
              <c:numCache>
                <c:formatCode>General</c:formatCode>
                <c:ptCount val="5"/>
                <c:pt idx="0">
                  <c:v>2.4535598495456088</c:v>
                </c:pt>
                <c:pt idx="1">
                  <c:v>1.8477325637694408</c:v>
                </c:pt>
                <c:pt idx="2">
                  <c:v>1.8609431076593721</c:v>
                </c:pt>
                <c:pt idx="3">
                  <c:v>1.4260848358368194</c:v>
                </c:pt>
                <c:pt idx="4">
                  <c:v>1.3438546290907689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2E8-4478-BEC5-870E63284F24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Sheet8!$D$5:$H$5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Sheet8!$D$14:$H$14</c:f>
              <c:numCache>
                <c:formatCode>General</c:formatCode>
                <c:ptCount val="5"/>
                <c:pt idx="0" formatCode="_(* #,##0.00_);_(* \(#,##0.00\);_(* &quot;-&quot;??_);_(@_)">
                  <c:v>1.3478131091971226</c:v>
                </c:pt>
                <c:pt idx="1">
                  <c:v>0.99478662674782914</c:v>
                </c:pt>
                <c:pt idx="2">
                  <c:v>1.1261556012653842</c:v>
                </c:pt>
                <c:pt idx="3">
                  <c:v>0.63076233554905037</c:v>
                </c:pt>
                <c:pt idx="4">
                  <c:v>0.61404335673548138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2E8-4478-BEC5-870E6328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83776"/>
        <c:axId val="159485952"/>
      </c:lineChart>
      <c:catAx>
        <c:axId val="1594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5952"/>
        <c:crosses val="autoZero"/>
        <c:auto val="1"/>
        <c:lblAlgn val="ctr"/>
        <c:lblOffset val="100"/>
        <c:noMultiLvlLbl val="0"/>
      </c:catAx>
      <c:valAx>
        <c:axId val="15948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Earning</a:t>
            </a:r>
            <a:r>
              <a:rPr lang="en-US" baseline="0"/>
              <a:t> per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79593175853018"/>
          <c:y val="0.16912037037037039"/>
          <c:w val="0.82742629046369209"/>
          <c:h val="0.5414519539224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Sheet8!$D$5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Sheet8!$C$9</c:f>
              <c:strCache>
                <c:ptCount val="1"/>
                <c:pt idx="0">
                  <c:v>Earning per share</c:v>
                </c:pt>
              </c:strCache>
            </c:strRef>
          </c:cat>
          <c:val>
            <c:numRef>
              <c:f>Sheet8!$D$9</c:f>
              <c:numCache>
                <c:formatCode>General</c:formatCode>
                <c:ptCount val="1"/>
                <c:pt idx="0">
                  <c:v>10.37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08-482F-97A9-D34D00263F6C}"/>
            </c:ext>
          </c:extLst>
        </c:ser>
        <c:ser>
          <c:idx val="1"/>
          <c:order val="1"/>
          <c:tx>
            <c:strRef>
              <c:f>Sheet8!$E$5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Sheet8!$C$9</c:f>
              <c:strCache>
                <c:ptCount val="1"/>
                <c:pt idx="0">
                  <c:v>Earning per share</c:v>
                </c:pt>
              </c:strCache>
            </c:strRef>
          </c:cat>
          <c:val>
            <c:numRef>
              <c:f>Sheet8!$E$9</c:f>
              <c:numCache>
                <c:formatCode>#,##0</c:formatCode>
                <c:ptCount val="1"/>
                <c:pt idx="0">
                  <c:v>11.02318362541806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08-482F-97A9-D34D00263F6C}"/>
            </c:ext>
          </c:extLst>
        </c:ser>
        <c:ser>
          <c:idx val="2"/>
          <c:order val="2"/>
          <c:tx>
            <c:strRef>
              <c:f>Sheet8!$F$5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Sheet8!$C$9</c:f>
              <c:strCache>
                <c:ptCount val="1"/>
                <c:pt idx="0">
                  <c:v>Earning per share</c:v>
                </c:pt>
              </c:strCache>
            </c:strRef>
          </c:cat>
          <c:val>
            <c:numRef>
              <c:f>Sheet8!$F$9</c:f>
              <c:numCache>
                <c:formatCode>#,##0</c:formatCode>
                <c:ptCount val="1"/>
                <c:pt idx="0">
                  <c:v>10.47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08-482F-97A9-D34D00263F6C}"/>
            </c:ext>
          </c:extLst>
        </c:ser>
        <c:ser>
          <c:idx val="3"/>
          <c:order val="3"/>
          <c:tx>
            <c:strRef>
              <c:f>Sheet8!$G$5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Sheet8!$C$9</c:f>
              <c:strCache>
                <c:ptCount val="1"/>
                <c:pt idx="0">
                  <c:v>Earning per share</c:v>
                </c:pt>
              </c:strCache>
            </c:strRef>
          </c:cat>
          <c:val>
            <c:numRef>
              <c:f>Sheet8!$G$9</c:f>
              <c:numCache>
                <c:formatCode>General</c:formatCode>
                <c:ptCount val="1"/>
                <c:pt idx="0">
                  <c:v>11.746294350769231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08-482F-97A9-D34D00263F6C}"/>
            </c:ext>
          </c:extLst>
        </c:ser>
        <c:ser>
          <c:idx val="4"/>
          <c:order val="4"/>
          <c:tx>
            <c:strRef>
              <c:f>Sheet8!$H$5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Sheet8!$C$9</c:f>
              <c:strCache>
                <c:ptCount val="1"/>
                <c:pt idx="0">
                  <c:v>Earning per share</c:v>
                </c:pt>
              </c:strCache>
            </c:strRef>
          </c:cat>
          <c:val>
            <c:numRef>
              <c:f>Sheet8!$H$9</c:f>
              <c:numCache>
                <c:formatCode>General</c:formatCode>
                <c:ptCount val="1"/>
                <c:pt idx="0">
                  <c:v>9.0050405415384613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508-482F-97A9-D34D0026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669952"/>
        <c:axId val="150688128"/>
      </c:barChart>
      <c:catAx>
        <c:axId val="1506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8128"/>
        <c:crosses val="autoZero"/>
        <c:auto val="1"/>
        <c:lblAlgn val="ctr"/>
        <c:lblOffset val="100"/>
        <c:noMultiLvlLbl val="0"/>
      </c:catAx>
      <c:valAx>
        <c:axId val="1506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Sheet8!$C$16</c:f>
              <c:strCache>
                <c:ptCount val="1"/>
                <c:pt idx="0">
                  <c:v>inventroy turnover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Sheet8!$D$5:$H$5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</c:strCache>
            </c:strRef>
          </c:cat>
          <c:val>
            <c:numRef>
              <c:f>Sheet8!$D$16:$H$16</c:f>
              <c:numCache>
                <c:formatCode>General</c:formatCode>
                <c:ptCount val="5"/>
                <c:pt idx="0" formatCode="_(* #,##0.00_);_(* \(#,##0.00\);_(* &quot;-&quot;??_);_(@_)">
                  <c:v>4.583792428565606</c:v>
                </c:pt>
                <c:pt idx="1">
                  <c:v>4.0003415417372459</c:v>
                </c:pt>
                <c:pt idx="2">
                  <c:v>4.47</c:v>
                </c:pt>
                <c:pt idx="3">
                  <c:v>3.2040702171012603</c:v>
                </c:pt>
                <c:pt idx="4">
                  <c:v>2.9808082113133025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BD-4E6F-87A6-ABB81C1884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704128"/>
        <c:axId val="150706816"/>
      </c:lineChart>
      <c:catAx>
        <c:axId val="1507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6816"/>
        <c:crosses val="autoZero"/>
        <c:auto val="1"/>
        <c:lblAlgn val="ctr"/>
        <c:lblOffset val="100"/>
        <c:noMultiLvlLbl val="0"/>
      </c:catAx>
      <c:valAx>
        <c:axId val="150706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>
    <tabColor theme="5"/>
  </sheetPr>
  <sheetViews>
    <sheetView workbookViewId="0"/>
  </sheetViews>
  <pageMargins left="0.7" right="0.7" top="0.75" bottom="0.75" header="0.3" footer="0.3"/>
  <pageSetup firstPageNumber="26214" orientation="landscape" horizontalDpi="429496729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9</xdr:row>
      <xdr:rowOff>171450</xdr:rowOff>
    </xdr:from>
    <xdr:to>
      <xdr:col>20</xdr:col>
      <xdr:colOff>68580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561D4EC-DCF8-4BE3-8A20-A5100ECA6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35</xdr:row>
      <xdr:rowOff>26670</xdr:rowOff>
    </xdr:from>
    <xdr:to>
      <xdr:col>15</xdr:col>
      <xdr:colOff>175260</xdr:colOff>
      <xdr:row>50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1B5D230-E2C6-4898-B8D1-93C10ABB8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91440</xdr:colOff>
      <xdr:row>35</xdr:row>
      <xdr:rowOff>19050</xdr:rowOff>
    </xdr:from>
    <xdr:to>
      <xdr:col>7</xdr:col>
      <xdr:colOff>327660</xdr:colOff>
      <xdr:row>50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37546C4-FACE-4690-A750-375699C4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51</xdr:row>
      <xdr:rowOff>175260</xdr:rowOff>
    </xdr:from>
    <xdr:to>
      <xdr:col>18</xdr:col>
      <xdr:colOff>381000</xdr:colOff>
      <xdr:row>72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B4B8DEF-DCE4-440B-B01C-99357B5FE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518160</xdr:colOff>
      <xdr:row>51</xdr:row>
      <xdr:rowOff>148590</xdr:rowOff>
    </xdr:from>
    <xdr:to>
      <xdr:col>8</xdr:col>
      <xdr:colOff>68580</xdr:colOff>
      <xdr:row>69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C1D06B5-4B15-4D26-B155-4EE38DF14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4</xdr:row>
      <xdr:rowOff>34290</xdr:rowOff>
    </xdr:from>
    <xdr:to>
      <xdr:col>19</xdr:col>
      <xdr:colOff>601980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62EA57D-2A25-4FE8-B7D6-DDD8BADC7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28</xdr:row>
      <xdr:rowOff>57150</xdr:rowOff>
    </xdr:from>
    <xdr:to>
      <xdr:col>16</xdr:col>
      <xdr:colOff>91440</xdr:colOff>
      <xdr:row>43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0CC6039-013C-47BF-8C0F-11BF00AD2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137160</xdr:colOff>
      <xdr:row>28</xdr:row>
      <xdr:rowOff>102870</xdr:rowOff>
    </xdr:from>
    <xdr:to>
      <xdr:col>8</xdr:col>
      <xdr:colOff>68580</xdr:colOff>
      <xdr:row>43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584C366-E29F-4400-948B-39A661B55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</xdr:colOff>
      <xdr:row>45</xdr:row>
      <xdr:rowOff>95250</xdr:rowOff>
    </xdr:from>
    <xdr:to>
      <xdr:col>7</xdr:col>
      <xdr:colOff>563880</xdr:colOff>
      <xdr:row>60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EC0F290-59A6-49AC-BE28-9B258FB32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236220</xdr:colOff>
      <xdr:row>28</xdr:row>
      <xdr:rowOff>72390</xdr:rowOff>
    </xdr:from>
    <xdr:to>
      <xdr:col>23</xdr:col>
      <xdr:colOff>541020</xdr:colOff>
      <xdr:row>43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4E8A82B-FCBA-4522-9B6C-EF7550040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426720</xdr:colOff>
      <xdr:row>44</xdr:row>
      <xdr:rowOff>57150</xdr:rowOff>
    </xdr:from>
    <xdr:to>
      <xdr:col>17</xdr:col>
      <xdr:colOff>129540</xdr:colOff>
      <xdr:row>63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3689092-ACFB-4E7B-9342-C8CF178F1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 descr="Three-dimensional clustered column chart comparing previous and current year assets and liabilities">
          <a:extLst>
            <a:ext uri="{FF2B5EF4-FFF2-40B4-BE49-F238E27FC236}">
              <a16:creationId xmlns:a16="http://schemas.microsoft.com/office/drawing/2014/main" xmlns="" id="{BBE7F140-133A-4B24-9778-930A398FC6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289560</xdr:colOff>
      <xdr:row>35</xdr:row>
      <xdr:rowOff>49530</xdr:rowOff>
    </xdr:from>
    <xdr:to>
      <xdr:col>23</xdr:col>
      <xdr:colOff>594360</xdr:colOff>
      <xdr:row>51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8E9FE52-47A3-41E2-A976-EC8E305BD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472440</xdr:colOff>
      <xdr:row>35</xdr:row>
      <xdr:rowOff>19050</xdr:rowOff>
    </xdr:from>
    <xdr:to>
      <xdr:col>15</xdr:col>
      <xdr:colOff>556260</xdr:colOff>
      <xdr:row>53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294CC27-9F1E-404F-A43E-AF0C894B0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297180</xdr:colOff>
      <xdr:row>55</xdr:row>
      <xdr:rowOff>80010</xdr:rowOff>
    </xdr:from>
    <xdr:to>
      <xdr:col>15</xdr:col>
      <xdr:colOff>556260</xdr:colOff>
      <xdr:row>74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DC9FA5F-602B-4AD5-9C86-C8B54C6C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35</xdr:row>
      <xdr:rowOff>106680</xdr:rowOff>
    </xdr:from>
    <xdr:to>
      <xdr:col>7</xdr:col>
      <xdr:colOff>236220</xdr:colOff>
      <xdr:row>53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55E23DC-742B-4B55-9BDE-ADFA8A49A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281940</xdr:colOff>
      <xdr:row>55</xdr:row>
      <xdr:rowOff>26670</xdr:rowOff>
    </xdr:from>
    <xdr:to>
      <xdr:col>25</xdr:col>
      <xdr:colOff>175260</xdr:colOff>
      <xdr:row>75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B4C2DA11-05FE-4C07-BC47-447A37961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55</xdr:row>
      <xdr:rowOff>133350</xdr:rowOff>
    </xdr:from>
    <xdr:to>
      <xdr:col>7</xdr:col>
      <xdr:colOff>213360</xdr:colOff>
      <xdr:row>77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1D0AB01-E88C-4C13-87A8-AC5EA2BE6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hinur-Compa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Ratio analysis"/>
      <sheetName val="Industry comparison"/>
    </sheetNames>
    <sheetDataSet>
      <sheetData sheetId="0">
        <row r="5">
          <cell r="H5">
            <v>2996245717</v>
          </cell>
        </row>
        <row r="6">
          <cell r="H6">
            <v>2458285505</v>
          </cell>
        </row>
        <row r="7">
          <cell r="H7">
            <v>537960212</v>
          </cell>
        </row>
        <row r="9">
          <cell r="H9">
            <v>191249506</v>
          </cell>
        </row>
        <row r="11">
          <cell r="H11">
            <v>25081141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3" name="CurrentLiabilities" displayName="CurrentLiabilities" ref="B26:H33" totalsRowCount="1" headerRowDxfId="140" totalsRowDxfId="139" headerRowCellStyle="Emphasis 2" dataCellStyle="Emphasis 2" totalsRowCellStyle="Emphasis 2">
  <autoFilter ref="B26:H32"/>
  <sortState ref="B27:D32">
    <sortCondition descending="1" ref="D26:D32"/>
  </sortState>
  <tableColumns count="7">
    <tableColumn id="1" name="Current liabilities:" totalsRowLabel="Total current liabilities" dataDxfId="138" totalsRowDxfId="137" dataCellStyle="Normal 2"/>
    <tableColumn id="2" name="Previous Year" totalsRowFunction="sum" dataDxfId="136" totalsRowDxfId="135" dataCellStyle="Normal 2"/>
    <tableColumn id="3" name="2019" totalsRowFunction="sum" dataDxfId="134" totalsRowDxfId="133" dataCellStyle="Normal 2"/>
    <tableColumn id="4" name="2018" totalsRowFunction="custom" totalsRowDxfId="132" dataCellStyle="Emphasis 2">
      <totalsRowFormula>E27+E28+E29+E30+E31+E32</totalsRowFormula>
    </tableColumn>
    <tableColumn id="5" name="2017" totalsRowFunction="custom" totalsRowDxfId="131" dataCellStyle="Emphasis 2">
      <totalsRowFormula>F27+F28+F29+F30+F31+F32</totalsRowFormula>
    </tableColumn>
    <tableColumn id="6" name="2016" totalsRowFunction="custom" totalsRowDxfId="130" dataCellStyle="Emphasis 2">
      <totalsRowFormula>G27+G28+G29+G30+G31+G32</totalsRowFormula>
    </tableColumn>
    <tableColumn id="7" name="2015" totalsRowFunction="custom" totalsRowDxfId="129" dataCellStyle="Emphasis 2">
      <totalsRowFormula>H32+H31+H30+H29+H28+H27</totalsRowFormula>
    </tableColumn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10.xml><?xml version="1.0" encoding="utf-8"?>
<table xmlns="http://schemas.openxmlformats.org/spreadsheetml/2006/main" id="26" name="FixedAssets27" displayName="FixedAssets27" ref="B14:G20" totalsRowCount="1" headerRowDxfId="71" totalsRowDxfId="70" dataCellStyle="Emphasis 1">
  <autoFilter ref="B14:G19"/>
  <tableColumns count="6">
    <tableColumn id="1" name="Fixed assets:" totalsRowLabel="Total fixed assets" dataDxfId="69" totalsRowDxfId="68" dataCellStyle="Normal 2"/>
    <tableColumn id="2" name="2019" totalsRowFunction="sum" dataDxfId="67" totalsRowDxfId="66" dataCellStyle="Normal 2"/>
    <tableColumn id="3" name="2018" totalsRowFunction="sum" dataDxfId="65" totalsRowDxfId="64" dataCellStyle="Normal 2"/>
    <tableColumn id="4" name="2017" totalsRowFunction="sum" totalsRowDxfId="63" dataCellStyle="Emphasis 1"/>
    <tableColumn id="5" name="2016" totalsRowFunction="sum" totalsRowDxfId="62" dataCellStyle="Emphasis 1"/>
    <tableColumn id="6" name="2015" totalsRowFunction="sum" totalsRowDxfId="61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Fixed Assets items and values for Previous and Current Years in this table. Total is auto calculated at the end"/>
    </ext>
  </extLst>
</table>
</file>

<file path=xl/tables/table11.xml><?xml version="1.0" encoding="utf-8"?>
<table xmlns="http://schemas.openxmlformats.org/spreadsheetml/2006/main" id="27" name="OtherAssets" displayName="OtherAssets" ref="B22:G24" totalsRowCount="1" headerRowDxfId="60" totalsRowDxfId="59" dataCellStyle="Emphasis 1">
  <autoFilter ref="B22:G23"/>
  <tableColumns count="6">
    <tableColumn id="1" name="Other assets:" totalsRowLabel="Total other assets" dataDxfId="58" totalsRowDxfId="57" dataCellStyle="Normal 2"/>
    <tableColumn id="2" name="2019" totalsRowFunction="sum" dataDxfId="56" totalsRowDxfId="55" dataCellStyle="Normal 2"/>
    <tableColumn id="3" name="2018" dataDxfId="54" totalsRowDxfId="53" dataCellStyle="Normal 2"/>
    <tableColumn id="4" name="2017" totalsRowDxfId="52" dataCellStyle="Emphasis 1"/>
    <tableColumn id="5" name="2016" totalsRowDxfId="51" dataCellStyle="Emphasis 1"/>
    <tableColumn id="6" name="2015" totalsRowDxfId="50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Other Assets items and values for Previous and Current Years in this table. Total is auto calculated at the end"/>
    </ext>
  </extLst>
</table>
</file>

<file path=xl/tables/table12.xml><?xml version="1.0" encoding="utf-8"?>
<table xmlns="http://schemas.openxmlformats.org/spreadsheetml/2006/main" id="28" name="CurrentLiabilities29" displayName="CurrentLiabilities29" ref="B29:G36" totalsRowCount="1" headerRowDxfId="49" totalsRowDxfId="48" headerRowCellStyle="Emphasis 2" dataCellStyle="Emphasis 2" totalsRowCellStyle="Emphasis 2">
  <autoFilter ref="B29:G35"/>
  <tableColumns count="6">
    <tableColumn id="1" name="Current liabilities:" totalsRowLabel="Total current liabilities" dataDxfId="47" totalsRowDxfId="46" dataCellStyle="Normal 2"/>
    <tableColumn id="2" name="2019" totalsRowFunction="sum" dataDxfId="45" totalsRowDxfId="44" dataCellStyle="Normal 2"/>
    <tableColumn id="3" name="2018" totalsRowFunction="sum" dataDxfId="43" totalsRowDxfId="42" dataCellStyle="Normal 2"/>
    <tableColumn id="4" name="2017" totalsRowFunction="sum" totalsRowDxfId="41" dataCellStyle="Emphasis 2"/>
    <tableColumn id="5" name="2016" totalsRowFunction="sum" totalsRowDxfId="40" dataCellStyle="Emphasis 2"/>
    <tableColumn id="6" name="2015" totalsRowFunction="sum" totalsRowDxfId="39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Liabilities and values for Previous and Current Years in this table. Total is auto calculated at the end"/>
    </ext>
  </extLst>
</table>
</file>

<file path=xl/tables/table13.xml><?xml version="1.0" encoding="utf-8"?>
<table xmlns="http://schemas.openxmlformats.org/spreadsheetml/2006/main" id="29" name="LongTermLiabilities30" displayName="LongTermLiabilities30" ref="B38:G41" totalsRowCount="1" headerRowDxfId="38" totalsRowDxfId="37" headerRowCellStyle="Emphasis 2" dataCellStyle="Emphasis 2" totalsRowCellStyle="Emphasis 2">
  <autoFilter ref="B38:G40"/>
  <tableColumns count="6">
    <tableColumn id="1" name="Long-term liabilities:" totalsRowLabel="Total liabilities" dataDxfId="36" totalsRowDxfId="35" dataCellStyle="Emphasis 2"/>
    <tableColumn id="2" name="2019" totalsRowFunction="custom" dataDxfId="34" totalsRowDxfId="33" dataCellStyle="Emphasis 2">
      <totalsRowFormula>C40+C36</totalsRowFormula>
    </tableColumn>
    <tableColumn id="3" name="2018" totalsRowFunction="custom" dataDxfId="32" totalsRowDxfId="31" dataCellStyle="Emphasis 2">
      <totalsRowFormula>D40+D36</totalsRowFormula>
    </tableColumn>
    <tableColumn id="4" name="2017" totalsRowFunction="custom" totalsRowDxfId="30" dataCellStyle="Emphasis 2">
      <totalsRowFormula>E40+E36</totalsRowFormula>
    </tableColumn>
    <tableColumn id="5" name="2016" totalsRowFunction="custom" totalsRowDxfId="29" dataCellStyle="Emphasis 2">
      <totalsRowFormula>F40+F36</totalsRowFormula>
    </tableColumn>
    <tableColumn id="6" name="2015" totalsRowFunction="custom" totalsRowDxfId="28" dataCellStyle="Emphasis 2">
      <totalsRowFormula>G40+G36</totalsRowFormula>
    </tableColumn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Long-term Liabilities and values for Previous and Current Years in this table. Total is auto calculated at the end"/>
    </ext>
  </extLst>
</table>
</file>

<file path=xl/tables/table14.xml><?xml version="1.0" encoding="utf-8"?>
<table xmlns="http://schemas.openxmlformats.org/spreadsheetml/2006/main" id="30" name="OwnersEquity31" displayName="OwnersEquity31" ref="B43:G47" totalsRowCount="1" headerRowDxfId="27" totalsRowDxfId="26" headerRowCellStyle="Emphasis 2" dataCellStyle="Emphasis 2" totalsRowCellStyle="Emphasis 2">
  <autoFilter ref="B43:G46"/>
  <tableColumns count="6">
    <tableColumn id="1" name="Owner's equity:" totalsRowLabel="Total owner's equity" dataDxfId="25" totalsRowDxfId="24" dataCellStyle="Emphasis 2"/>
    <tableColumn id="2" name="2019" totalsRowFunction="sum" dataDxfId="23" totalsRowDxfId="22" dataCellStyle="Emphasis 2"/>
    <tableColumn id="3" name="2018" totalsRowFunction="sum" dataDxfId="21" totalsRowDxfId="20" dataCellStyle="Emphasis 2"/>
    <tableColumn id="4" name="2017" totalsRowFunction="sum" totalsRowDxfId="19" dataCellStyle="Emphasis 2"/>
    <tableColumn id="5" name="2016" totalsRowFunction="sum" totalsRowDxfId="18" dataCellStyle="Emphasis 2"/>
    <tableColumn id="6" name="2015" totalsRowFunction="sum" totalsRowDxfId="17" dataCellStyle="Emphasis 2"/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Owner’s Equity items and values for Previous and Current Years in this table. Total is auto calculated at the end"/>
    </ext>
  </extLst>
</table>
</file>

<file path=xl/tables/table15.xml><?xml version="1.0" encoding="utf-8"?>
<table xmlns="http://schemas.openxmlformats.org/spreadsheetml/2006/main" id="31" name="CurrentAssets32" displayName="CurrentAssets32" ref="B5:G12" totalsRowCount="1" headerRowDxfId="16" totalsRowDxfId="15" dataCellStyle="Emphasis 1">
  <autoFilter ref="B5:G11"/>
  <sortState ref="B6:D11">
    <sortCondition descending="1" ref="D5:D11"/>
  </sortState>
  <tableColumns count="6">
    <tableColumn id="1" name="Current assets:" totalsRowLabel="Total current assets" dataDxfId="14" totalsRowDxfId="13" dataCellStyle="Emphasis 1"/>
    <tableColumn id="2" name="2019" totalsRowFunction="sum" dataDxfId="12" totalsRowDxfId="11" dataCellStyle="Emphasis 1"/>
    <tableColumn id="3" name="2018" totalsRowFunction="sum" dataDxfId="10" totalsRowDxfId="9" dataCellStyle="Emphasis 1"/>
    <tableColumn id="4" name="2017" totalsRowFunction="sum" totalsRowDxfId="8" dataCellStyle="Emphasis 1"/>
    <tableColumn id="5" name="2016" totalsRowFunction="sum" totalsRowDxfId="7" dataCellStyle="Emphasis 1"/>
    <tableColumn id="6" name="2015" totalsRowFunction="sum" totalsRowDxfId="6" dataCellStyle="Emphasis 1"/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ables/table16.xml><?xml version="1.0" encoding="utf-8"?>
<table xmlns="http://schemas.openxmlformats.org/spreadsheetml/2006/main" id="32" name="Table32" displayName="Table32" ref="C5:H24" totalsRowShown="0">
  <autoFilter ref="C5:H24"/>
  <tableColumns count="6">
    <tableColumn id="1" name="Ratio"/>
    <tableColumn id="2" name="2019"/>
    <tableColumn id="3" name="2018" dataDxfId="5">
      <calculatedColumnFormula>658143330/3661324088</calculatedColumnFormula>
    </tableColumn>
    <tableColumn id="4" name="2017" dataDxfId="4">
      <calculatedColumnFormula>146795605/1498238988</calculatedColumnFormula>
    </tableColumn>
    <tableColumn id="5" name="2016" dataDxfId="3"/>
    <tableColumn id="6" name="2015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LongTermLiabilities" displayName="LongTermLiabilities" ref="B35:H39" totalsRowCount="1" headerRowDxfId="128" totalsRowDxfId="127" headerRowCellStyle="Emphasis 2" dataCellStyle="Emphasis 2" totalsRowCellStyle="Emphasis 2">
  <autoFilter ref="B35:H38"/>
  <tableColumns count="7">
    <tableColumn id="1" name="Non current liabilities:" totalsRowLabel="Non current liabilities" dataDxfId="126" totalsRowDxfId="125" dataCellStyle="Emphasis 2"/>
    <tableColumn id="2" name="Previous Year" totalsRowFunction="sum" dataDxfId="124" totalsRowDxfId="123" dataCellStyle="Emphasis 2"/>
    <tableColumn id="3" name="2019" totalsRowFunction="sum" dataDxfId="122" totalsRowDxfId="121" dataCellStyle="Emphasis 2"/>
    <tableColumn id="4" name="2018" totalsRowFunction="custom" totalsRowDxfId="120" dataCellStyle="Emphasis 2">
      <totalsRowFormula>E36+E37+E38</totalsRowFormula>
    </tableColumn>
    <tableColumn id="5" name="2017" totalsRowFunction="custom" totalsRowDxfId="119" dataCellStyle="Emphasis 2">
      <totalsRowFormula>F36+F37+F38</totalsRowFormula>
    </tableColumn>
    <tableColumn id="6" name="2016" totalsRowFunction="custom" totalsRowDxfId="118" dataCellStyle="Emphasis 2">
      <totalsRowFormula>G37</totalsRowFormula>
    </tableColumn>
    <tableColumn id="7" name="2015" totalsRowFunction="custom" totalsRowDxfId="117" dataCellStyle="Emphasis 2">
      <totalsRowFormula>H37</totalsRowFormula>
    </tableColumn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Long-term Liabilities and values for Previous and Current Years in this table. Total is auto calculated at the end"/>
    </ext>
  </extLst>
</table>
</file>

<file path=xl/tables/table3.xml><?xml version="1.0" encoding="utf-8"?>
<table xmlns="http://schemas.openxmlformats.org/spreadsheetml/2006/main" id="5" name="OwnersEquity" displayName="OwnersEquity" ref="B41:H46" totalsRowCount="1" headerRowDxfId="116" totalsRowDxfId="115" headerRowCellStyle="Emphasis 2" dataCellStyle="Emphasis 2" totalsRowCellStyle="Emphasis 2">
  <autoFilter ref="B41:H45"/>
  <tableColumns count="7">
    <tableColumn id="1" name="Owner's equity:" totalsRowLabel="Total owner's equity" dataDxfId="114" totalsRowDxfId="113" dataCellStyle="Emphasis 2"/>
    <tableColumn id="2" name="Previous Year" totalsRowFunction="sum" dataDxfId="112" totalsRowDxfId="111" dataCellStyle="Emphasis 2"/>
    <tableColumn id="3" name="2019" totalsRowFunction="sum" dataDxfId="110" totalsRowDxfId="109" dataCellStyle="Emphasis 2"/>
    <tableColumn id="4" name="2018" totalsRowFunction="custom" totalsRowDxfId="108" dataCellStyle="Emphasis 2">
      <totalsRowFormula>140156250+7143605+37588366+542989305</totalsRowFormula>
    </tableColumn>
    <tableColumn id="5" name="2017" totalsRowFunction="custom" totalsRowDxfId="107" dataCellStyle="Emphasis 2">
      <totalsRowFormula>121875000+7143605+0+425054997</totalsRowFormula>
    </tableColumn>
    <tableColumn id="6" name="2016" totalsRowFunction="custom" totalsRowDxfId="106" dataCellStyle="Emphasis 2">
      <totalsRowFormula>G42+G43+G44+G45</totalsRowFormula>
    </tableColumn>
    <tableColumn id="7" name="2015" totalsRowFunction="custom" totalsRowDxfId="105" dataCellStyle="Emphasis 2">
      <totalsRowFormula>H43+H42+H44+H45</totalsRowFormula>
    </tableColumn>
  </tableColumns>
  <tableStyleInfo name="TableStyleMedium10" showFirstColumn="0" showLastColumn="0" showRowStripes="1" showColumnStripes="0"/>
  <extLst>
    <ext xmlns:x14="http://schemas.microsoft.com/office/spreadsheetml/2009/9/main" uri="{504A1905-F514-4f6f-8877-14C23A59335A}">
      <x14:table altTextSummary="Enter or modify Owner’s Equity items and values for Previous and Current Years in this table. Total is auto calculated at the end"/>
    </ext>
  </extLst>
</table>
</file>

<file path=xl/tables/table4.xml><?xml version="1.0" encoding="utf-8"?>
<table xmlns="http://schemas.openxmlformats.org/spreadsheetml/2006/main" id="6" name="CurrentAssets" displayName="CurrentAssets" ref="B5:H15" totalsRowCount="1" headerRowDxfId="104" totalsRowDxfId="103" dataCellStyle="Emphasis 1">
  <autoFilter ref="B5:H14"/>
  <tableColumns count="7">
    <tableColumn id="1" name="Current assets:" totalsRowLabel="Total current assets" dataDxfId="102" totalsRowDxfId="101" dataCellStyle="Emphasis 1"/>
    <tableColumn id="2" name="Previous Year" totalsRowFunction="sum" dataDxfId="100" totalsRowDxfId="99" dataCellStyle="Emphasis 1"/>
    <tableColumn id="3" name="2019" totalsRowFunction="sum" dataDxfId="98" totalsRowDxfId="97" dataCellStyle="Emphasis 1"/>
    <tableColumn id="4" name="2018" totalsRowFunction="custom" totalsRowDxfId="96" dataCellStyle="Emphasis 1">
      <totalsRowFormula>E6+E7+E8+E9+E10+E11+E12</totalsRowFormula>
    </tableColumn>
    <tableColumn id="5" name="2017" totalsRowFunction="custom" totalsRowDxfId="95" dataCellStyle="Emphasis 1">
      <totalsRowFormula>F6+F7+F8+F9+F10+F11+F12+F13+F14</totalsRowFormula>
    </tableColumn>
    <tableColumn id="6" name="2016" totalsRowFunction="custom" totalsRowDxfId="94" dataCellStyle="Emphasis 1">
      <totalsRowFormula>G6+G7+G8+G9+G10+G11+G12</totalsRowFormula>
    </tableColumn>
    <tableColumn id="7" name="2015" totalsRowFunction="custom" totalsRowDxfId="93" dataCellStyle="Emphasis 1">
      <totalsRowFormula>H6+H7+H8+H9+H10+H11+H12+H13+H14</totalsRowFormula>
    </tableColumn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Current Assets items and values for Previous and Current Years in this table. Total is auto calculated at the end"/>
    </ext>
  </extLst>
</table>
</file>

<file path=xl/tables/table5.xml><?xml version="1.0" encoding="utf-8"?>
<table xmlns="http://schemas.openxmlformats.org/spreadsheetml/2006/main" id="1" name="FixedAssets" displayName="FixedAssets" ref="B17:H20" totalsRowCount="1" headerRowDxfId="92" totalsRowDxfId="91" dataCellStyle="Emphasis 1">
  <autoFilter ref="B17:H19"/>
  <tableColumns count="7">
    <tableColumn id="1" name="Fixed assets:" totalsRowLabel="Total fixed assets" dataDxfId="90" totalsRowDxfId="89" dataCellStyle="Normal 2"/>
    <tableColumn id="2" name="Previous Year" totalsRowFunction="sum" dataDxfId="88" totalsRowDxfId="87" dataCellStyle="Normal 2"/>
    <tableColumn id="3" name="2019" totalsRowFunction="sum" dataDxfId="86" totalsRowDxfId="85" dataCellStyle="Normal 2"/>
    <tableColumn id="4" name="2018" totalsRowLabel="307824838" totalsRowDxfId="84" dataCellStyle="Emphasis 1"/>
    <tableColumn id="5" name="2017" totalsRowLabel="319993892" totalsRowDxfId="83" dataCellStyle="Emphasis 1"/>
    <tableColumn id="6" name="2016" totalsRowFunction="custom" totalsRowDxfId="82" dataCellStyle="Emphasis 1">
      <totalsRowFormula>G18+G19</totalsRowFormula>
    </tableColumn>
    <tableColumn id="7" name="2015" totalsRowFunction="custom" totalsRowDxfId="81" dataCellStyle="Emphasis 1">
      <totalsRowFormula>H18+H19</totalsRowFormula>
    </tableColumn>
  </tableColumns>
  <tableStyleInfo name="TableStyleMedium8" showFirstColumn="0" showLastColumn="0" showRowStripes="1" showColumnStripes="0"/>
  <extLst>
    <ext xmlns:x14="http://schemas.microsoft.com/office/spreadsheetml/2009/9/main" uri="{504A1905-F514-4f6f-8877-14C23A59335A}">
      <x14:table altTextSummary="Enter or modify Fixed Assets items and values for Previous and Current Years in this table. Total is auto calculated at the end"/>
    </ext>
  </extLst>
</table>
</file>

<file path=xl/tables/table6.xml><?xml version="1.0" encoding="utf-8"?>
<table xmlns="http://schemas.openxmlformats.org/spreadsheetml/2006/main" id="7" name="Table7" displayName="Table7" ref="H10:H34" totalsRowShown="0" headerRowDxfId="80" tableBorderDxfId="79">
  <autoFilter ref="H10:H34"/>
  <tableColumns count="1">
    <tableColumn id="1" name="20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I10:I34" totalsRowShown="0" headerRowDxfId="78">
  <autoFilter ref="I10:I34"/>
  <tableColumns count="1">
    <tableColumn id="1" name="20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G10:G34" totalsRowShown="0" headerRowDxfId="77" dataDxfId="75" headerRowBorderDxfId="76" tableBorderDxfId="74" totalsRowBorderDxfId="73">
  <autoFilter ref="G10:G34"/>
  <tableColumns count="1">
    <tableColumn id="1" name="2019" dataDxfId="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J10:K34" totalsRowShown="0">
  <autoFilter ref="J10:K34"/>
  <tableColumns count="2">
    <tableColumn id="1" name="2016"/>
    <tableColumn id="2" name="20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E7:F11"/>
  <sheetViews>
    <sheetView tabSelected="1" workbookViewId="0">
      <selection activeCell="F19" sqref="F19"/>
    </sheetView>
  </sheetViews>
  <sheetFormatPr defaultRowHeight="14.4" x14ac:dyDescent="0.3"/>
  <cols>
    <col min="5" max="5" width="27.33203125" bestFit="1" customWidth="1"/>
    <col min="6" max="6" width="30.5546875" bestFit="1" customWidth="1"/>
  </cols>
  <sheetData>
    <row r="7" spans="5:6" ht="17.399999999999999" x14ac:dyDescent="0.3">
      <c r="E7" s="148" t="s">
        <v>875</v>
      </c>
      <c r="F7" s="149"/>
    </row>
    <row r="8" spans="5:6" ht="17.399999999999999" x14ac:dyDescent="0.3">
      <c r="E8" s="140" t="s">
        <v>876</v>
      </c>
      <c r="F8" s="140" t="s">
        <v>877</v>
      </c>
    </row>
    <row r="9" spans="5:6" x14ac:dyDescent="0.3">
      <c r="E9" s="141" t="s">
        <v>878</v>
      </c>
      <c r="F9" s="141" t="s">
        <v>879</v>
      </c>
    </row>
    <row r="10" spans="5:6" ht="15.6" x14ac:dyDescent="0.3">
      <c r="E10" s="142" t="s">
        <v>880</v>
      </c>
      <c r="F10" s="143" t="s">
        <v>881</v>
      </c>
    </row>
    <row r="11" spans="5:6" ht="15" thickBot="1" x14ac:dyDescent="0.35">
      <c r="E11" s="144" t="s">
        <v>882</v>
      </c>
      <c r="F11" s="145">
        <v>16101304</v>
      </c>
    </row>
  </sheetData>
  <mergeCells count="1">
    <mergeCell ref="E7:F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2"/>
  <sheetViews>
    <sheetView workbookViewId="0">
      <selection activeCell="E2" sqref="E2"/>
    </sheetView>
  </sheetViews>
  <sheetFormatPr defaultRowHeight="14.4" x14ac:dyDescent="0.3"/>
  <cols>
    <col min="1" max="1" width="11.109375" customWidth="1"/>
  </cols>
  <sheetData>
    <row r="1" spans="1:9" ht="15" thickBot="1" x14ac:dyDescent="0.35">
      <c r="A1" s="134" t="s">
        <v>868</v>
      </c>
      <c r="B1" s="134" t="s">
        <v>864</v>
      </c>
      <c r="C1" s="128" t="s">
        <v>862</v>
      </c>
      <c r="D1" s="128"/>
      <c r="E1" s="133">
        <v>2019</v>
      </c>
      <c r="F1" s="133">
        <v>2018</v>
      </c>
      <c r="G1" s="133">
        <v>2017</v>
      </c>
      <c r="H1" s="133">
        <v>2016</v>
      </c>
      <c r="I1" s="133">
        <v>2015</v>
      </c>
    </row>
    <row r="2" spans="1:9" ht="29.4" thickBot="1" x14ac:dyDescent="0.35">
      <c r="A2" s="130">
        <v>43829</v>
      </c>
      <c r="B2" s="129">
        <v>337.2</v>
      </c>
      <c r="C2" s="131">
        <v>2.1199273170000001E-2</v>
      </c>
      <c r="D2" s="132" t="s">
        <v>883</v>
      </c>
      <c r="E2" s="131">
        <v>4.7542865370000002E-4</v>
      </c>
      <c r="F2" s="131">
        <v>8.097389527E-4</v>
      </c>
      <c r="G2" s="131">
        <v>8.2175722699999996E-4</v>
      </c>
      <c r="H2" s="131">
        <v>1.5306303790000001E-3</v>
      </c>
      <c r="I2" s="131">
        <v>7.8719383760000004E-5</v>
      </c>
    </row>
    <row r="3" spans="1:9" ht="15" thickBot="1" x14ac:dyDescent="0.35">
      <c r="A3" s="130">
        <v>43828</v>
      </c>
      <c r="B3" s="129">
        <v>330.2</v>
      </c>
      <c r="C3" s="131">
        <v>-1.0784901140000001E-2</v>
      </c>
      <c r="D3" s="132" t="s">
        <v>872</v>
      </c>
      <c r="E3" s="131">
        <v>1.49697547E-4</v>
      </c>
      <c r="F3" s="131">
        <v>3.4905857300000001E-4</v>
      </c>
      <c r="G3" s="131">
        <v>2.8733026749999999E-4</v>
      </c>
      <c r="H3" s="131">
        <v>6.91708184E-4</v>
      </c>
      <c r="I3" s="131">
        <v>3.4279039220000001E-4</v>
      </c>
    </row>
    <row r="4" spans="1:9" ht="15" thickBot="1" x14ac:dyDescent="0.35">
      <c r="A4" s="130">
        <v>43825</v>
      </c>
      <c r="B4" s="129">
        <v>333.8</v>
      </c>
      <c r="C4" s="131">
        <v>-1.1841326229999999E-2</v>
      </c>
      <c r="D4" s="132" t="s">
        <v>871</v>
      </c>
      <c r="E4" s="131">
        <v>1.2235094889999999E-2</v>
      </c>
      <c r="F4" s="131">
        <v>1.86831093E-2</v>
      </c>
      <c r="G4" s="131">
        <v>1.6950819079999999E-2</v>
      </c>
      <c r="H4" s="131">
        <v>2.6300345700000002E-2</v>
      </c>
      <c r="I4" s="131">
        <v>1.8514599440000001E-2</v>
      </c>
    </row>
    <row r="5" spans="1:9" ht="15" thickBot="1" x14ac:dyDescent="0.35">
      <c r="A5" s="130">
        <v>43823</v>
      </c>
      <c r="B5" s="129">
        <v>337.8</v>
      </c>
      <c r="C5" s="131">
        <v>-4.7142015319999999E-3</v>
      </c>
      <c r="D5" s="132" t="s">
        <v>844</v>
      </c>
      <c r="E5" s="131">
        <v>25.734870610000002</v>
      </c>
      <c r="F5" s="131">
        <v>23.073003010000001</v>
      </c>
      <c r="G5" s="131">
        <v>20.627526629999998</v>
      </c>
      <c r="H5" s="131">
        <v>17.182688949999999</v>
      </c>
      <c r="I5" s="131">
        <v>235.19746409999999</v>
      </c>
    </row>
    <row r="6" spans="1:9" ht="15" thickBot="1" x14ac:dyDescent="0.35">
      <c r="A6" s="130">
        <v>43822</v>
      </c>
      <c r="B6" s="129">
        <v>339.4</v>
      </c>
      <c r="C6" s="131">
        <v>1.770956316E-3</v>
      </c>
      <c r="D6" s="128"/>
      <c r="E6" s="128"/>
      <c r="F6" s="128"/>
      <c r="G6" s="128"/>
      <c r="H6" s="128"/>
      <c r="I6" s="128"/>
    </row>
    <row r="7" spans="1:9" ht="15" thickBot="1" x14ac:dyDescent="0.35">
      <c r="A7" s="130">
        <v>43821</v>
      </c>
      <c r="B7" s="129">
        <v>338.8</v>
      </c>
      <c r="C7" s="131">
        <v>2.952465309E-4</v>
      </c>
      <c r="D7" s="128"/>
      <c r="E7" s="128"/>
      <c r="F7" s="128"/>
      <c r="G7" s="128"/>
      <c r="H7" s="128"/>
      <c r="I7" s="128"/>
    </row>
    <row r="8" spans="1:9" ht="15" thickBot="1" x14ac:dyDescent="0.35">
      <c r="A8" s="130">
        <v>43818</v>
      </c>
      <c r="B8" s="129">
        <v>338.7</v>
      </c>
      <c r="C8" s="131">
        <v>2.0710059170000001E-3</v>
      </c>
      <c r="D8" s="128"/>
      <c r="E8" s="128"/>
      <c r="F8" s="128"/>
      <c r="G8" s="128"/>
      <c r="H8" s="128"/>
      <c r="I8" s="128"/>
    </row>
    <row r="9" spans="1:9" ht="15" thickBot="1" x14ac:dyDescent="0.35">
      <c r="A9" s="130">
        <v>43817</v>
      </c>
      <c r="B9" s="129">
        <v>338</v>
      </c>
      <c r="C9" s="131">
        <v>-1.37146192E-2</v>
      </c>
      <c r="D9" s="128"/>
      <c r="E9" s="128"/>
      <c r="F9" s="128"/>
      <c r="G9" s="128"/>
      <c r="H9" s="128"/>
      <c r="I9" s="128"/>
    </row>
    <row r="10" spans="1:9" ht="15" thickBot="1" x14ac:dyDescent="0.35">
      <c r="A10" s="130">
        <v>43816</v>
      </c>
      <c r="B10" s="129">
        <v>342.7</v>
      </c>
      <c r="C10" s="131">
        <v>-2.9095141110000002E-3</v>
      </c>
      <c r="D10" s="128"/>
      <c r="E10" s="128"/>
      <c r="F10" s="128"/>
      <c r="G10" s="128"/>
      <c r="H10" s="128"/>
      <c r="I10" s="128"/>
    </row>
    <row r="11" spans="1:9" ht="15" thickBot="1" x14ac:dyDescent="0.35">
      <c r="A11" s="130">
        <v>43814</v>
      </c>
      <c r="B11" s="129">
        <v>343.7</v>
      </c>
      <c r="C11" s="131">
        <v>-6.3602197169999996E-3</v>
      </c>
      <c r="D11" s="128"/>
      <c r="E11" s="128"/>
      <c r="F11" s="128"/>
      <c r="G11" s="128"/>
      <c r="H11" s="128"/>
      <c r="I11" s="128"/>
    </row>
    <row r="12" spans="1:9" ht="15" thickBot="1" x14ac:dyDescent="0.35">
      <c r="A12" s="130">
        <v>43811</v>
      </c>
      <c r="B12" s="129">
        <v>345.9</v>
      </c>
      <c r="C12" s="131">
        <v>-5.778676683E-4</v>
      </c>
      <c r="D12" s="128"/>
      <c r="E12" s="128"/>
      <c r="F12" s="128"/>
      <c r="G12" s="128"/>
      <c r="H12" s="128"/>
      <c r="I12" s="128"/>
    </row>
    <row r="13" spans="1:9" ht="15" thickBot="1" x14ac:dyDescent="0.35">
      <c r="A13" s="130">
        <v>43781</v>
      </c>
      <c r="B13" s="129">
        <v>346.1</v>
      </c>
      <c r="C13" s="131">
        <v>-8.8774341350000008E-3</v>
      </c>
      <c r="D13" s="128"/>
      <c r="E13" s="128"/>
      <c r="F13" s="128"/>
      <c r="G13" s="128"/>
      <c r="H13" s="128"/>
      <c r="I13" s="128"/>
    </row>
    <row r="14" spans="1:9" ht="15" thickBot="1" x14ac:dyDescent="0.35">
      <c r="A14" s="130">
        <v>43750</v>
      </c>
      <c r="B14" s="129">
        <v>349.2</v>
      </c>
      <c r="C14" s="131">
        <v>0</v>
      </c>
      <c r="D14" s="128"/>
      <c r="E14" s="128"/>
      <c r="F14" s="128"/>
      <c r="G14" s="128"/>
      <c r="H14" s="128"/>
      <c r="I14" s="128"/>
    </row>
    <row r="15" spans="1:9" ht="15" thickBot="1" x14ac:dyDescent="0.35">
      <c r="A15" s="130">
        <v>43720</v>
      </c>
      <c r="B15" s="129">
        <v>349.2</v>
      </c>
      <c r="C15" s="131">
        <v>-2.8555111360000001E-3</v>
      </c>
      <c r="D15" s="128"/>
      <c r="E15" s="128"/>
      <c r="F15" s="128"/>
      <c r="G15" s="128"/>
      <c r="H15" s="128"/>
      <c r="I15" s="128"/>
    </row>
    <row r="16" spans="1:9" ht="15" thickBot="1" x14ac:dyDescent="0.35">
      <c r="A16" s="130">
        <v>43689</v>
      </c>
      <c r="B16" s="129">
        <v>350.2</v>
      </c>
      <c r="C16" s="131">
        <v>-5.7077625569999996E-4</v>
      </c>
      <c r="D16" s="128"/>
      <c r="E16" s="128"/>
      <c r="F16" s="128"/>
      <c r="G16" s="128"/>
      <c r="H16" s="128"/>
      <c r="I16" s="128"/>
    </row>
    <row r="17" spans="1:9" ht="15" thickBot="1" x14ac:dyDescent="0.35">
      <c r="A17" s="130">
        <v>43597</v>
      </c>
      <c r="B17" s="129">
        <v>350.4</v>
      </c>
      <c r="C17" s="131">
        <v>2.854695975E-4</v>
      </c>
      <c r="D17" s="128"/>
      <c r="E17" s="128"/>
      <c r="F17" s="128"/>
      <c r="G17" s="128"/>
      <c r="H17" s="128"/>
      <c r="I17" s="128"/>
    </row>
    <row r="18" spans="1:9" ht="15" thickBot="1" x14ac:dyDescent="0.35">
      <c r="A18" s="130">
        <v>43567</v>
      </c>
      <c r="B18" s="129">
        <v>350.3</v>
      </c>
      <c r="C18" s="131">
        <v>-1.156884876E-2</v>
      </c>
      <c r="D18" s="128"/>
      <c r="E18" s="128"/>
      <c r="F18" s="128"/>
      <c r="G18" s="128"/>
      <c r="H18" s="128"/>
      <c r="I18" s="128"/>
    </row>
    <row r="19" spans="1:9" ht="15" thickBot="1" x14ac:dyDescent="0.35">
      <c r="A19" s="130">
        <v>43536</v>
      </c>
      <c r="B19" s="129">
        <v>354.4</v>
      </c>
      <c r="C19" s="131">
        <v>-8.6713286709999993E-3</v>
      </c>
      <c r="D19" s="128"/>
      <c r="E19" s="128"/>
      <c r="F19" s="128"/>
      <c r="G19" s="128"/>
      <c r="H19" s="128"/>
      <c r="I19" s="128"/>
    </row>
    <row r="20" spans="1:9" ht="15" thickBot="1" x14ac:dyDescent="0.35">
      <c r="A20" s="130">
        <v>43508</v>
      </c>
      <c r="B20" s="129">
        <v>357.5</v>
      </c>
      <c r="C20" s="131">
        <v>1.8518518519999999E-2</v>
      </c>
      <c r="D20" s="128"/>
      <c r="E20" s="128"/>
      <c r="F20" s="128"/>
      <c r="G20" s="128"/>
      <c r="H20" s="128"/>
      <c r="I20" s="128"/>
    </row>
    <row r="21" spans="1:9" ht="15" thickBot="1" x14ac:dyDescent="0.35">
      <c r="A21" s="130">
        <v>43477</v>
      </c>
      <c r="B21" s="129">
        <v>351</v>
      </c>
      <c r="C21" s="131">
        <v>-7.9140757490000005E-3</v>
      </c>
      <c r="D21" s="128"/>
      <c r="E21" s="128"/>
      <c r="F21" s="128"/>
      <c r="G21" s="128"/>
      <c r="H21" s="128"/>
      <c r="I21" s="128"/>
    </row>
    <row r="22" spans="1:9" ht="15" thickBot="1" x14ac:dyDescent="0.35">
      <c r="A22" s="130">
        <v>43797</v>
      </c>
      <c r="B22" s="129">
        <v>353.8</v>
      </c>
      <c r="C22" s="131">
        <v>6.2571103529999996E-3</v>
      </c>
      <c r="D22" s="128"/>
      <c r="E22" s="128"/>
      <c r="F22" s="128"/>
      <c r="G22" s="128"/>
      <c r="H22" s="128"/>
      <c r="I22" s="128"/>
    </row>
    <row r="23" spans="1:9" ht="15" thickBot="1" x14ac:dyDescent="0.35">
      <c r="A23" s="130">
        <v>43796</v>
      </c>
      <c r="B23" s="129">
        <v>351.6</v>
      </c>
      <c r="C23" s="131">
        <v>-3.401360544E-3</v>
      </c>
      <c r="D23" s="128"/>
      <c r="E23" s="128"/>
      <c r="F23" s="128"/>
      <c r="G23" s="128"/>
      <c r="H23" s="128"/>
      <c r="I23" s="128"/>
    </row>
    <row r="24" spans="1:9" ht="15" thickBot="1" x14ac:dyDescent="0.35">
      <c r="A24" s="130">
        <v>43795</v>
      </c>
      <c r="B24" s="129">
        <v>352.8</v>
      </c>
      <c r="C24" s="131">
        <v>8.5106382979999997E-4</v>
      </c>
      <c r="D24" s="128"/>
      <c r="E24" s="128"/>
      <c r="F24" s="128"/>
      <c r="G24" s="128"/>
      <c r="H24" s="128"/>
      <c r="I24" s="128"/>
    </row>
    <row r="25" spans="1:9" ht="15" thickBot="1" x14ac:dyDescent="0.35">
      <c r="A25" s="130">
        <v>43794</v>
      </c>
      <c r="B25" s="129">
        <v>352.5</v>
      </c>
      <c r="C25" s="131">
        <v>1.420454545E-3</v>
      </c>
      <c r="D25" s="128"/>
      <c r="E25" s="128"/>
      <c r="F25" s="128"/>
      <c r="G25" s="128"/>
      <c r="H25" s="128"/>
      <c r="I25" s="128"/>
    </row>
    <row r="26" spans="1:9" ht="15" thickBot="1" x14ac:dyDescent="0.35">
      <c r="A26" s="130">
        <v>43793</v>
      </c>
      <c r="B26" s="129">
        <v>352</v>
      </c>
      <c r="C26" s="131">
        <v>2.8490028489999999E-3</v>
      </c>
      <c r="D26" s="128"/>
      <c r="E26" s="128"/>
      <c r="F26" s="128"/>
      <c r="G26" s="128"/>
      <c r="H26" s="128"/>
      <c r="I26" s="128"/>
    </row>
    <row r="27" spans="1:9" ht="15" thickBot="1" x14ac:dyDescent="0.35">
      <c r="A27" s="130">
        <v>43790</v>
      </c>
      <c r="B27" s="129">
        <v>351</v>
      </c>
      <c r="C27" s="131">
        <v>-9.5936794579999998E-3</v>
      </c>
      <c r="D27" s="128"/>
      <c r="E27" s="128"/>
      <c r="F27" s="128"/>
      <c r="G27" s="128"/>
      <c r="H27" s="128"/>
      <c r="I27" s="128"/>
    </row>
    <row r="28" spans="1:9" ht="15" thickBot="1" x14ac:dyDescent="0.35">
      <c r="A28" s="130">
        <v>43789</v>
      </c>
      <c r="B28" s="129">
        <v>354.4</v>
      </c>
      <c r="C28" s="131">
        <v>-1.5828936410000001E-2</v>
      </c>
      <c r="D28" s="128"/>
      <c r="E28" s="128"/>
      <c r="F28" s="128"/>
      <c r="G28" s="128"/>
      <c r="H28" s="128"/>
      <c r="I28" s="128"/>
    </row>
    <row r="29" spans="1:9" ht="15" thickBot="1" x14ac:dyDescent="0.35">
      <c r="A29" s="130">
        <v>43788</v>
      </c>
      <c r="B29" s="129">
        <v>360.1</v>
      </c>
      <c r="C29" s="131">
        <v>-1.152895965E-2</v>
      </c>
      <c r="D29" s="128"/>
      <c r="E29" s="128"/>
      <c r="F29" s="128"/>
      <c r="G29" s="128"/>
      <c r="H29" s="128"/>
      <c r="I29" s="128"/>
    </row>
    <row r="30" spans="1:9" ht="15" thickBot="1" x14ac:dyDescent="0.35">
      <c r="A30" s="130">
        <v>43787</v>
      </c>
      <c r="B30" s="129">
        <v>364.3</v>
      </c>
      <c r="C30" s="131">
        <v>2.0210035099999999E-2</v>
      </c>
      <c r="D30" s="128"/>
      <c r="E30" s="128"/>
      <c r="F30" s="128"/>
      <c r="G30" s="128"/>
      <c r="H30" s="128"/>
      <c r="I30" s="128"/>
    </row>
    <row r="31" spans="1:9" ht="15" thickBot="1" x14ac:dyDescent="0.35">
      <c r="A31" s="130">
        <v>43783</v>
      </c>
      <c r="B31" s="129">
        <v>357.08333329999999</v>
      </c>
      <c r="C31" s="131">
        <v>2.881152461E-2</v>
      </c>
      <c r="D31" s="128"/>
      <c r="E31" s="128"/>
      <c r="F31" s="128"/>
      <c r="G31" s="128"/>
      <c r="H31" s="128"/>
      <c r="I31" s="128"/>
    </row>
    <row r="32" spans="1:9" ht="15" thickBot="1" x14ac:dyDescent="0.35">
      <c r="A32" s="130">
        <v>43782</v>
      </c>
      <c r="B32" s="129">
        <v>347.08333329999999</v>
      </c>
      <c r="C32" s="131">
        <v>-6.9146400569999999E-3</v>
      </c>
      <c r="D32" s="128"/>
      <c r="E32" s="128"/>
      <c r="F32" s="128"/>
      <c r="G32" s="128"/>
      <c r="H32" s="128"/>
      <c r="I32" s="128"/>
    </row>
    <row r="33" spans="1:9" ht="15" thickBot="1" x14ac:dyDescent="0.35">
      <c r="A33" s="130">
        <v>43810</v>
      </c>
      <c r="B33" s="129">
        <v>349.5</v>
      </c>
      <c r="C33" s="131">
        <v>-3.5637918750000002E-3</v>
      </c>
      <c r="D33" s="128"/>
      <c r="E33" s="128"/>
      <c r="F33" s="128"/>
      <c r="G33" s="128"/>
      <c r="H33" s="128"/>
      <c r="I33" s="128"/>
    </row>
    <row r="34" spans="1:9" ht="15" thickBot="1" x14ac:dyDescent="0.35">
      <c r="A34" s="130">
        <v>43780</v>
      </c>
      <c r="B34" s="129">
        <v>350.75</v>
      </c>
      <c r="C34" s="131">
        <v>-9.8800282290000003E-3</v>
      </c>
      <c r="D34" s="128"/>
      <c r="E34" s="128"/>
      <c r="F34" s="128"/>
      <c r="G34" s="128"/>
      <c r="H34" s="128"/>
      <c r="I34" s="128"/>
    </row>
    <row r="35" spans="1:9" ht="15" thickBot="1" x14ac:dyDescent="0.35">
      <c r="A35" s="130">
        <v>43657</v>
      </c>
      <c r="B35" s="129">
        <v>354.25</v>
      </c>
      <c r="C35" s="131">
        <v>7.5847358150000002E-3</v>
      </c>
      <c r="D35" s="128"/>
      <c r="E35" s="128"/>
      <c r="F35" s="128"/>
      <c r="G35" s="128"/>
      <c r="H35" s="128"/>
      <c r="I35" s="128"/>
    </row>
    <row r="36" spans="1:9" ht="15" thickBot="1" x14ac:dyDescent="0.35">
      <c r="A36" s="130">
        <v>43627</v>
      </c>
      <c r="B36" s="129">
        <v>351.58333329999999</v>
      </c>
      <c r="C36" s="131">
        <v>7.4021011459999998E-3</v>
      </c>
      <c r="D36" s="128"/>
      <c r="E36" s="128"/>
      <c r="F36" s="128"/>
      <c r="G36" s="128"/>
      <c r="H36" s="128"/>
      <c r="I36" s="128"/>
    </row>
    <row r="37" spans="1:9" ht="15" thickBot="1" x14ac:dyDescent="0.35">
      <c r="A37" s="130">
        <v>43596</v>
      </c>
      <c r="B37" s="129">
        <v>349</v>
      </c>
      <c r="C37" s="131">
        <v>-7.5829384830000002E-3</v>
      </c>
      <c r="D37" s="128"/>
      <c r="E37" s="128"/>
      <c r="F37" s="128"/>
      <c r="G37" s="128"/>
      <c r="H37" s="128"/>
      <c r="I37" s="128"/>
    </row>
    <row r="38" spans="1:9" ht="15" thickBot="1" x14ac:dyDescent="0.35">
      <c r="A38" s="130">
        <v>43566</v>
      </c>
      <c r="B38" s="129">
        <v>351.66666670000001</v>
      </c>
      <c r="C38" s="131">
        <v>-6.591337006E-3</v>
      </c>
      <c r="D38" s="128"/>
      <c r="E38" s="128"/>
      <c r="F38" s="128"/>
      <c r="G38" s="128"/>
      <c r="H38" s="128"/>
      <c r="I38" s="128"/>
    </row>
    <row r="39" spans="1:9" ht="15" thickBot="1" x14ac:dyDescent="0.35">
      <c r="A39" s="130">
        <v>43535</v>
      </c>
      <c r="B39" s="129">
        <v>354</v>
      </c>
      <c r="C39" s="131">
        <v>-3.9859320979999998E-3</v>
      </c>
      <c r="D39" s="128"/>
      <c r="E39" s="128"/>
      <c r="F39" s="128"/>
      <c r="G39" s="128"/>
      <c r="H39" s="128"/>
      <c r="I39" s="128"/>
    </row>
    <row r="40" spans="1:9" ht="15" thickBot="1" x14ac:dyDescent="0.35">
      <c r="A40" s="130">
        <v>43769</v>
      </c>
      <c r="B40" s="129">
        <v>355.41666670000001</v>
      </c>
      <c r="C40" s="131">
        <v>2.327255298E-2</v>
      </c>
      <c r="D40" s="128"/>
      <c r="E40" s="128"/>
      <c r="F40" s="128"/>
      <c r="G40" s="128"/>
      <c r="H40" s="128"/>
      <c r="I40" s="128"/>
    </row>
    <row r="41" spans="1:9" ht="15" thickBot="1" x14ac:dyDescent="0.35">
      <c r="A41" s="130">
        <v>43768</v>
      </c>
      <c r="B41" s="129">
        <v>347.33333329999999</v>
      </c>
      <c r="C41" s="131">
        <v>1.042424233E-2</v>
      </c>
      <c r="D41" s="128"/>
      <c r="E41" s="128"/>
      <c r="F41" s="128"/>
      <c r="G41" s="128"/>
      <c r="H41" s="128"/>
      <c r="I41" s="128"/>
    </row>
    <row r="42" spans="1:9" ht="15" thickBot="1" x14ac:dyDescent="0.35">
      <c r="A42" s="130">
        <v>43767</v>
      </c>
      <c r="B42" s="129">
        <v>343.75</v>
      </c>
      <c r="C42" s="131">
        <v>-7.4590951879999999E-3</v>
      </c>
      <c r="D42" s="128"/>
      <c r="E42" s="128"/>
      <c r="F42" s="128"/>
      <c r="G42" s="128"/>
      <c r="H42" s="128"/>
      <c r="I42" s="128"/>
    </row>
    <row r="43" spans="1:9" ht="15" thickBot="1" x14ac:dyDescent="0.35">
      <c r="A43" s="130">
        <v>43766</v>
      </c>
      <c r="B43" s="129">
        <v>346.33333329999999</v>
      </c>
      <c r="C43" s="131">
        <v>-1.6814798939999999E-3</v>
      </c>
      <c r="D43" s="128"/>
      <c r="E43" s="128"/>
      <c r="F43" s="128"/>
      <c r="G43" s="128"/>
      <c r="H43" s="128"/>
      <c r="I43" s="128"/>
    </row>
    <row r="44" spans="1:9" ht="15" thickBot="1" x14ac:dyDescent="0.35">
      <c r="A44" s="130">
        <v>43765</v>
      </c>
      <c r="B44" s="129">
        <v>346.91666670000001</v>
      </c>
      <c r="C44" s="131">
        <v>1.3388510419999999E-2</v>
      </c>
      <c r="D44" s="128"/>
      <c r="E44" s="128"/>
      <c r="F44" s="128"/>
      <c r="G44" s="128"/>
      <c r="H44" s="128"/>
      <c r="I44" s="128"/>
    </row>
    <row r="45" spans="1:9" ht="15" thickBot="1" x14ac:dyDescent="0.35">
      <c r="A45" s="130">
        <v>43762</v>
      </c>
      <c r="B45" s="129">
        <v>342.33333329999999</v>
      </c>
      <c r="C45" s="131">
        <v>-2.561669829E-2</v>
      </c>
      <c r="D45" s="128"/>
      <c r="E45" s="128"/>
      <c r="F45" s="128"/>
      <c r="G45" s="128"/>
      <c r="H45" s="128"/>
      <c r="I45" s="128"/>
    </row>
    <row r="46" spans="1:9" ht="15" thickBot="1" x14ac:dyDescent="0.35">
      <c r="A46" s="130">
        <v>43761</v>
      </c>
      <c r="B46" s="129">
        <v>351.33333329999999</v>
      </c>
      <c r="C46" s="131">
        <v>3.1815956829999999E-2</v>
      </c>
      <c r="D46" s="128"/>
      <c r="E46" s="128"/>
      <c r="F46" s="128"/>
      <c r="G46" s="128"/>
      <c r="H46" s="128"/>
      <c r="I46" s="128"/>
    </row>
    <row r="47" spans="1:9" ht="15" thickBot="1" x14ac:dyDescent="0.35">
      <c r="A47" s="130">
        <v>43760</v>
      </c>
      <c r="B47" s="129">
        <v>340.5</v>
      </c>
      <c r="C47" s="131">
        <v>7.3475385750000003E-4</v>
      </c>
      <c r="D47" s="128"/>
      <c r="E47" s="128"/>
      <c r="F47" s="128"/>
      <c r="G47" s="128"/>
      <c r="H47" s="128"/>
      <c r="I47" s="128"/>
    </row>
    <row r="48" spans="1:9" ht="15" thickBot="1" x14ac:dyDescent="0.35">
      <c r="A48" s="130">
        <v>43759</v>
      </c>
      <c r="B48" s="129">
        <v>340.25</v>
      </c>
      <c r="C48" s="131">
        <v>-2.0393473990000001E-2</v>
      </c>
      <c r="D48" s="128"/>
      <c r="E48" s="128"/>
      <c r="F48" s="128"/>
      <c r="G48" s="128"/>
      <c r="H48" s="128"/>
      <c r="I48" s="128"/>
    </row>
    <row r="49" spans="1:9" ht="15" thickBot="1" x14ac:dyDescent="0.35">
      <c r="A49" s="130">
        <v>43758</v>
      </c>
      <c r="B49" s="129">
        <v>347.33333329999999</v>
      </c>
      <c r="C49" s="131">
        <v>7.7369437129999998E-3</v>
      </c>
      <c r="D49" s="128"/>
      <c r="E49" s="128"/>
      <c r="F49" s="128"/>
      <c r="G49" s="128"/>
      <c r="H49" s="128"/>
      <c r="I49" s="128"/>
    </row>
    <row r="50" spans="1:9" ht="15" thickBot="1" x14ac:dyDescent="0.35">
      <c r="A50" s="130">
        <v>43755</v>
      </c>
      <c r="B50" s="129">
        <v>344.66666670000001</v>
      </c>
      <c r="C50" s="131">
        <v>9.6805440469999995E-4</v>
      </c>
      <c r="D50" s="128"/>
      <c r="E50" s="128"/>
      <c r="F50" s="128"/>
      <c r="G50" s="128"/>
      <c r="H50" s="128"/>
      <c r="I50" s="128"/>
    </row>
    <row r="51" spans="1:9" ht="15" thickBot="1" x14ac:dyDescent="0.35">
      <c r="A51" s="130">
        <v>43754</v>
      </c>
      <c r="B51" s="129">
        <v>344.33333329999999</v>
      </c>
      <c r="C51" s="131">
        <v>2.1828765459999998E-3</v>
      </c>
      <c r="D51" s="128"/>
      <c r="E51" s="128"/>
      <c r="F51" s="128"/>
      <c r="G51" s="128"/>
      <c r="H51" s="128"/>
      <c r="I51" s="128"/>
    </row>
    <row r="52" spans="1:9" ht="15" thickBot="1" x14ac:dyDescent="0.35">
      <c r="A52" s="130">
        <v>43753</v>
      </c>
      <c r="B52" s="129">
        <v>343.58333329999999</v>
      </c>
      <c r="C52" s="131">
        <v>2.3076923079999999E-2</v>
      </c>
      <c r="D52" s="128"/>
      <c r="E52" s="128"/>
      <c r="F52" s="128"/>
      <c r="G52" s="128"/>
      <c r="H52" s="128"/>
      <c r="I52" s="128"/>
    </row>
    <row r="53" spans="1:9" ht="15" thickBot="1" x14ac:dyDescent="0.35">
      <c r="A53" s="130">
        <v>43752</v>
      </c>
      <c r="B53" s="129">
        <v>335.83333329999999</v>
      </c>
      <c r="C53" s="131">
        <v>3.6789297450000001E-2</v>
      </c>
      <c r="D53" s="128"/>
      <c r="E53" s="128"/>
      <c r="F53" s="128"/>
      <c r="G53" s="128"/>
      <c r="H53" s="128"/>
      <c r="I53" s="128"/>
    </row>
    <row r="54" spans="1:9" ht="15" thickBot="1" x14ac:dyDescent="0.35">
      <c r="A54" s="130">
        <v>43751</v>
      </c>
      <c r="B54" s="129">
        <v>323.91666670000001</v>
      </c>
      <c r="C54" s="131">
        <v>-2.0166372370000001E-2</v>
      </c>
      <c r="D54" s="128"/>
      <c r="E54" s="128"/>
      <c r="F54" s="128"/>
      <c r="G54" s="128"/>
      <c r="H54" s="128"/>
      <c r="I54" s="128"/>
    </row>
    <row r="55" spans="1:9" ht="15" thickBot="1" x14ac:dyDescent="0.35">
      <c r="A55" s="130">
        <v>43748</v>
      </c>
      <c r="B55" s="129">
        <v>330.58333329999999</v>
      </c>
      <c r="C55" s="131">
        <v>-1.4899428859999999E-2</v>
      </c>
      <c r="D55" s="128"/>
      <c r="E55" s="128"/>
      <c r="F55" s="128"/>
      <c r="G55" s="128"/>
      <c r="H55" s="128"/>
      <c r="I55" s="128"/>
    </row>
    <row r="56" spans="1:9" ht="15" thickBot="1" x14ac:dyDescent="0.35">
      <c r="A56" s="130">
        <v>43718</v>
      </c>
      <c r="B56" s="129">
        <v>335.58333329999999</v>
      </c>
      <c r="C56" s="131">
        <v>-7.444168735E-4</v>
      </c>
      <c r="D56" s="128"/>
      <c r="E56" s="128"/>
      <c r="F56" s="128"/>
      <c r="G56" s="128"/>
      <c r="H56" s="128"/>
      <c r="I56" s="128"/>
    </row>
    <row r="57" spans="1:9" ht="15" thickBot="1" x14ac:dyDescent="0.35">
      <c r="A57" s="130">
        <v>43656</v>
      </c>
      <c r="B57" s="129">
        <v>335.83333329999999</v>
      </c>
      <c r="C57" s="131">
        <v>-1.298065158E-2</v>
      </c>
      <c r="D57" s="128"/>
      <c r="E57" s="128"/>
      <c r="F57" s="128"/>
      <c r="G57" s="128"/>
      <c r="H57" s="128"/>
      <c r="I57" s="128"/>
    </row>
    <row r="58" spans="1:9" ht="15" thickBot="1" x14ac:dyDescent="0.35">
      <c r="A58" s="130">
        <v>43626</v>
      </c>
      <c r="B58" s="129">
        <v>340.25</v>
      </c>
      <c r="C58" s="131">
        <v>-6.5693430659999998E-3</v>
      </c>
      <c r="D58" s="128"/>
      <c r="E58" s="128"/>
      <c r="F58" s="128"/>
      <c r="G58" s="128"/>
      <c r="H58" s="128"/>
      <c r="I58" s="128"/>
    </row>
    <row r="59" spans="1:9" ht="15" thickBot="1" x14ac:dyDescent="0.35">
      <c r="A59" s="130">
        <v>43534</v>
      </c>
      <c r="B59" s="129">
        <v>342.5</v>
      </c>
      <c r="C59" s="131">
        <v>-2.1849963580000001E-3</v>
      </c>
      <c r="D59" s="128"/>
      <c r="E59" s="128"/>
      <c r="F59" s="128"/>
      <c r="G59" s="128"/>
      <c r="H59" s="128"/>
      <c r="I59" s="128"/>
    </row>
    <row r="60" spans="1:9" ht="15" thickBot="1" x14ac:dyDescent="0.35">
      <c r="A60" s="130">
        <v>43506</v>
      </c>
      <c r="B60" s="129">
        <v>343.25</v>
      </c>
      <c r="C60" s="131">
        <v>-7.2780203780000005E-4</v>
      </c>
      <c r="D60" s="128"/>
      <c r="E60" s="128"/>
      <c r="F60" s="128"/>
      <c r="G60" s="128"/>
      <c r="H60" s="128"/>
      <c r="I60" s="128"/>
    </row>
    <row r="61" spans="1:9" ht="15" thickBot="1" x14ac:dyDescent="0.35">
      <c r="A61" s="130">
        <v>43475</v>
      </c>
      <c r="B61" s="129">
        <v>343.5</v>
      </c>
      <c r="C61" s="131">
        <v>7.2833211940000002E-4</v>
      </c>
      <c r="D61" s="128"/>
      <c r="E61" s="128"/>
      <c r="F61" s="128"/>
      <c r="G61" s="128"/>
      <c r="H61" s="128"/>
      <c r="I61" s="128"/>
    </row>
    <row r="62" spans="1:9" ht="15" thickBot="1" x14ac:dyDescent="0.35">
      <c r="A62" s="130">
        <v>43738</v>
      </c>
      <c r="B62" s="129">
        <v>343.25</v>
      </c>
      <c r="C62" s="131">
        <v>-6.5123010130000002E-3</v>
      </c>
      <c r="D62" s="128"/>
      <c r="E62" s="128"/>
      <c r="F62" s="128"/>
      <c r="G62" s="128"/>
      <c r="H62" s="128"/>
      <c r="I62" s="128"/>
    </row>
    <row r="63" spans="1:9" ht="15" thickBot="1" x14ac:dyDescent="0.35">
      <c r="A63" s="130">
        <v>43737</v>
      </c>
      <c r="B63" s="129">
        <v>345.5</v>
      </c>
      <c r="C63" s="131">
        <v>-1.543576357E-2</v>
      </c>
      <c r="D63" s="128"/>
      <c r="E63" s="128"/>
      <c r="F63" s="128"/>
      <c r="G63" s="128"/>
      <c r="H63" s="128"/>
      <c r="I63" s="128"/>
    </row>
    <row r="64" spans="1:9" ht="15" thickBot="1" x14ac:dyDescent="0.35">
      <c r="A64" s="130">
        <v>43734</v>
      </c>
      <c r="B64" s="129">
        <v>350.91666670000001</v>
      </c>
      <c r="C64" s="131">
        <v>1.104441796E-2</v>
      </c>
      <c r="D64" s="128"/>
      <c r="E64" s="128"/>
      <c r="F64" s="128"/>
      <c r="G64" s="128"/>
      <c r="H64" s="128"/>
      <c r="I64" s="128"/>
    </row>
    <row r="65" spans="1:9" ht="15" thickBot="1" x14ac:dyDescent="0.35">
      <c r="A65" s="130">
        <v>43733</v>
      </c>
      <c r="B65" s="129">
        <v>347.08333329999999</v>
      </c>
      <c r="C65" s="131">
        <v>2.5609455600000001E-2</v>
      </c>
      <c r="D65" s="128"/>
      <c r="E65" s="128"/>
      <c r="F65" s="128"/>
      <c r="G65" s="128"/>
      <c r="H65" s="128"/>
      <c r="I65" s="128"/>
    </row>
    <row r="66" spans="1:9" ht="15" thickBot="1" x14ac:dyDescent="0.35">
      <c r="A66" s="130">
        <v>43732</v>
      </c>
      <c r="B66" s="129">
        <v>338.41666670000001</v>
      </c>
      <c r="C66" s="131">
        <v>-1.503759379E-2</v>
      </c>
      <c r="D66" s="128"/>
      <c r="E66" s="128"/>
      <c r="F66" s="128"/>
      <c r="G66" s="128"/>
      <c r="H66" s="128"/>
      <c r="I66" s="128"/>
    </row>
    <row r="67" spans="1:9" ht="15" thickBot="1" x14ac:dyDescent="0.35">
      <c r="A67" s="130">
        <v>43731</v>
      </c>
      <c r="B67" s="129">
        <v>343.58333329999999</v>
      </c>
      <c r="C67" s="131">
        <v>7.8220482030000003E-3</v>
      </c>
      <c r="D67" s="128"/>
      <c r="E67" s="128"/>
      <c r="F67" s="128"/>
      <c r="G67" s="128"/>
      <c r="H67" s="128"/>
      <c r="I67" s="128"/>
    </row>
    <row r="68" spans="1:9" ht="15" thickBot="1" x14ac:dyDescent="0.35">
      <c r="A68" s="130">
        <v>43730</v>
      </c>
      <c r="B68" s="129">
        <v>340.91666670000001</v>
      </c>
      <c r="C68" s="131">
        <v>2.326163081E-2</v>
      </c>
      <c r="D68" s="128"/>
      <c r="E68" s="128"/>
      <c r="F68" s="128"/>
      <c r="G68" s="128"/>
      <c r="H68" s="128"/>
      <c r="I68" s="128"/>
    </row>
    <row r="69" spans="1:9" ht="15" thickBot="1" x14ac:dyDescent="0.35">
      <c r="A69" s="130">
        <v>43727</v>
      </c>
      <c r="B69" s="129">
        <v>333.16666670000001</v>
      </c>
      <c r="C69" s="131">
        <v>-2.4640155939999998E-2</v>
      </c>
      <c r="D69" s="128"/>
      <c r="E69" s="128"/>
      <c r="F69" s="128"/>
      <c r="G69" s="128"/>
      <c r="H69" s="128"/>
      <c r="I69" s="128"/>
    </row>
    <row r="70" spans="1:9" ht="15" thickBot="1" x14ac:dyDescent="0.35">
      <c r="A70" s="130">
        <v>43726</v>
      </c>
      <c r="B70" s="129">
        <v>341.58333329999999</v>
      </c>
      <c r="C70" s="131">
        <v>-7.9864472420000006E-3</v>
      </c>
      <c r="D70" s="128"/>
      <c r="E70" s="128"/>
      <c r="F70" s="128"/>
      <c r="G70" s="128"/>
      <c r="H70" s="128"/>
      <c r="I70" s="128"/>
    </row>
    <row r="71" spans="1:9" ht="15" thickBot="1" x14ac:dyDescent="0.35">
      <c r="A71" s="130">
        <v>43725</v>
      </c>
      <c r="B71" s="129">
        <v>344.33333329999999</v>
      </c>
      <c r="C71" s="131">
        <v>2.9126213600000001E-3</v>
      </c>
      <c r="D71" s="128"/>
      <c r="E71" s="128"/>
      <c r="F71" s="128"/>
      <c r="G71" s="128"/>
      <c r="H71" s="128"/>
      <c r="I71" s="128"/>
    </row>
    <row r="72" spans="1:9" ht="15" thickBot="1" x14ac:dyDescent="0.35">
      <c r="A72" s="130">
        <v>43724</v>
      </c>
      <c r="B72" s="129">
        <v>343.33333329999999</v>
      </c>
      <c r="C72" s="131">
        <v>2.030708262E-2</v>
      </c>
      <c r="D72" s="128"/>
      <c r="E72" s="128"/>
      <c r="F72" s="128"/>
      <c r="G72" s="128"/>
      <c r="H72" s="128"/>
      <c r="I72" s="128"/>
    </row>
    <row r="73" spans="1:9" ht="15" thickBot="1" x14ac:dyDescent="0.35">
      <c r="A73" s="130">
        <v>43723</v>
      </c>
      <c r="B73" s="129">
        <v>336.5</v>
      </c>
      <c r="C73" s="131">
        <v>-4.4260354940000003E-2</v>
      </c>
      <c r="D73" s="128"/>
      <c r="E73" s="128"/>
      <c r="F73" s="128"/>
      <c r="G73" s="128"/>
      <c r="H73" s="128"/>
      <c r="I73" s="128"/>
    </row>
    <row r="74" spans="1:9" ht="15" thickBot="1" x14ac:dyDescent="0.35">
      <c r="A74" s="130">
        <v>43808</v>
      </c>
      <c r="B74" s="129">
        <v>352.08333329999999</v>
      </c>
      <c r="C74" s="131">
        <v>-2.5374855920000002E-2</v>
      </c>
      <c r="D74" s="128"/>
      <c r="E74" s="128"/>
      <c r="F74" s="128"/>
      <c r="G74" s="128"/>
      <c r="H74" s="128"/>
      <c r="I74" s="128"/>
    </row>
    <row r="75" spans="1:9" ht="15" thickBot="1" x14ac:dyDescent="0.35">
      <c r="A75" s="130">
        <v>43778</v>
      </c>
      <c r="B75" s="129">
        <v>361.25</v>
      </c>
      <c r="C75" s="131">
        <v>-1.0499885780000001E-2</v>
      </c>
      <c r="D75" s="128"/>
      <c r="E75" s="128"/>
      <c r="F75" s="128"/>
      <c r="G75" s="128"/>
      <c r="H75" s="128"/>
      <c r="I75" s="128"/>
    </row>
    <row r="76" spans="1:9" ht="15" thickBot="1" x14ac:dyDescent="0.35">
      <c r="A76" s="130">
        <v>43717</v>
      </c>
      <c r="B76" s="129">
        <v>365.08333329999999</v>
      </c>
      <c r="C76" s="131">
        <v>1.27138233E-2</v>
      </c>
      <c r="D76" s="128"/>
      <c r="E76" s="128"/>
      <c r="F76" s="128"/>
      <c r="G76" s="128"/>
      <c r="H76" s="128"/>
      <c r="I76" s="128"/>
    </row>
    <row r="77" spans="1:9" ht="15" thickBot="1" x14ac:dyDescent="0.35">
      <c r="A77" s="130">
        <v>43686</v>
      </c>
      <c r="B77" s="129">
        <v>360.5</v>
      </c>
      <c r="C77" s="131">
        <v>3.46806983E-2</v>
      </c>
      <c r="D77" s="128"/>
      <c r="E77" s="128"/>
      <c r="F77" s="128"/>
      <c r="G77" s="128"/>
      <c r="H77" s="128"/>
      <c r="I77" s="128"/>
    </row>
    <row r="78" spans="1:9" ht="15" thickBot="1" x14ac:dyDescent="0.35">
      <c r="A78" s="130">
        <v>43594</v>
      </c>
      <c r="B78" s="129">
        <v>348.41666670000001</v>
      </c>
      <c r="C78" s="131">
        <v>9.1720976100000007E-3</v>
      </c>
      <c r="D78" s="128"/>
      <c r="E78" s="128"/>
      <c r="F78" s="128"/>
      <c r="G78" s="128"/>
      <c r="H78" s="128"/>
      <c r="I78" s="128"/>
    </row>
    <row r="79" spans="1:9" ht="15" thickBot="1" x14ac:dyDescent="0.35">
      <c r="A79" s="130">
        <v>43564</v>
      </c>
      <c r="B79" s="129">
        <v>345.25</v>
      </c>
      <c r="C79" s="131">
        <v>-4.5651128310000002E-3</v>
      </c>
      <c r="D79" s="128"/>
      <c r="E79" s="128"/>
      <c r="F79" s="128"/>
      <c r="G79" s="128"/>
      <c r="H79" s="128"/>
      <c r="I79" s="128"/>
    </row>
    <row r="80" spans="1:9" ht="15" thickBot="1" x14ac:dyDescent="0.35">
      <c r="A80" s="130">
        <v>43533</v>
      </c>
      <c r="B80" s="129">
        <v>346.83333329999999</v>
      </c>
      <c r="C80" s="131">
        <v>-7.8665077480000005E-3</v>
      </c>
      <c r="D80" s="128"/>
      <c r="E80" s="128"/>
      <c r="F80" s="128"/>
      <c r="G80" s="128"/>
      <c r="H80" s="128"/>
      <c r="I80" s="128"/>
    </row>
    <row r="81" spans="1:9" ht="15" thickBot="1" x14ac:dyDescent="0.35">
      <c r="A81" s="130">
        <v>43505</v>
      </c>
      <c r="B81" s="129">
        <v>349.58333329999999</v>
      </c>
      <c r="C81" s="131">
        <v>2.2173489179999999E-2</v>
      </c>
      <c r="D81" s="128"/>
      <c r="E81" s="128"/>
      <c r="F81" s="128"/>
      <c r="G81" s="128"/>
      <c r="H81" s="128"/>
      <c r="I81" s="128"/>
    </row>
    <row r="82" spans="1:9" ht="15" thickBot="1" x14ac:dyDescent="0.35">
      <c r="A82" s="130">
        <v>43474</v>
      </c>
      <c r="B82" s="129">
        <v>342</v>
      </c>
      <c r="C82" s="131">
        <v>1.8867924429999999E-2</v>
      </c>
      <c r="D82" s="128"/>
      <c r="E82" s="128"/>
      <c r="F82" s="128"/>
      <c r="G82" s="128"/>
      <c r="H82" s="128"/>
      <c r="I82" s="128"/>
    </row>
    <row r="83" spans="1:9" ht="15" thickBot="1" x14ac:dyDescent="0.35">
      <c r="A83" s="130">
        <v>43706</v>
      </c>
      <c r="B83" s="129">
        <v>335.66666670000001</v>
      </c>
      <c r="C83" s="131">
        <v>3.3085406509999998E-2</v>
      </c>
      <c r="D83" s="128"/>
      <c r="E83" s="128"/>
      <c r="F83" s="128"/>
      <c r="G83" s="128"/>
      <c r="H83" s="128"/>
      <c r="I83" s="128"/>
    </row>
    <row r="84" spans="1:9" ht="15" thickBot="1" x14ac:dyDescent="0.35">
      <c r="A84" s="130">
        <v>43705</v>
      </c>
      <c r="B84" s="129">
        <v>324.91666670000001</v>
      </c>
      <c r="C84" s="131">
        <v>-1.5155342259999999E-2</v>
      </c>
      <c r="D84" s="128"/>
      <c r="E84" s="128"/>
      <c r="F84" s="128"/>
      <c r="G84" s="128"/>
      <c r="H84" s="128"/>
      <c r="I84" s="128"/>
    </row>
    <row r="85" spans="1:9" ht="15" thickBot="1" x14ac:dyDescent="0.35">
      <c r="A85" s="130">
        <v>43704</v>
      </c>
      <c r="B85" s="129">
        <v>329.91666670000001</v>
      </c>
      <c r="C85" s="131">
        <v>2.024803948E-3</v>
      </c>
      <c r="D85" s="128"/>
      <c r="E85" s="128"/>
      <c r="F85" s="128"/>
      <c r="G85" s="128"/>
      <c r="H85" s="128"/>
      <c r="I85" s="128"/>
    </row>
    <row r="86" spans="1:9" ht="15" thickBot="1" x14ac:dyDescent="0.35">
      <c r="A86" s="130">
        <v>43703</v>
      </c>
      <c r="B86" s="129">
        <v>329.25</v>
      </c>
      <c r="C86" s="131">
        <v>-1.7685698839999999E-3</v>
      </c>
      <c r="D86" s="128"/>
      <c r="E86" s="128"/>
      <c r="F86" s="128"/>
      <c r="G86" s="128"/>
      <c r="H86" s="128"/>
      <c r="I86" s="128"/>
    </row>
    <row r="87" spans="1:9" ht="15" thickBot="1" x14ac:dyDescent="0.35">
      <c r="A87" s="130">
        <v>43702</v>
      </c>
      <c r="B87" s="129">
        <v>329.83333329999999</v>
      </c>
      <c r="C87" s="131">
        <v>1.3572342940000001E-2</v>
      </c>
      <c r="D87" s="128"/>
      <c r="E87" s="128"/>
      <c r="F87" s="128"/>
      <c r="G87" s="128"/>
      <c r="H87" s="128"/>
      <c r="I87" s="128"/>
    </row>
    <row r="88" spans="1:9" ht="15" thickBot="1" x14ac:dyDescent="0.35">
      <c r="A88" s="130">
        <v>43699</v>
      </c>
      <c r="B88" s="129">
        <v>325.41666670000001</v>
      </c>
      <c r="C88" s="131">
        <v>1.5388561170000001E-3</v>
      </c>
      <c r="D88" s="128"/>
      <c r="E88" s="128"/>
      <c r="F88" s="128"/>
      <c r="G88" s="128"/>
      <c r="H88" s="128"/>
      <c r="I88" s="128"/>
    </row>
    <row r="89" spans="1:9" ht="15" thickBot="1" x14ac:dyDescent="0.35">
      <c r="A89" s="130">
        <v>43698</v>
      </c>
      <c r="B89" s="129">
        <v>324.91666670000001</v>
      </c>
      <c r="C89" s="131">
        <v>-2.5737131329999999E-2</v>
      </c>
      <c r="D89" s="128"/>
      <c r="E89" s="128"/>
      <c r="F89" s="128"/>
      <c r="G89" s="128"/>
      <c r="H89" s="128"/>
      <c r="I89" s="128"/>
    </row>
    <row r="90" spans="1:9" ht="15" thickBot="1" x14ac:dyDescent="0.35">
      <c r="A90" s="130">
        <v>43697</v>
      </c>
      <c r="B90" s="129">
        <v>333.5</v>
      </c>
      <c r="C90" s="131">
        <v>-1.160780449E-2</v>
      </c>
      <c r="D90" s="128"/>
      <c r="E90" s="128"/>
      <c r="F90" s="128"/>
      <c r="G90" s="128"/>
      <c r="H90" s="128"/>
      <c r="I90" s="128"/>
    </row>
    <row r="91" spans="1:9" ht="15" thickBot="1" x14ac:dyDescent="0.35">
      <c r="A91" s="130">
        <v>43696</v>
      </c>
      <c r="B91" s="129">
        <v>337.41666670000001</v>
      </c>
      <c r="C91" s="131">
        <v>3.2210110999999998E-3</v>
      </c>
      <c r="D91" s="128"/>
      <c r="E91" s="128"/>
      <c r="F91" s="128"/>
      <c r="G91" s="128"/>
      <c r="H91" s="128"/>
      <c r="I91" s="128"/>
    </row>
    <row r="92" spans="1:9" ht="15" thickBot="1" x14ac:dyDescent="0.35">
      <c r="A92" s="130">
        <v>43695</v>
      </c>
      <c r="B92" s="129">
        <v>336.33333329999999</v>
      </c>
      <c r="C92" s="131">
        <v>5.4887611090000003E-2</v>
      </c>
      <c r="D92" s="128"/>
      <c r="E92" s="128"/>
      <c r="F92" s="128"/>
      <c r="G92" s="128"/>
      <c r="H92" s="128"/>
      <c r="I92" s="128"/>
    </row>
    <row r="93" spans="1:9" ht="15" thickBot="1" x14ac:dyDescent="0.35">
      <c r="A93" s="130">
        <v>43685</v>
      </c>
      <c r="B93" s="129">
        <v>318.83333329999999</v>
      </c>
      <c r="C93" s="131">
        <v>1.056524025E-2</v>
      </c>
      <c r="D93" s="128"/>
      <c r="E93" s="128"/>
      <c r="F93" s="128"/>
      <c r="G93" s="128"/>
      <c r="H93" s="128"/>
      <c r="I93" s="128"/>
    </row>
    <row r="94" spans="1:9" ht="15" thickBot="1" x14ac:dyDescent="0.35">
      <c r="A94" s="130">
        <v>43654</v>
      </c>
      <c r="B94" s="129">
        <v>315.5</v>
      </c>
      <c r="C94" s="131">
        <v>1.8523417830000001E-3</v>
      </c>
      <c r="D94" s="128"/>
      <c r="E94" s="128"/>
      <c r="F94" s="128"/>
      <c r="G94" s="128"/>
      <c r="H94" s="128"/>
      <c r="I94" s="128"/>
    </row>
    <row r="95" spans="1:9" ht="15" thickBot="1" x14ac:dyDescent="0.35">
      <c r="A95" s="130">
        <v>43624</v>
      </c>
      <c r="B95" s="129">
        <v>314.91666670000001</v>
      </c>
      <c r="C95" s="131">
        <v>2.6469052409999999E-4</v>
      </c>
      <c r="D95" s="128"/>
      <c r="E95" s="128"/>
      <c r="F95" s="128"/>
      <c r="G95" s="128"/>
      <c r="H95" s="128"/>
      <c r="I95" s="128"/>
    </row>
    <row r="96" spans="1:9" ht="15" thickBot="1" x14ac:dyDescent="0.35">
      <c r="A96" s="130">
        <v>43593</v>
      </c>
      <c r="B96" s="129">
        <v>314.83333329999999</v>
      </c>
      <c r="C96" s="131">
        <v>-9.9580713840000008E-3</v>
      </c>
      <c r="D96" s="128"/>
      <c r="E96" s="128"/>
      <c r="F96" s="128"/>
      <c r="G96" s="128"/>
      <c r="H96" s="128"/>
      <c r="I96" s="128"/>
    </row>
    <row r="97" spans="1:9" ht="15" thickBot="1" x14ac:dyDescent="0.35">
      <c r="A97" s="130">
        <v>43563</v>
      </c>
      <c r="B97" s="129">
        <v>318</v>
      </c>
      <c r="C97" s="131">
        <v>-4.9543675619999998E-3</v>
      </c>
      <c r="D97" s="128"/>
      <c r="E97" s="128"/>
      <c r="F97" s="128"/>
      <c r="G97" s="128"/>
      <c r="H97" s="128"/>
      <c r="I97" s="128"/>
    </row>
    <row r="98" spans="1:9" ht="15" thickBot="1" x14ac:dyDescent="0.35">
      <c r="A98" s="130">
        <v>43473</v>
      </c>
      <c r="B98" s="129">
        <v>319.58333329999999</v>
      </c>
      <c r="C98" s="131">
        <v>2.2939450300000001E-2</v>
      </c>
      <c r="D98" s="128"/>
      <c r="E98" s="128"/>
      <c r="F98" s="128"/>
      <c r="G98" s="128"/>
      <c r="H98" s="128"/>
      <c r="I98" s="128"/>
    </row>
    <row r="99" spans="1:9" ht="15" thickBot="1" x14ac:dyDescent="0.35">
      <c r="A99" s="130">
        <v>43677</v>
      </c>
      <c r="B99" s="129">
        <v>312.41666670000001</v>
      </c>
      <c r="C99" s="131">
        <v>-6.8874170070000003E-3</v>
      </c>
      <c r="D99" s="128"/>
      <c r="E99" s="128"/>
      <c r="F99" s="128"/>
      <c r="G99" s="128"/>
      <c r="H99" s="128"/>
      <c r="I99" s="128"/>
    </row>
    <row r="100" spans="1:9" ht="15" thickBot="1" x14ac:dyDescent="0.35">
      <c r="A100" s="130">
        <v>43676</v>
      </c>
      <c r="B100" s="129">
        <v>314.58333329999999</v>
      </c>
      <c r="C100" s="131">
        <v>-1.8508727659999999E-3</v>
      </c>
      <c r="D100" s="128"/>
      <c r="E100" s="128"/>
      <c r="F100" s="128"/>
      <c r="G100" s="128"/>
      <c r="H100" s="128"/>
      <c r="I100" s="128"/>
    </row>
    <row r="101" spans="1:9" ht="15" thickBot="1" x14ac:dyDescent="0.35">
      <c r="A101" s="130">
        <v>43675</v>
      </c>
      <c r="B101" s="129">
        <v>315.16666670000001</v>
      </c>
      <c r="C101" s="131">
        <v>6.1186486830000003E-3</v>
      </c>
      <c r="D101" s="128"/>
      <c r="E101" s="128"/>
      <c r="F101" s="128"/>
      <c r="G101" s="128"/>
      <c r="H101" s="128"/>
      <c r="I101" s="128"/>
    </row>
    <row r="102" spans="1:9" ht="15" thickBot="1" x14ac:dyDescent="0.35">
      <c r="A102" s="130">
        <v>43674</v>
      </c>
      <c r="B102" s="129">
        <v>313.25</v>
      </c>
      <c r="C102" s="131">
        <v>2.6673778599999999E-3</v>
      </c>
      <c r="D102" s="128"/>
      <c r="E102" s="128"/>
      <c r="F102" s="128"/>
      <c r="G102" s="128"/>
      <c r="H102" s="128"/>
      <c r="I102" s="128"/>
    </row>
    <row r="103" spans="1:9" ht="15" thickBot="1" x14ac:dyDescent="0.35">
      <c r="A103" s="130">
        <v>43671</v>
      </c>
      <c r="B103" s="129">
        <v>312.41666670000001</v>
      </c>
      <c r="C103" s="131">
        <v>4.2860971880000001E-3</v>
      </c>
      <c r="D103" s="128"/>
      <c r="E103" s="128"/>
      <c r="F103" s="128"/>
      <c r="G103" s="128"/>
      <c r="H103" s="128"/>
      <c r="I103" s="128"/>
    </row>
    <row r="104" spans="1:9" ht="15" thickBot="1" x14ac:dyDescent="0.35">
      <c r="A104" s="130">
        <v>43670</v>
      </c>
      <c r="B104" s="129">
        <v>311.08333329999999</v>
      </c>
      <c r="C104" s="131">
        <v>1.8786901770000001E-3</v>
      </c>
      <c r="D104" s="128"/>
      <c r="E104" s="128"/>
      <c r="F104" s="128"/>
      <c r="G104" s="128"/>
      <c r="H104" s="128"/>
      <c r="I104" s="128"/>
    </row>
    <row r="105" spans="1:9" ht="15" thickBot="1" x14ac:dyDescent="0.35">
      <c r="A105" s="130">
        <v>43669</v>
      </c>
      <c r="B105" s="129">
        <v>310.5</v>
      </c>
      <c r="C105" s="131">
        <v>1.2224938879999999E-2</v>
      </c>
      <c r="D105" s="128"/>
      <c r="E105" s="128"/>
      <c r="F105" s="128"/>
      <c r="G105" s="128"/>
      <c r="H105" s="128"/>
      <c r="I105" s="128"/>
    </row>
    <row r="106" spans="1:9" ht="15" thickBot="1" x14ac:dyDescent="0.35">
      <c r="A106" s="130">
        <v>43668</v>
      </c>
      <c r="B106" s="129">
        <v>306.75</v>
      </c>
      <c r="C106" s="131">
        <v>-1.181208064E-2</v>
      </c>
      <c r="D106" s="128"/>
      <c r="E106" s="128"/>
      <c r="F106" s="128"/>
      <c r="G106" s="128"/>
      <c r="H106" s="128"/>
      <c r="I106" s="128"/>
    </row>
    <row r="107" spans="1:9" ht="15" thickBot="1" x14ac:dyDescent="0.35">
      <c r="A107" s="130">
        <v>43667</v>
      </c>
      <c r="B107" s="129">
        <v>310.41666670000001</v>
      </c>
      <c r="C107" s="131">
        <v>-1.376754027E-2</v>
      </c>
      <c r="D107" s="128"/>
      <c r="E107" s="128"/>
      <c r="F107" s="128"/>
      <c r="G107" s="128"/>
      <c r="H107" s="128"/>
      <c r="I107" s="128"/>
    </row>
    <row r="108" spans="1:9" ht="15" thickBot="1" x14ac:dyDescent="0.35">
      <c r="A108" s="130">
        <v>43664</v>
      </c>
      <c r="B108" s="129">
        <v>314.75</v>
      </c>
      <c r="C108" s="131">
        <v>6.394884093E-3</v>
      </c>
      <c r="D108" s="128"/>
      <c r="E108" s="128"/>
      <c r="F108" s="128"/>
      <c r="G108" s="128"/>
      <c r="H108" s="128"/>
      <c r="I108" s="128"/>
    </row>
    <row r="109" spans="1:9" ht="15" thickBot="1" x14ac:dyDescent="0.35">
      <c r="A109" s="130">
        <v>43663</v>
      </c>
      <c r="B109" s="129">
        <v>312.75</v>
      </c>
      <c r="C109" s="131">
        <v>-2.392344498E-3</v>
      </c>
      <c r="D109" s="128"/>
      <c r="E109" s="128"/>
      <c r="F109" s="128"/>
      <c r="G109" s="128"/>
      <c r="H109" s="128"/>
      <c r="I109" s="128"/>
    </row>
    <row r="110" spans="1:9" ht="15" thickBot="1" x14ac:dyDescent="0.35">
      <c r="A110" s="130">
        <v>43662</v>
      </c>
      <c r="B110" s="129">
        <v>313.5</v>
      </c>
      <c r="C110" s="131">
        <v>-5.3134973430000001E-4</v>
      </c>
      <c r="D110" s="128"/>
      <c r="E110" s="128"/>
      <c r="F110" s="128"/>
      <c r="G110" s="128"/>
      <c r="H110" s="128"/>
      <c r="I110" s="128"/>
    </row>
    <row r="111" spans="1:9" ht="15" thickBot="1" x14ac:dyDescent="0.35">
      <c r="A111" s="130">
        <v>43661</v>
      </c>
      <c r="B111" s="129">
        <v>313.66666670000001</v>
      </c>
      <c r="C111" s="131">
        <v>5.0734314559999997E-3</v>
      </c>
      <c r="D111" s="128"/>
      <c r="E111" s="128"/>
      <c r="F111" s="128"/>
      <c r="G111" s="128"/>
      <c r="H111" s="128"/>
      <c r="I111" s="128"/>
    </row>
    <row r="112" spans="1:9" ht="15" thickBot="1" x14ac:dyDescent="0.35">
      <c r="A112" s="130">
        <v>43660</v>
      </c>
      <c r="B112" s="129">
        <v>312.08333329999999</v>
      </c>
      <c r="C112" s="131">
        <v>-1.0044937990000001E-2</v>
      </c>
      <c r="D112" s="128"/>
      <c r="E112" s="128"/>
      <c r="F112" s="128"/>
      <c r="G112" s="128"/>
      <c r="H112" s="128"/>
      <c r="I112" s="128"/>
    </row>
    <row r="113" spans="1:9" ht="15" thickBot="1" x14ac:dyDescent="0.35">
      <c r="A113" s="130">
        <v>43776</v>
      </c>
      <c r="B113" s="129">
        <v>315.25</v>
      </c>
      <c r="C113" s="131">
        <v>5.2896069830000005E-4</v>
      </c>
      <c r="D113" s="128"/>
      <c r="E113" s="128"/>
      <c r="F113" s="128"/>
      <c r="G113" s="128"/>
      <c r="H113" s="128"/>
      <c r="I113" s="128"/>
    </row>
    <row r="114" spans="1:9" ht="15" thickBot="1" x14ac:dyDescent="0.35">
      <c r="A114" s="130">
        <v>43745</v>
      </c>
      <c r="B114" s="129">
        <v>315.08333329999999</v>
      </c>
      <c r="C114" s="131">
        <v>-7.9281183939999996E-4</v>
      </c>
      <c r="D114" s="128"/>
      <c r="E114" s="128"/>
      <c r="F114" s="128"/>
      <c r="G114" s="128"/>
      <c r="H114" s="128"/>
      <c r="I114" s="128"/>
    </row>
    <row r="115" spans="1:9" ht="15" thickBot="1" x14ac:dyDescent="0.35">
      <c r="A115" s="130">
        <v>43715</v>
      </c>
      <c r="B115" s="129">
        <v>315.33333329999999</v>
      </c>
      <c r="C115" s="131">
        <v>-7.9218378669999997E-4</v>
      </c>
      <c r="D115" s="128"/>
      <c r="E115" s="128"/>
      <c r="F115" s="128"/>
      <c r="G115" s="128"/>
      <c r="H115" s="128"/>
      <c r="I115" s="128"/>
    </row>
    <row r="116" spans="1:9" ht="15" thickBot="1" x14ac:dyDescent="0.35">
      <c r="A116" s="130">
        <v>43684</v>
      </c>
      <c r="B116" s="129">
        <v>315.58333329999999</v>
      </c>
      <c r="C116" s="131">
        <v>-1.318565506E-3</v>
      </c>
      <c r="D116" s="128"/>
      <c r="E116" s="128"/>
      <c r="F116" s="128"/>
      <c r="G116" s="128"/>
      <c r="H116" s="128"/>
      <c r="I116" s="128"/>
    </row>
    <row r="117" spans="1:9" ht="15" thickBot="1" x14ac:dyDescent="0.35">
      <c r="A117" s="130">
        <v>43653</v>
      </c>
      <c r="B117" s="129">
        <v>316</v>
      </c>
      <c r="C117" s="131">
        <v>-7.8492935639999997E-3</v>
      </c>
      <c r="D117" s="128"/>
      <c r="E117" s="128"/>
      <c r="F117" s="128"/>
      <c r="G117" s="128"/>
      <c r="H117" s="128"/>
      <c r="I117" s="128"/>
    </row>
    <row r="118" spans="1:9" ht="15" thickBot="1" x14ac:dyDescent="0.35">
      <c r="A118" s="130">
        <v>43562</v>
      </c>
      <c r="B118" s="129">
        <v>318.5</v>
      </c>
      <c r="C118" s="131">
        <v>-1.0454782019999999E-3</v>
      </c>
      <c r="D118" s="128"/>
      <c r="E118" s="128"/>
      <c r="F118" s="128"/>
      <c r="G118" s="128"/>
      <c r="H118" s="128"/>
      <c r="I118" s="128"/>
    </row>
    <row r="119" spans="1:9" ht="15" thickBot="1" x14ac:dyDescent="0.35">
      <c r="A119" s="130">
        <v>43531</v>
      </c>
      <c r="B119" s="129">
        <v>318.83333329999999</v>
      </c>
      <c r="C119" s="131">
        <v>7.8472403879999999E-4</v>
      </c>
      <c r="D119" s="128"/>
      <c r="E119" s="128"/>
      <c r="F119" s="128"/>
      <c r="G119" s="128"/>
      <c r="H119" s="128"/>
      <c r="I119" s="128"/>
    </row>
    <row r="120" spans="1:9" ht="15" thickBot="1" x14ac:dyDescent="0.35">
      <c r="A120" s="130">
        <v>43503</v>
      </c>
      <c r="B120" s="129">
        <v>318.58333329999999</v>
      </c>
      <c r="C120" s="131">
        <v>2.6164301410000002E-4</v>
      </c>
      <c r="D120" s="128"/>
      <c r="E120" s="128"/>
      <c r="F120" s="128"/>
      <c r="G120" s="128"/>
      <c r="H120" s="128"/>
      <c r="I120" s="128"/>
    </row>
    <row r="121" spans="1:9" ht="15" thickBot="1" x14ac:dyDescent="0.35">
      <c r="A121" s="130">
        <v>43646</v>
      </c>
      <c r="B121" s="129">
        <v>318.5</v>
      </c>
      <c r="C121" s="131">
        <v>1.047668832E-3</v>
      </c>
      <c r="D121" s="128"/>
      <c r="E121" s="128"/>
      <c r="F121" s="128"/>
      <c r="G121" s="128"/>
      <c r="H121" s="128"/>
      <c r="I121" s="128"/>
    </row>
    <row r="122" spans="1:9" ht="15" thickBot="1" x14ac:dyDescent="0.35">
      <c r="A122" s="130">
        <v>43643</v>
      </c>
      <c r="B122" s="129">
        <v>318.16666670000001</v>
      </c>
      <c r="C122" s="131">
        <v>-8.569202804E-3</v>
      </c>
      <c r="D122" s="128"/>
      <c r="E122" s="128"/>
      <c r="F122" s="128"/>
      <c r="G122" s="128"/>
      <c r="H122" s="128"/>
      <c r="I122" s="128"/>
    </row>
    <row r="123" spans="1:9" ht="15" thickBot="1" x14ac:dyDescent="0.35">
      <c r="A123" s="130">
        <v>43642</v>
      </c>
      <c r="B123" s="129">
        <v>320.91666670000001</v>
      </c>
      <c r="C123" s="131">
        <v>1.663146779E-2</v>
      </c>
      <c r="D123" s="128"/>
      <c r="E123" s="128"/>
      <c r="F123" s="128"/>
      <c r="G123" s="128"/>
      <c r="H123" s="128"/>
      <c r="I123" s="128"/>
    </row>
    <row r="124" spans="1:9" ht="15" thickBot="1" x14ac:dyDescent="0.35">
      <c r="A124" s="130">
        <v>43641</v>
      </c>
      <c r="B124" s="129">
        <v>315.66666670000001</v>
      </c>
      <c r="C124" s="131">
        <v>-3.6822722780000001E-3</v>
      </c>
      <c r="D124" s="128"/>
      <c r="E124" s="128"/>
      <c r="F124" s="128"/>
      <c r="G124" s="128"/>
      <c r="H124" s="128"/>
      <c r="I124" s="128"/>
    </row>
    <row r="125" spans="1:9" ht="15" thickBot="1" x14ac:dyDescent="0.35">
      <c r="A125" s="130">
        <v>43640</v>
      </c>
      <c r="B125" s="129">
        <v>316.83333329999999</v>
      </c>
      <c r="C125" s="131">
        <v>1.58061117E-3</v>
      </c>
      <c r="D125" s="128"/>
      <c r="E125" s="128"/>
      <c r="F125" s="128"/>
      <c r="G125" s="128"/>
      <c r="H125" s="128"/>
      <c r="I125" s="128"/>
    </row>
    <row r="126" spans="1:9" ht="15" thickBot="1" x14ac:dyDescent="0.35">
      <c r="A126" s="130">
        <v>43639</v>
      </c>
      <c r="B126" s="129">
        <v>316.33333329999999</v>
      </c>
      <c r="C126" s="131">
        <v>-3.9359748100000003E-3</v>
      </c>
      <c r="D126" s="128"/>
      <c r="E126" s="128"/>
      <c r="F126" s="128"/>
      <c r="G126" s="128"/>
      <c r="H126" s="128"/>
      <c r="I126" s="128"/>
    </row>
    <row r="127" spans="1:9" ht="15" thickBot="1" x14ac:dyDescent="0.35">
      <c r="A127" s="130">
        <v>43636</v>
      </c>
      <c r="B127" s="129">
        <v>317.58333329999999</v>
      </c>
      <c r="C127" s="131">
        <v>1.0506959809999999E-3</v>
      </c>
      <c r="D127" s="128"/>
      <c r="E127" s="128"/>
      <c r="F127" s="128"/>
      <c r="G127" s="128"/>
      <c r="H127" s="128"/>
      <c r="I127" s="128"/>
    </row>
    <row r="128" spans="1:9" ht="15" thickBot="1" x14ac:dyDescent="0.35">
      <c r="A128" s="130">
        <v>43635</v>
      </c>
      <c r="B128" s="129">
        <v>317.25</v>
      </c>
      <c r="C128" s="131">
        <v>-4.4456067990000002E-3</v>
      </c>
      <c r="D128" s="128"/>
      <c r="E128" s="128"/>
      <c r="F128" s="128"/>
      <c r="G128" s="128"/>
      <c r="H128" s="128"/>
      <c r="I128" s="128"/>
    </row>
    <row r="129" spans="1:9" ht="15" thickBot="1" x14ac:dyDescent="0.35">
      <c r="A129" s="130">
        <v>43634</v>
      </c>
      <c r="B129" s="129">
        <v>318.66666670000001</v>
      </c>
      <c r="C129" s="131">
        <v>-5.2273894410000002E-4</v>
      </c>
      <c r="D129" s="128"/>
      <c r="E129" s="128"/>
      <c r="F129" s="128"/>
      <c r="G129" s="128"/>
      <c r="H129" s="128"/>
      <c r="I129" s="128"/>
    </row>
    <row r="130" spans="1:9" ht="15" thickBot="1" x14ac:dyDescent="0.35">
      <c r="A130" s="130">
        <v>43633</v>
      </c>
      <c r="B130" s="129">
        <v>318.83333329999999</v>
      </c>
      <c r="C130" s="131">
        <v>4.199474961E-3</v>
      </c>
      <c r="D130" s="128"/>
      <c r="E130" s="128"/>
      <c r="F130" s="128"/>
      <c r="G130" s="128"/>
      <c r="H130" s="128"/>
      <c r="I130" s="128"/>
    </row>
    <row r="131" spans="1:9" ht="15" thickBot="1" x14ac:dyDescent="0.35">
      <c r="A131" s="130">
        <v>43632</v>
      </c>
      <c r="B131" s="129">
        <v>317.5</v>
      </c>
      <c r="C131" s="131">
        <v>-9.1027309220000005E-3</v>
      </c>
      <c r="D131" s="128"/>
      <c r="E131" s="128"/>
      <c r="F131" s="128"/>
      <c r="G131" s="128"/>
      <c r="H131" s="128"/>
      <c r="I131" s="128"/>
    </row>
    <row r="132" spans="1:9" ht="15" thickBot="1" x14ac:dyDescent="0.35">
      <c r="A132" s="130">
        <v>43629</v>
      </c>
      <c r="B132" s="129">
        <v>320.41666670000001</v>
      </c>
      <c r="C132" s="131">
        <v>-5.1746440370000002E-3</v>
      </c>
      <c r="D132" s="128"/>
      <c r="E132" s="128"/>
      <c r="F132" s="128"/>
      <c r="G132" s="128"/>
      <c r="H132" s="128"/>
      <c r="I132" s="128"/>
    </row>
    <row r="133" spans="1:9" ht="15" thickBot="1" x14ac:dyDescent="0.35">
      <c r="A133" s="130">
        <v>43805</v>
      </c>
      <c r="B133" s="129">
        <v>322.08333329999999</v>
      </c>
      <c r="C133" s="131">
        <v>-1.807851446E-3</v>
      </c>
      <c r="D133" s="128"/>
      <c r="E133" s="128"/>
      <c r="F133" s="128"/>
      <c r="G133" s="128"/>
      <c r="H133" s="128"/>
      <c r="I133" s="128"/>
    </row>
    <row r="134" spans="1:9" ht="15" thickBot="1" x14ac:dyDescent="0.35">
      <c r="A134" s="130">
        <v>43775</v>
      </c>
      <c r="B134" s="129">
        <v>322.66666670000001</v>
      </c>
      <c r="C134" s="131">
        <v>1.0438413569999999E-2</v>
      </c>
      <c r="D134" s="128"/>
      <c r="E134" s="128"/>
      <c r="F134" s="128"/>
      <c r="G134" s="128"/>
      <c r="H134" s="128"/>
      <c r="I134" s="128"/>
    </row>
    <row r="135" spans="1:9" ht="15" thickBot="1" x14ac:dyDescent="0.35">
      <c r="A135" s="130">
        <v>43744</v>
      </c>
      <c r="B135" s="129">
        <v>319.33333329999999</v>
      </c>
      <c r="C135" s="131">
        <v>7.0959264130000003E-3</v>
      </c>
      <c r="D135" s="128"/>
      <c r="E135" s="128"/>
      <c r="F135" s="128"/>
      <c r="G135" s="128"/>
      <c r="H135" s="128"/>
      <c r="I135" s="128"/>
    </row>
    <row r="136" spans="1:9" ht="15" thickBot="1" x14ac:dyDescent="0.35">
      <c r="A136" s="130">
        <v>43714</v>
      </c>
      <c r="B136" s="129">
        <v>317.08333329999999</v>
      </c>
      <c r="C136" s="131">
        <v>2.3709167549999998E-3</v>
      </c>
      <c r="D136" s="128"/>
      <c r="E136" s="128"/>
      <c r="F136" s="128"/>
      <c r="G136" s="128"/>
      <c r="H136" s="128"/>
      <c r="I136" s="128"/>
    </row>
    <row r="137" spans="1:9" ht="15" thickBot="1" x14ac:dyDescent="0.35">
      <c r="A137" s="130">
        <v>43615</v>
      </c>
      <c r="B137" s="129">
        <v>316.33333329999999</v>
      </c>
      <c r="C137" s="131">
        <v>0</v>
      </c>
      <c r="D137" s="128"/>
      <c r="E137" s="128"/>
      <c r="F137" s="128"/>
      <c r="G137" s="128"/>
      <c r="H137" s="128"/>
      <c r="I137" s="128"/>
    </row>
    <row r="138" spans="1:9" ht="15" thickBot="1" x14ac:dyDescent="0.35">
      <c r="A138" s="130">
        <v>43614</v>
      </c>
      <c r="B138" s="129">
        <v>316.33333329999999</v>
      </c>
      <c r="C138" s="131">
        <v>7.9093066180000002E-4</v>
      </c>
      <c r="D138" s="128"/>
      <c r="E138" s="128"/>
      <c r="F138" s="128"/>
      <c r="G138" s="128"/>
      <c r="H138" s="128"/>
      <c r="I138" s="128"/>
    </row>
    <row r="139" spans="1:9" ht="15" thickBot="1" x14ac:dyDescent="0.35">
      <c r="A139" s="130">
        <v>43613</v>
      </c>
      <c r="B139" s="129">
        <v>316.08333329999999</v>
      </c>
      <c r="C139" s="131">
        <v>1.31995755E-3</v>
      </c>
      <c r="D139" s="128"/>
      <c r="E139" s="128"/>
      <c r="F139" s="128"/>
      <c r="G139" s="128"/>
      <c r="H139" s="128"/>
      <c r="I139" s="128"/>
    </row>
    <row r="140" spans="1:9" ht="15" thickBot="1" x14ac:dyDescent="0.35">
      <c r="A140" s="130">
        <v>43612</v>
      </c>
      <c r="B140" s="129">
        <v>315.66666670000001</v>
      </c>
      <c r="C140" s="131">
        <v>-5.2770427450000003E-4</v>
      </c>
      <c r="D140" s="128"/>
      <c r="E140" s="128"/>
      <c r="F140" s="128"/>
      <c r="G140" s="128"/>
      <c r="H140" s="128"/>
      <c r="I140" s="128"/>
    </row>
    <row r="141" spans="1:9" ht="15" thickBot="1" x14ac:dyDescent="0.35">
      <c r="A141" s="130">
        <v>43611</v>
      </c>
      <c r="B141" s="129">
        <v>315.83333329999999</v>
      </c>
      <c r="C141" s="131">
        <v>-2.1063718800000001E-3</v>
      </c>
      <c r="D141" s="128"/>
      <c r="E141" s="128"/>
      <c r="F141" s="128"/>
      <c r="G141" s="128"/>
      <c r="H141" s="128"/>
      <c r="I141" s="128"/>
    </row>
    <row r="142" spans="1:9" ht="15" thickBot="1" x14ac:dyDescent="0.35">
      <c r="A142" s="130">
        <v>43608</v>
      </c>
      <c r="B142" s="129">
        <v>316.5</v>
      </c>
      <c r="C142" s="131">
        <v>3.6997886900000001E-3</v>
      </c>
      <c r="D142" s="128"/>
      <c r="E142" s="128"/>
      <c r="F142" s="128"/>
      <c r="G142" s="128"/>
      <c r="H142" s="128"/>
      <c r="I142" s="128"/>
    </row>
    <row r="143" spans="1:9" ht="15" thickBot="1" x14ac:dyDescent="0.35">
      <c r="A143" s="130">
        <v>43607</v>
      </c>
      <c r="B143" s="129">
        <v>315.33333329999999</v>
      </c>
      <c r="C143" s="131">
        <v>-3.6861507110000002E-3</v>
      </c>
      <c r="D143" s="128"/>
      <c r="E143" s="128"/>
      <c r="F143" s="128"/>
      <c r="G143" s="128"/>
      <c r="H143" s="128"/>
      <c r="I143" s="128"/>
    </row>
    <row r="144" spans="1:9" ht="15" thickBot="1" x14ac:dyDescent="0.35">
      <c r="A144" s="130">
        <v>43606</v>
      </c>
      <c r="B144" s="129">
        <v>316.5</v>
      </c>
      <c r="C144" s="131">
        <v>9.3010896630000006E-3</v>
      </c>
      <c r="D144" s="128"/>
      <c r="E144" s="128"/>
      <c r="F144" s="128"/>
      <c r="G144" s="128"/>
      <c r="H144" s="128"/>
      <c r="I144" s="128"/>
    </row>
    <row r="145" spans="1:9" ht="15" thickBot="1" x14ac:dyDescent="0.35">
      <c r="A145" s="130">
        <v>43605</v>
      </c>
      <c r="B145" s="129">
        <v>313.58333329999999</v>
      </c>
      <c r="C145" s="131">
        <v>-1.5919342E-3</v>
      </c>
      <c r="D145" s="128"/>
      <c r="E145" s="128"/>
      <c r="F145" s="128"/>
      <c r="G145" s="128"/>
      <c r="H145" s="128"/>
      <c r="I145" s="128"/>
    </row>
    <row r="146" spans="1:9" ht="15" thickBot="1" x14ac:dyDescent="0.35">
      <c r="A146" s="130">
        <v>43604</v>
      </c>
      <c r="B146" s="129">
        <v>314.08333329999999</v>
      </c>
      <c r="C146" s="131">
        <v>2.1270936450000001E-3</v>
      </c>
      <c r="D146" s="128"/>
      <c r="E146" s="128"/>
      <c r="F146" s="128"/>
      <c r="G146" s="128"/>
      <c r="H146" s="128"/>
      <c r="I146" s="128"/>
    </row>
    <row r="147" spans="1:9" ht="15" thickBot="1" x14ac:dyDescent="0.35">
      <c r="A147" s="130">
        <v>43601</v>
      </c>
      <c r="B147" s="129">
        <v>313.41666670000001</v>
      </c>
      <c r="C147" s="131">
        <v>5.8839263980000004E-3</v>
      </c>
      <c r="D147" s="128"/>
      <c r="E147" s="128"/>
      <c r="F147" s="128"/>
      <c r="G147" s="128"/>
      <c r="H147" s="128"/>
      <c r="I147" s="128"/>
    </row>
    <row r="148" spans="1:9" ht="15" thickBot="1" x14ac:dyDescent="0.35">
      <c r="A148" s="130">
        <v>43600</v>
      </c>
      <c r="B148" s="129">
        <v>311.58333329999999</v>
      </c>
      <c r="C148" s="131">
        <v>-6.3778899819999998E-3</v>
      </c>
      <c r="D148" s="128"/>
      <c r="E148" s="128"/>
      <c r="F148" s="128"/>
      <c r="G148" s="128"/>
      <c r="H148" s="128"/>
      <c r="I148" s="128"/>
    </row>
    <row r="149" spans="1:9" ht="15" thickBot="1" x14ac:dyDescent="0.35">
      <c r="A149" s="130">
        <v>43599</v>
      </c>
      <c r="B149" s="129">
        <v>313.58333329999999</v>
      </c>
      <c r="C149" s="131">
        <v>3.734328941E-3</v>
      </c>
      <c r="D149" s="128"/>
      <c r="E149" s="128"/>
      <c r="F149" s="128"/>
      <c r="G149" s="128"/>
      <c r="H149" s="128"/>
      <c r="I149" s="128"/>
    </row>
    <row r="150" spans="1:9" ht="15" thickBot="1" x14ac:dyDescent="0.35">
      <c r="A150" s="130">
        <v>43598</v>
      </c>
      <c r="B150" s="129">
        <v>312.41666670000001</v>
      </c>
      <c r="C150" s="131">
        <v>-5.0424627390000002E-3</v>
      </c>
      <c r="D150" s="128"/>
      <c r="E150" s="128"/>
      <c r="F150" s="128"/>
      <c r="G150" s="128"/>
      <c r="H150" s="128"/>
      <c r="I150" s="128"/>
    </row>
    <row r="151" spans="1:9" ht="15" thickBot="1" x14ac:dyDescent="0.35">
      <c r="A151" s="130">
        <v>43804</v>
      </c>
      <c r="B151" s="129">
        <v>314</v>
      </c>
      <c r="C151" s="131">
        <v>-6.8529257770000001E-3</v>
      </c>
      <c r="D151" s="128"/>
      <c r="E151" s="128"/>
      <c r="F151" s="128"/>
      <c r="G151" s="128"/>
      <c r="H151" s="128"/>
      <c r="I151" s="128"/>
    </row>
    <row r="152" spans="1:9" ht="15" thickBot="1" x14ac:dyDescent="0.35">
      <c r="A152" s="130">
        <v>43713</v>
      </c>
      <c r="B152" s="129">
        <v>316.16666670000001</v>
      </c>
      <c r="C152" s="131">
        <v>1.5252876639999999E-2</v>
      </c>
      <c r="D152" s="128"/>
      <c r="E152" s="128"/>
      <c r="F152" s="128"/>
      <c r="G152" s="128"/>
      <c r="H152" s="128"/>
      <c r="I152" s="128"/>
    </row>
    <row r="153" spans="1:9" ht="15" thickBot="1" x14ac:dyDescent="0.35">
      <c r="A153" s="130">
        <v>43682</v>
      </c>
      <c r="B153" s="129">
        <v>311.41666670000001</v>
      </c>
      <c r="C153" s="131">
        <v>-6.117021064E-3</v>
      </c>
      <c r="D153" s="128"/>
      <c r="E153" s="128"/>
      <c r="F153" s="128"/>
      <c r="G153" s="128"/>
      <c r="H153" s="128"/>
      <c r="I153" s="128"/>
    </row>
    <row r="154" spans="1:9" ht="15" thickBot="1" x14ac:dyDescent="0.35">
      <c r="A154" s="130">
        <v>43651</v>
      </c>
      <c r="B154" s="129">
        <v>313.33333329999999</v>
      </c>
      <c r="C154" s="131">
        <v>-1.130686321E-2</v>
      </c>
      <c r="D154" s="128"/>
      <c r="E154" s="128"/>
      <c r="F154" s="128"/>
      <c r="G154" s="128"/>
      <c r="H154" s="128"/>
      <c r="I154" s="128"/>
    </row>
    <row r="155" spans="1:9" ht="15" thickBot="1" x14ac:dyDescent="0.35">
      <c r="A155" s="130">
        <v>43621</v>
      </c>
      <c r="B155" s="129">
        <v>316.91666670000001</v>
      </c>
      <c r="C155" s="131">
        <v>-5.4916317990000001E-3</v>
      </c>
      <c r="D155" s="128"/>
      <c r="E155" s="128"/>
      <c r="F155" s="128"/>
      <c r="G155" s="128"/>
      <c r="H155" s="128"/>
      <c r="I155" s="128"/>
    </row>
    <row r="156" spans="1:9" ht="15" thickBot="1" x14ac:dyDescent="0.35">
      <c r="A156" s="130">
        <v>43590</v>
      </c>
      <c r="B156" s="129">
        <v>318.66666670000001</v>
      </c>
      <c r="C156" s="131">
        <v>1.837549933E-2</v>
      </c>
      <c r="D156" s="128"/>
      <c r="E156" s="128"/>
      <c r="F156" s="128"/>
      <c r="G156" s="128"/>
      <c r="H156" s="128"/>
      <c r="I156" s="128"/>
    </row>
    <row r="157" spans="1:9" ht="15" thickBot="1" x14ac:dyDescent="0.35">
      <c r="A157" s="130">
        <v>43501</v>
      </c>
      <c r="B157" s="129">
        <v>312.91666670000001</v>
      </c>
      <c r="C157" s="131">
        <v>1.0223298469999999E-2</v>
      </c>
      <c r="D157" s="128"/>
      <c r="E157" s="128"/>
      <c r="F157" s="128"/>
      <c r="G157" s="128"/>
      <c r="H157" s="128"/>
      <c r="I157" s="128"/>
    </row>
    <row r="158" spans="1:9" ht="15" thickBot="1" x14ac:dyDescent="0.35">
      <c r="A158" s="130">
        <v>43585</v>
      </c>
      <c r="B158" s="129">
        <v>309.75</v>
      </c>
      <c r="C158" s="131">
        <v>-2.6831230480000002E-3</v>
      </c>
      <c r="D158" s="128"/>
      <c r="E158" s="128"/>
      <c r="F158" s="128"/>
      <c r="G158" s="128"/>
      <c r="H158" s="128"/>
      <c r="I158" s="128"/>
    </row>
    <row r="159" spans="1:9" ht="15" thickBot="1" x14ac:dyDescent="0.35">
      <c r="A159" s="130">
        <v>43584</v>
      </c>
      <c r="B159" s="129">
        <v>310.58333329999999</v>
      </c>
      <c r="C159" s="131">
        <v>3.5002691440000002E-3</v>
      </c>
      <c r="D159" s="128"/>
      <c r="E159" s="128"/>
      <c r="F159" s="128"/>
      <c r="G159" s="128"/>
      <c r="H159" s="128"/>
      <c r="I159" s="128"/>
    </row>
    <row r="160" spans="1:9" ht="15" thickBot="1" x14ac:dyDescent="0.35">
      <c r="A160" s="130">
        <v>43583</v>
      </c>
      <c r="B160" s="129">
        <v>309.5</v>
      </c>
      <c r="C160" s="131">
        <v>-5.8886508570000001E-3</v>
      </c>
      <c r="D160" s="128"/>
      <c r="E160" s="128"/>
      <c r="F160" s="128"/>
      <c r="G160" s="128"/>
      <c r="H160" s="128"/>
      <c r="I160" s="128"/>
    </row>
    <row r="161" spans="1:9" ht="15" thickBot="1" x14ac:dyDescent="0.35">
      <c r="A161" s="130">
        <v>43580</v>
      </c>
      <c r="B161" s="129">
        <v>311.33333329999999</v>
      </c>
      <c r="C161" s="131">
        <v>1.5493340580000001E-2</v>
      </c>
      <c r="D161" s="128"/>
      <c r="E161" s="128"/>
      <c r="F161" s="128"/>
      <c r="G161" s="128"/>
      <c r="H161" s="128"/>
      <c r="I161" s="128"/>
    </row>
    <row r="162" spans="1:9" ht="15" thickBot="1" x14ac:dyDescent="0.35">
      <c r="A162" s="130">
        <v>43579</v>
      </c>
      <c r="B162" s="129">
        <v>306.58333329999999</v>
      </c>
      <c r="C162" s="131">
        <v>3.2724297789999998E-3</v>
      </c>
      <c r="D162" s="128"/>
      <c r="E162" s="128"/>
      <c r="F162" s="128"/>
      <c r="G162" s="128"/>
      <c r="H162" s="128"/>
      <c r="I162" s="128"/>
    </row>
    <row r="163" spans="1:9" ht="15" thickBot="1" x14ac:dyDescent="0.35">
      <c r="A163" s="130">
        <v>43578</v>
      </c>
      <c r="B163" s="129">
        <v>305.58333329999999</v>
      </c>
      <c r="C163" s="131">
        <v>-4.3442847670000003E-3</v>
      </c>
      <c r="D163" s="128"/>
      <c r="E163" s="128"/>
      <c r="F163" s="128"/>
      <c r="G163" s="128"/>
      <c r="H163" s="128"/>
      <c r="I163" s="128"/>
    </row>
    <row r="164" spans="1:9" ht="15" thickBot="1" x14ac:dyDescent="0.35">
      <c r="A164" s="130">
        <v>43576</v>
      </c>
      <c r="B164" s="129">
        <v>306.91666670000001</v>
      </c>
      <c r="C164" s="131">
        <v>-1.6264570340000001E-3</v>
      </c>
      <c r="D164" s="128"/>
      <c r="E164" s="128"/>
      <c r="F164" s="128"/>
      <c r="G164" s="128"/>
      <c r="H164" s="128"/>
      <c r="I164" s="128"/>
    </row>
    <row r="165" spans="1:9" ht="15" thickBot="1" x14ac:dyDescent="0.35">
      <c r="A165" s="130">
        <v>43573</v>
      </c>
      <c r="B165" s="129">
        <v>307.41666670000001</v>
      </c>
      <c r="C165" s="131">
        <v>2.4456521740000002E-3</v>
      </c>
      <c r="D165" s="128"/>
      <c r="E165" s="128"/>
      <c r="F165" s="128"/>
      <c r="G165" s="128"/>
      <c r="H165" s="128"/>
      <c r="I165" s="128"/>
    </row>
    <row r="166" spans="1:9" ht="15" thickBot="1" x14ac:dyDescent="0.35">
      <c r="A166" s="130">
        <v>43572</v>
      </c>
      <c r="B166" s="129">
        <v>306.66666670000001</v>
      </c>
      <c r="C166" s="131">
        <v>6.5645514220000001E-3</v>
      </c>
      <c r="D166" s="128"/>
      <c r="E166" s="128"/>
      <c r="F166" s="128"/>
      <c r="G166" s="128"/>
      <c r="H166" s="128"/>
      <c r="I166" s="128"/>
    </row>
    <row r="167" spans="1:9" ht="15" thickBot="1" x14ac:dyDescent="0.35">
      <c r="A167" s="130">
        <v>43571</v>
      </c>
      <c r="B167" s="129">
        <v>304.66666670000001</v>
      </c>
      <c r="C167" s="131">
        <v>-7.869741982E-3</v>
      </c>
      <c r="D167" s="128"/>
      <c r="E167" s="128"/>
      <c r="F167" s="128"/>
      <c r="G167" s="128"/>
      <c r="H167" s="128"/>
      <c r="I167" s="128"/>
    </row>
    <row r="168" spans="1:9" ht="15" thickBot="1" x14ac:dyDescent="0.35">
      <c r="A168" s="130">
        <v>43570</v>
      </c>
      <c r="B168" s="129">
        <v>307.08333329999999</v>
      </c>
      <c r="C168" s="131">
        <v>5.4570257019999997E-3</v>
      </c>
      <c r="D168" s="128"/>
      <c r="E168" s="128"/>
      <c r="F168" s="128"/>
      <c r="G168" s="128"/>
      <c r="H168" s="128"/>
      <c r="I168" s="128"/>
    </row>
    <row r="169" spans="1:9" ht="15" thickBot="1" x14ac:dyDescent="0.35">
      <c r="A169" s="130">
        <v>43773</v>
      </c>
      <c r="B169" s="129">
        <v>305.41666670000001</v>
      </c>
      <c r="C169" s="131">
        <v>-1.634432035E-3</v>
      </c>
      <c r="D169" s="128"/>
      <c r="E169" s="128"/>
      <c r="F169" s="128"/>
      <c r="G169" s="128"/>
      <c r="H169" s="128"/>
      <c r="I169" s="128"/>
    </row>
    <row r="170" spans="1:9" ht="15" thickBot="1" x14ac:dyDescent="0.35">
      <c r="A170" s="130">
        <v>43742</v>
      </c>
      <c r="B170" s="129">
        <v>305.91666670000001</v>
      </c>
      <c r="C170" s="131">
        <v>5.4510776779999998E-4</v>
      </c>
      <c r="D170" s="128"/>
      <c r="E170" s="128"/>
      <c r="F170" s="128"/>
      <c r="G170" s="128"/>
      <c r="H170" s="128"/>
      <c r="I170" s="128"/>
    </row>
    <row r="171" spans="1:9" ht="15" thickBot="1" x14ac:dyDescent="0.35">
      <c r="A171" s="130">
        <v>43712</v>
      </c>
      <c r="B171" s="129">
        <v>305.75</v>
      </c>
      <c r="C171" s="131">
        <v>1.6380016380000001E-3</v>
      </c>
      <c r="D171" s="128"/>
      <c r="E171" s="128"/>
      <c r="F171" s="128"/>
      <c r="G171" s="128"/>
      <c r="H171" s="128"/>
      <c r="I171" s="128"/>
    </row>
    <row r="172" spans="1:9" ht="15" thickBot="1" x14ac:dyDescent="0.35">
      <c r="A172" s="130">
        <v>43681</v>
      </c>
      <c r="B172" s="129">
        <v>305.25</v>
      </c>
      <c r="C172" s="131">
        <v>-9.4645755529999993E-3</v>
      </c>
      <c r="D172" s="128"/>
      <c r="E172" s="128"/>
      <c r="F172" s="128"/>
      <c r="G172" s="128"/>
      <c r="H172" s="128"/>
      <c r="I172" s="128"/>
    </row>
    <row r="173" spans="1:9" ht="15" thickBot="1" x14ac:dyDescent="0.35">
      <c r="A173" s="130">
        <v>43650</v>
      </c>
      <c r="B173" s="129">
        <v>308.16666670000001</v>
      </c>
      <c r="C173" s="131">
        <v>4.6183103499999999E-3</v>
      </c>
      <c r="D173" s="128"/>
      <c r="E173" s="128"/>
      <c r="F173" s="128"/>
      <c r="G173" s="128"/>
      <c r="H173" s="128"/>
      <c r="I173" s="128"/>
    </row>
    <row r="174" spans="1:9" ht="15" thickBot="1" x14ac:dyDescent="0.35">
      <c r="A174" s="130">
        <v>43559</v>
      </c>
      <c r="B174" s="129">
        <v>306.75</v>
      </c>
      <c r="C174" s="131">
        <v>8.1566068519999999E-4</v>
      </c>
      <c r="D174" s="128"/>
      <c r="E174" s="128"/>
      <c r="F174" s="128"/>
      <c r="G174" s="128"/>
      <c r="H174" s="128"/>
      <c r="I174" s="128"/>
    </row>
    <row r="175" spans="1:9" ht="15" thickBot="1" x14ac:dyDescent="0.35">
      <c r="A175" s="130">
        <v>43528</v>
      </c>
      <c r="B175" s="129">
        <v>306.5</v>
      </c>
      <c r="C175" s="131">
        <v>-1.6286644949999999E-3</v>
      </c>
      <c r="D175" s="128"/>
      <c r="E175" s="128"/>
      <c r="F175" s="128"/>
      <c r="G175" s="128"/>
      <c r="H175" s="128"/>
      <c r="I175" s="128"/>
    </row>
    <row r="176" spans="1:9" ht="15" thickBot="1" x14ac:dyDescent="0.35">
      <c r="A176" s="130">
        <v>43500</v>
      </c>
      <c r="B176" s="129">
        <v>307</v>
      </c>
      <c r="C176" s="131">
        <v>-2.9769960479999998E-3</v>
      </c>
      <c r="D176" s="128"/>
      <c r="E176" s="128"/>
      <c r="F176" s="128"/>
      <c r="G176" s="128"/>
      <c r="H176" s="128"/>
      <c r="I176" s="128"/>
    </row>
    <row r="177" spans="1:9" ht="15" thickBot="1" x14ac:dyDescent="0.35">
      <c r="A177" s="130">
        <v>43469</v>
      </c>
      <c r="B177" s="129">
        <v>307.91666670000001</v>
      </c>
      <c r="C177" s="131">
        <v>3.5306900600000002E-3</v>
      </c>
      <c r="D177" s="128"/>
      <c r="E177" s="128"/>
      <c r="F177" s="128"/>
      <c r="G177" s="128"/>
      <c r="H177" s="128"/>
      <c r="I177" s="128"/>
    </row>
    <row r="178" spans="1:9" ht="15" thickBot="1" x14ac:dyDescent="0.35">
      <c r="A178" s="130">
        <v>43555</v>
      </c>
      <c r="B178" s="129">
        <v>306.83333329999999</v>
      </c>
      <c r="C178" s="131">
        <v>-4.5958368209999996E-3</v>
      </c>
      <c r="D178" s="128"/>
      <c r="E178" s="128"/>
      <c r="F178" s="128"/>
      <c r="G178" s="128"/>
      <c r="H178" s="128"/>
      <c r="I178" s="128"/>
    </row>
    <row r="179" spans="1:9" ht="15" thickBot="1" x14ac:dyDescent="0.35">
      <c r="A179" s="130">
        <v>43552</v>
      </c>
      <c r="B179" s="129">
        <v>308.25</v>
      </c>
      <c r="C179" s="131">
        <v>-1.3862969770000001E-2</v>
      </c>
      <c r="D179" s="128"/>
      <c r="E179" s="128"/>
      <c r="F179" s="128"/>
      <c r="G179" s="128"/>
      <c r="H179" s="128"/>
      <c r="I179" s="128"/>
    </row>
    <row r="180" spans="1:9" ht="15" thickBot="1" x14ac:dyDescent="0.35">
      <c r="A180" s="130">
        <v>43551</v>
      </c>
      <c r="B180" s="129">
        <v>312.58333329999999</v>
      </c>
      <c r="C180" s="131">
        <v>-6.8837702939999997E-3</v>
      </c>
      <c r="D180" s="128"/>
      <c r="E180" s="128"/>
      <c r="F180" s="128"/>
      <c r="G180" s="128"/>
      <c r="H180" s="128"/>
      <c r="I180" s="128"/>
    </row>
    <row r="181" spans="1:9" ht="15" thickBot="1" x14ac:dyDescent="0.35">
      <c r="A181" s="130">
        <v>43549</v>
      </c>
      <c r="B181" s="129">
        <v>314.75</v>
      </c>
      <c r="C181" s="131">
        <v>1.856763819E-3</v>
      </c>
      <c r="D181" s="128"/>
      <c r="E181" s="128"/>
      <c r="F181" s="128"/>
      <c r="G181" s="128"/>
      <c r="H181" s="128"/>
      <c r="I181" s="128"/>
    </row>
    <row r="182" spans="1:9" ht="15" thickBot="1" x14ac:dyDescent="0.35">
      <c r="A182" s="130">
        <v>43548</v>
      </c>
      <c r="B182" s="129">
        <v>314.16666670000001</v>
      </c>
      <c r="C182" s="131">
        <v>1.3986014200000001E-2</v>
      </c>
      <c r="D182" s="128"/>
      <c r="E182" s="128"/>
      <c r="F182" s="128"/>
      <c r="G182" s="128"/>
      <c r="H182" s="128"/>
      <c r="I182" s="128"/>
    </row>
    <row r="183" spans="1:9" ht="15" thickBot="1" x14ac:dyDescent="0.35">
      <c r="A183" s="130">
        <v>43545</v>
      </c>
      <c r="B183" s="129">
        <v>309.83333329999999</v>
      </c>
      <c r="C183" s="131">
        <v>1.0875475690000001E-2</v>
      </c>
      <c r="D183" s="128"/>
      <c r="E183" s="128"/>
      <c r="F183" s="128"/>
      <c r="G183" s="128"/>
      <c r="H183" s="128"/>
      <c r="I183" s="128"/>
    </row>
    <row r="184" spans="1:9" ht="15" thickBot="1" x14ac:dyDescent="0.35">
      <c r="A184" s="130">
        <v>43544</v>
      </c>
      <c r="B184" s="129">
        <v>306.5</v>
      </c>
      <c r="C184" s="131">
        <v>-2.7114966379999999E-3</v>
      </c>
      <c r="D184" s="128"/>
      <c r="E184" s="128"/>
      <c r="F184" s="128"/>
      <c r="G184" s="128"/>
      <c r="H184" s="128"/>
      <c r="I184" s="128"/>
    </row>
    <row r="185" spans="1:9" ht="15" thickBot="1" x14ac:dyDescent="0.35">
      <c r="A185" s="130">
        <v>43543</v>
      </c>
      <c r="B185" s="129">
        <v>307.33333329999999</v>
      </c>
      <c r="C185" s="131">
        <v>2.7122310819999997E-4</v>
      </c>
      <c r="D185" s="128"/>
      <c r="E185" s="128"/>
      <c r="F185" s="128"/>
      <c r="G185" s="128"/>
      <c r="H185" s="128"/>
      <c r="I185" s="128"/>
    </row>
    <row r="186" spans="1:9" ht="15" thickBot="1" x14ac:dyDescent="0.35">
      <c r="A186" s="130">
        <v>43542</v>
      </c>
      <c r="B186" s="129">
        <v>307.25</v>
      </c>
      <c r="C186" s="131">
        <v>-8.0710250200000007E-3</v>
      </c>
      <c r="D186" s="128"/>
      <c r="E186" s="128"/>
      <c r="F186" s="128"/>
      <c r="G186" s="128"/>
      <c r="H186" s="128"/>
      <c r="I186" s="128"/>
    </row>
    <row r="187" spans="1:9" ht="15" thickBot="1" x14ac:dyDescent="0.35">
      <c r="A187" s="130">
        <v>43538</v>
      </c>
      <c r="B187" s="129">
        <v>309.75</v>
      </c>
      <c r="C187" s="131">
        <v>-1.3433638899999999E-3</v>
      </c>
      <c r="D187" s="128"/>
      <c r="E187" s="128"/>
      <c r="F187" s="128"/>
      <c r="G187" s="128"/>
      <c r="H187" s="128"/>
      <c r="I187" s="128"/>
    </row>
    <row r="188" spans="1:9" ht="15" thickBot="1" x14ac:dyDescent="0.35">
      <c r="A188" s="130">
        <v>43537</v>
      </c>
      <c r="B188" s="129">
        <v>310.16666670000001</v>
      </c>
      <c r="C188" s="131">
        <v>-1.3415613630000001E-3</v>
      </c>
      <c r="D188" s="128"/>
      <c r="E188" s="128"/>
      <c r="F188" s="128"/>
      <c r="G188" s="128"/>
      <c r="H188" s="128"/>
      <c r="I188" s="128"/>
    </row>
    <row r="189" spans="1:9" ht="15" thickBot="1" x14ac:dyDescent="0.35">
      <c r="A189" s="130">
        <v>43802</v>
      </c>
      <c r="B189" s="129">
        <v>310.58333329999999</v>
      </c>
      <c r="C189" s="131">
        <v>-4.5405983969999996E-3</v>
      </c>
      <c r="D189" s="128"/>
      <c r="E189" s="128"/>
      <c r="F189" s="128"/>
      <c r="G189" s="128"/>
      <c r="H189" s="128"/>
      <c r="I189" s="128"/>
    </row>
    <row r="190" spans="1:9" ht="15" thickBot="1" x14ac:dyDescent="0.35">
      <c r="A190" s="130">
        <v>43772</v>
      </c>
      <c r="B190" s="129">
        <v>312</v>
      </c>
      <c r="C190" s="131">
        <v>3.2154340840000002E-3</v>
      </c>
      <c r="D190" s="128"/>
      <c r="E190" s="128"/>
      <c r="F190" s="128"/>
      <c r="G190" s="128"/>
      <c r="H190" s="128"/>
      <c r="I190" s="128"/>
    </row>
    <row r="191" spans="1:9" ht="15" thickBot="1" x14ac:dyDescent="0.35">
      <c r="A191" s="130">
        <v>43741</v>
      </c>
      <c r="B191" s="129">
        <v>311</v>
      </c>
      <c r="C191" s="131">
        <v>9.1941588960000008E-3</v>
      </c>
      <c r="D191" s="128"/>
      <c r="E191" s="128"/>
      <c r="F191" s="128"/>
      <c r="G191" s="128"/>
      <c r="H191" s="128"/>
      <c r="I191" s="128"/>
    </row>
    <row r="192" spans="1:9" ht="15" thickBot="1" x14ac:dyDescent="0.35">
      <c r="A192" s="130">
        <v>43649</v>
      </c>
      <c r="B192" s="129">
        <v>308.16666670000001</v>
      </c>
      <c r="C192" s="131">
        <v>-1.350256333E-3</v>
      </c>
      <c r="D192" s="128"/>
      <c r="E192" s="128"/>
      <c r="F192" s="128"/>
      <c r="G192" s="128"/>
      <c r="H192" s="128"/>
      <c r="I192" s="128"/>
    </row>
    <row r="193" spans="1:9" ht="15" thickBot="1" x14ac:dyDescent="0.35">
      <c r="A193" s="130">
        <v>43619</v>
      </c>
      <c r="B193" s="129">
        <v>308.58333329999999</v>
      </c>
      <c r="C193" s="131">
        <v>-3.7664784500000001E-3</v>
      </c>
      <c r="D193" s="128"/>
      <c r="E193" s="128"/>
      <c r="F193" s="128"/>
      <c r="G193" s="128"/>
      <c r="H193" s="128"/>
      <c r="I193" s="128"/>
    </row>
    <row r="194" spans="1:9" ht="15" thickBot="1" x14ac:dyDescent="0.35">
      <c r="A194" s="130">
        <v>43588</v>
      </c>
      <c r="B194" s="129">
        <v>309.75</v>
      </c>
      <c r="C194" s="131">
        <v>-3.485254585E-3</v>
      </c>
      <c r="D194" s="128"/>
      <c r="E194" s="128"/>
      <c r="F194" s="128"/>
      <c r="G194" s="128"/>
      <c r="H194" s="128"/>
      <c r="I194" s="128"/>
    </row>
    <row r="195" spans="1:9" ht="15" thickBot="1" x14ac:dyDescent="0.35">
      <c r="A195" s="130">
        <v>43558</v>
      </c>
      <c r="B195" s="129">
        <v>310.83333329999999</v>
      </c>
      <c r="C195" s="131">
        <v>-4.5369630099999997E-3</v>
      </c>
      <c r="D195" s="128"/>
      <c r="E195" s="128"/>
      <c r="F195" s="128"/>
      <c r="G195" s="128"/>
      <c r="H195" s="128"/>
      <c r="I195" s="128"/>
    </row>
    <row r="196" spans="1:9" ht="15" thickBot="1" x14ac:dyDescent="0.35">
      <c r="A196" s="130">
        <v>43527</v>
      </c>
      <c r="B196" s="129">
        <v>312.25</v>
      </c>
      <c r="C196" s="131">
        <v>-1.5987210229999999E-3</v>
      </c>
      <c r="D196" s="128"/>
      <c r="E196" s="128"/>
      <c r="F196" s="128"/>
      <c r="G196" s="128"/>
      <c r="H196" s="128"/>
      <c r="I196" s="128"/>
    </row>
    <row r="197" spans="1:9" ht="15" thickBot="1" x14ac:dyDescent="0.35">
      <c r="A197" s="130">
        <v>43523</v>
      </c>
      <c r="B197" s="129">
        <v>312.75</v>
      </c>
      <c r="C197" s="131">
        <v>-1.596169194E-3</v>
      </c>
      <c r="D197" s="128"/>
      <c r="E197" s="128"/>
      <c r="F197" s="128"/>
      <c r="G197" s="128"/>
      <c r="H197" s="128"/>
      <c r="I197" s="128"/>
    </row>
    <row r="198" spans="1:9" ht="15" thickBot="1" x14ac:dyDescent="0.35">
      <c r="A198" s="130">
        <v>43522</v>
      </c>
      <c r="B198" s="129">
        <v>313.25</v>
      </c>
      <c r="C198" s="131">
        <v>2.6609888240000001E-4</v>
      </c>
      <c r="D198" s="128"/>
      <c r="E198" s="128"/>
      <c r="F198" s="128"/>
      <c r="G198" s="128"/>
      <c r="H198" s="128"/>
      <c r="I198" s="128"/>
    </row>
    <row r="199" spans="1:9" ht="15" thickBot="1" x14ac:dyDescent="0.35">
      <c r="A199" s="130">
        <v>43521</v>
      </c>
      <c r="B199" s="129">
        <v>313.16666670000001</v>
      </c>
      <c r="C199" s="131">
        <v>-2.3891691E-3</v>
      </c>
      <c r="D199" s="128"/>
      <c r="E199" s="128"/>
      <c r="F199" s="128"/>
      <c r="G199" s="128"/>
      <c r="H199" s="128"/>
      <c r="I199" s="128"/>
    </row>
    <row r="200" spans="1:9" ht="15" thickBot="1" x14ac:dyDescent="0.35">
      <c r="A200" s="130">
        <v>43520</v>
      </c>
      <c r="B200" s="129">
        <v>313.91666670000001</v>
      </c>
      <c r="C200" s="131">
        <v>1.0629818759999999E-3</v>
      </c>
      <c r="D200" s="128"/>
      <c r="E200" s="128"/>
      <c r="F200" s="128"/>
      <c r="G200" s="128"/>
      <c r="H200" s="128"/>
      <c r="I200" s="128"/>
    </row>
    <row r="201" spans="1:9" ht="15" thickBot="1" x14ac:dyDescent="0.35">
      <c r="A201" s="130">
        <v>43516</v>
      </c>
      <c r="B201" s="129">
        <v>313.58333329999999</v>
      </c>
      <c r="C201" s="131">
        <v>-1.3269640130000001E-3</v>
      </c>
      <c r="D201" s="128"/>
      <c r="E201" s="128"/>
      <c r="F201" s="128"/>
      <c r="G201" s="128"/>
      <c r="H201" s="128"/>
      <c r="I201" s="128"/>
    </row>
    <row r="202" spans="1:9" ht="15" thickBot="1" x14ac:dyDescent="0.35">
      <c r="A202" s="130">
        <v>43515</v>
      </c>
      <c r="B202" s="129">
        <v>314</v>
      </c>
      <c r="C202" s="131">
        <v>-1.0604452810000001E-3</v>
      </c>
      <c r="D202" s="128"/>
      <c r="E202" s="128"/>
      <c r="F202" s="128"/>
      <c r="G202" s="128"/>
      <c r="H202" s="128"/>
      <c r="I202" s="128"/>
    </row>
    <row r="203" spans="1:9" ht="15" thickBot="1" x14ac:dyDescent="0.35">
      <c r="A203" s="130">
        <v>43514</v>
      </c>
      <c r="B203" s="129">
        <v>314.33333329999999</v>
      </c>
      <c r="C203" s="131">
        <v>-1.256544503E-2</v>
      </c>
      <c r="D203" s="128"/>
      <c r="E203" s="128"/>
      <c r="F203" s="128"/>
      <c r="G203" s="128"/>
      <c r="H203" s="128"/>
      <c r="I203" s="128"/>
    </row>
    <row r="204" spans="1:9" ht="15" thickBot="1" x14ac:dyDescent="0.35">
      <c r="A204" s="130">
        <v>43513</v>
      </c>
      <c r="B204" s="129">
        <v>318.33333329999999</v>
      </c>
      <c r="C204" s="131">
        <v>2.887896876E-3</v>
      </c>
      <c r="D204" s="128"/>
      <c r="E204" s="128"/>
      <c r="F204" s="128"/>
      <c r="G204" s="128"/>
      <c r="H204" s="128"/>
      <c r="I204" s="128"/>
    </row>
    <row r="205" spans="1:9" ht="15" thickBot="1" x14ac:dyDescent="0.35">
      <c r="A205" s="130">
        <v>43510</v>
      </c>
      <c r="B205" s="129">
        <v>317.41666670000001</v>
      </c>
      <c r="C205" s="131">
        <v>-1.3978772969999999E-2</v>
      </c>
      <c r="D205" s="128"/>
      <c r="E205" s="128"/>
      <c r="F205" s="128"/>
      <c r="G205" s="128"/>
      <c r="H205" s="128"/>
      <c r="I205" s="128"/>
    </row>
    <row r="206" spans="1:9" ht="15" thickBot="1" x14ac:dyDescent="0.35">
      <c r="A206" s="130">
        <v>43509</v>
      </c>
      <c r="B206" s="129">
        <v>321.91666670000001</v>
      </c>
      <c r="C206" s="131">
        <v>1.4709745309999999E-2</v>
      </c>
      <c r="D206" s="128"/>
      <c r="E206" s="128"/>
      <c r="F206" s="128"/>
      <c r="G206" s="128"/>
      <c r="H206" s="128"/>
      <c r="I206" s="128"/>
    </row>
    <row r="207" spans="1:9" ht="15" thickBot="1" x14ac:dyDescent="0.35">
      <c r="A207" s="130">
        <v>43801</v>
      </c>
      <c r="B207" s="129">
        <v>317.25</v>
      </c>
      <c r="C207" s="131">
        <v>-2.3584905659999999E-3</v>
      </c>
      <c r="D207" s="128"/>
      <c r="E207" s="128"/>
      <c r="F207" s="128"/>
      <c r="G207" s="128"/>
      <c r="H207" s="128"/>
      <c r="I207" s="128"/>
    </row>
    <row r="208" spans="1:9" ht="15" thickBot="1" x14ac:dyDescent="0.35">
      <c r="A208" s="130">
        <v>43771</v>
      </c>
      <c r="B208" s="129">
        <v>318</v>
      </c>
      <c r="C208" s="131">
        <v>-1.5733814700000001E-2</v>
      </c>
      <c r="D208" s="128"/>
      <c r="E208" s="128"/>
      <c r="F208" s="128"/>
      <c r="G208" s="128"/>
      <c r="H208" s="128"/>
      <c r="I208" s="128"/>
    </row>
    <row r="209" spans="1:9" ht="15" thickBot="1" x14ac:dyDescent="0.35">
      <c r="A209" s="130">
        <v>43740</v>
      </c>
      <c r="B209" s="129">
        <v>323.08333329999999</v>
      </c>
      <c r="C209" s="131">
        <v>1.518722168E-2</v>
      </c>
      <c r="D209" s="128"/>
      <c r="E209" s="128"/>
      <c r="F209" s="128"/>
      <c r="G209" s="128"/>
      <c r="H209" s="128"/>
      <c r="I209" s="128"/>
    </row>
    <row r="210" spans="1:9" ht="15" thickBot="1" x14ac:dyDescent="0.35">
      <c r="A210" s="130">
        <v>43648</v>
      </c>
      <c r="B210" s="129">
        <v>318.25</v>
      </c>
      <c r="C210" s="131">
        <v>2.1942734700000001E-2</v>
      </c>
      <c r="D210" s="128"/>
      <c r="E210" s="128"/>
      <c r="F210" s="128"/>
      <c r="G210" s="128"/>
      <c r="H210" s="128"/>
      <c r="I210" s="128"/>
    </row>
    <row r="211" spans="1:9" ht="15" thickBot="1" x14ac:dyDescent="0.35">
      <c r="A211" s="130">
        <v>43618</v>
      </c>
      <c r="B211" s="129">
        <v>311.41666670000001</v>
      </c>
      <c r="C211" s="131">
        <v>-9.0161759750000004E-3</v>
      </c>
      <c r="D211" s="128"/>
      <c r="E211" s="128"/>
      <c r="F211" s="128"/>
      <c r="G211" s="128"/>
      <c r="H211" s="128"/>
      <c r="I211" s="128"/>
    </row>
    <row r="212" spans="1:9" ht="15" thickBot="1" x14ac:dyDescent="0.35">
      <c r="A212" s="130">
        <v>43587</v>
      </c>
      <c r="B212" s="129">
        <v>314.25</v>
      </c>
      <c r="C212" s="131">
        <v>2.1259634339999998E-3</v>
      </c>
      <c r="D212" s="128"/>
      <c r="E212" s="128"/>
      <c r="F212" s="128"/>
      <c r="G212" s="128"/>
      <c r="H212" s="128"/>
      <c r="I212" s="128"/>
    </row>
    <row r="213" spans="1:9" ht="15" thickBot="1" x14ac:dyDescent="0.35">
      <c r="A213" s="130">
        <v>43557</v>
      </c>
      <c r="B213" s="129">
        <v>313.58333329999999</v>
      </c>
      <c r="C213" s="131">
        <v>1.8636846649999999E-3</v>
      </c>
      <c r="D213" s="128"/>
      <c r="E213" s="128"/>
      <c r="F213" s="128"/>
      <c r="G213" s="128"/>
      <c r="H213" s="128"/>
      <c r="I213" s="128"/>
    </row>
    <row r="214" spans="1:9" ht="15" thickBot="1" x14ac:dyDescent="0.35">
      <c r="A214" s="130">
        <v>43526</v>
      </c>
      <c r="B214" s="129">
        <v>313</v>
      </c>
      <c r="C214" s="131">
        <v>-2.3904382469999998E-3</v>
      </c>
      <c r="D214" s="128"/>
      <c r="E214" s="128"/>
      <c r="F214" s="128"/>
      <c r="G214" s="128"/>
      <c r="H214" s="128"/>
      <c r="I214" s="128"/>
    </row>
    <row r="215" spans="1:9" ht="15" thickBot="1" x14ac:dyDescent="0.35">
      <c r="A215" s="130">
        <v>43496</v>
      </c>
      <c r="B215" s="129">
        <v>313.75</v>
      </c>
      <c r="C215" s="131">
        <v>1.063546823E-3</v>
      </c>
      <c r="D215" s="128"/>
      <c r="E215" s="128"/>
      <c r="F215" s="128"/>
      <c r="G215" s="128"/>
      <c r="H215" s="128"/>
      <c r="I215" s="128"/>
    </row>
    <row r="216" spans="1:9" ht="15" thickBot="1" x14ac:dyDescent="0.35">
      <c r="A216" s="130">
        <v>43495</v>
      </c>
      <c r="B216" s="129">
        <v>313.41666670000001</v>
      </c>
      <c r="C216" s="131">
        <v>-1.3276684020000001E-3</v>
      </c>
      <c r="D216" s="128"/>
      <c r="E216" s="128"/>
      <c r="F216" s="128"/>
      <c r="G216" s="128"/>
      <c r="H216" s="128"/>
      <c r="I216" s="128"/>
    </row>
    <row r="217" spans="1:9" ht="15" thickBot="1" x14ac:dyDescent="0.35">
      <c r="A217" s="130">
        <v>43494</v>
      </c>
      <c r="B217" s="129">
        <v>313.83333329999999</v>
      </c>
      <c r="C217" s="131">
        <v>-1.06100817E-3</v>
      </c>
      <c r="D217" s="128"/>
      <c r="E217" s="128"/>
      <c r="F217" s="128"/>
      <c r="G217" s="128"/>
      <c r="H217" s="128"/>
      <c r="I217" s="128"/>
    </row>
    <row r="218" spans="1:9" ht="15" thickBot="1" x14ac:dyDescent="0.35">
      <c r="A218" s="130">
        <v>43493</v>
      </c>
      <c r="B218" s="129">
        <v>314.16666670000001</v>
      </c>
      <c r="C218" s="131">
        <v>3.9946737680000002E-3</v>
      </c>
      <c r="D218" s="128"/>
      <c r="E218" s="128"/>
      <c r="F218" s="128"/>
      <c r="G218" s="128"/>
      <c r="H218" s="128"/>
      <c r="I218" s="128"/>
    </row>
    <row r="219" spans="1:9" ht="15" thickBot="1" x14ac:dyDescent="0.35">
      <c r="A219" s="130">
        <v>43492</v>
      </c>
      <c r="B219" s="129">
        <v>312.91666670000001</v>
      </c>
      <c r="C219" s="131">
        <v>1.066382511E-3</v>
      </c>
      <c r="D219" s="128"/>
      <c r="E219" s="128"/>
      <c r="F219" s="128"/>
      <c r="G219" s="128"/>
      <c r="H219" s="128"/>
      <c r="I219" s="128"/>
    </row>
    <row r="220" spans="1:9" ht="15" thickBot="1" x14ac:dyDescent="0.35">
      <c r="A220" s="130">
        <v>43489</v>
      </c>
      <c r="B220" s="129">
        <v>312.58333329999999</v>
      </c>
      <c r="C220" s="131">
        <v>-2.1282256979999999E-3</v>
      </c>
      <c r="D220" s="128"/>
      <c r="E220" s="128"/>
      <c r="F220" s="128"/>
      <c r="G220" s="128"/>
      <c r="H220" s="128"/>
      <c r="I220" s="128"/>
    </row>
    <row r="221" spans="1:9" ht="15" thickBot="1" x14ac:dyDescent="0.35">
      <c r="A221" s="130">
        <v>43488</v>
      </c>
      <c r="B221" s="129">
        <v>313.25</v>
      </c>
      <c r="C221" s="131">
        <v>-1.5453116919999999E-2</v>
      </c>
      <c r="D221" s="128"/>
      <c r="E221" s="128"/>
      <c r="F221" s="128"/>
      <c r="G221" s="128"/>
      <c r="H221" s="128"/>
      <c r="I221" s="128"/>
    </row>
    <row r="222" spans="1:9" ht="15" thickBot="1" x14ac:dyDescent="0.35">
      <c r="A222" s="130">
        <v>43487</v>
      </c>
      <c r="B222" s="129">
        <v>318.16666670000001</v>
      </c>
      <c r="C222" s="131">
        <v>-5.7291665629999999E-3</v>
      </c>
      <c r="D222" s="128"/>
      <c r="E222" s="128"/>
      <c r="F222" s="128"/>
      <c r="G222" s="128"/>
      <c r="H222" s="128"/>
      <c r="I222" s="128"/>
    </row>
    <row r="223" spans="1:9" ht="15" thickBot="1" x14ac:dyDescent="0.35">
      <c r="A223" s="130">
        <v>43486</v>
      </c>
      <c r="B223" s="129">
        <v>320</v>
      </c>
      <c r="C223" s="131">
        <v>-8.0082664949999993E-3</v>
      </c>
      <c r="D223" s="128"/>
      <c r="E223" s="128"/>
      <c r="F223" s="128"/>
      <c r="G223" s="128"/>
      <c r="H223" s="128"/>
      <c r="I223" s="128"/>
    </row>
    <row r="224" spans="1:9" ht="15" thickBot="1" x14ac:dyDescent="0.35">
      <c r="A224" s="130">
        <v>43485</v>
      </c>
      <c r="B224" s="129">
        <v>322.58333329999999</v>
      </c>
      <c r="C224" s="131">
        <v>-9.9744245530000008E-3</v>
      </c>
      <c r="D224" s="128"/>
      <c r="E224" s="128"/>
      <c r="F224" s="128"/>
      <c r="G224" s="128"/>
      <c r="H224" s="128"/>
      <c r="I224" s="128"/>
    </row>
    <row r="225" spans="1:9" ht="15" thickBot="1" x14ac:dyDescent="0.35">
      <c r="A225" s="130">
        <v>43482</v>
      </c>
      <c r="B225" s="129">
        <v>325.83333329999999</v>
      </c>
      <c r="C225" s="131">
        <v>6.6941295560000004E-3</v>
      </c>
      <c r="D225" s="128"/>
      <c r="E225" s="128"/>
      <c r="F225" s="128"/>
      <c r="G225" s="128"/>
      <c r="H225" s="128"/>
      <c r="I225" s="128"/>
    </row>
    <row r="226" spans="1:9" ht="15" thickBot="1" x14ac:dyDescent="0.35">
      <c r="A226" s="130">
        <v>43481</v>
      </c>
      <c r="B226" s="129">
        <v>323.66666670000001</v>
      </c>
      <c r="C226" s="131">
        <v>-3.5031055899999997E-2</v>
      </c>
      <c r="D226" s="128"/>
      <c r="E226" s="128"/>
      <c r="F226" s="128"/>
      <c r="G226" s="128"/>
      <c r="H226" s="128"/>
      <c r="I226" s="128"/>
    </row>
    <row r="227" spans="1:9" ht="15" thickBot="1" x14ac:dyDescent="0.35">
      <c r="A227" s="130">
        <v>43480</v>
      </c>
      <c r="B227" s="129">
        <v>335.41666670000001</v>
      </c>
      <c r="C227" s="131">
        <v>5.504587155E-2</v>
      </c>
      <c r="D227" s="128"/>
      <c r="E227" s="128"/>
      <c r="F227" s="128"/>
      <c r="G227" s="128"/>
      <c r="H227" s="128"/>
      <c r="I227" s="128"/>
    </row>
    <row r="228" spans="1:9" ht="15" thickBot="1" x14ac:dyDescent="0.35">
      <c r="A228" s="130">
        <v>43479</v>
      </c>
      <c r="B228" s="129">
        <v>317.91666670000001</v>
      </c>
      <c r="C228" s="131">
        <v>2.2240085850000001E-2</v>
      </c>
      <c r="D228" s="128"/>
      <c r="E228" s="128"/>
      <c r="F228" s="128"/>
      <c r="G228" s="128"/>
      <c r="H228" s="128"/>
      <c r="I228" s="128"/>
    </row>
    <row r="229" spans="1:9" ht="15" thickBot="1" x14ac:dyDescent="0.35">
      <c r="A229" s="130">
        <v>43478</v>
      </c>
      <c r="B229" s="129">
        <v>311</v>
      </c>
      <c r="C229" s="131">
        <v>2.6867274580000002E-3</v>
      </c>
      <c r="D229" s="128"/>
      <c r="E229" s="128"/>
      <c r="F229" s="128"/>
      <c r="G229" s="128"/>
      <c r="H229" s="128"/>
      <c r="I229" s="128"/>
    </row>
    <row r="230" spans="1:9" ht="15" thickBot="1" x14ac:dyDescent="0.35">
      <c r="A230" s="130">
        <v>43739</v>
      </c>
      <c r="B230" s="129">
        <v>310.16666670000001</v>
      </c>
      <c r="C230" s="131">
        <v>-6.1415218159999998E-3</v>
      </c>
      <c r="D230" s="128"/>
      <c r="E230" s="128"/>
      <c r="F230" s="128"/>
      <c r="G230" s="128"/>
      <c r="H230" s="128"/>
      <c r="I230" s="128"/>
    </row>
    <row r="231" spans="1:9" ht="15" thickBot="1" x14ac:dyDescent="0.35">
      <c r="A231" s="130">
        <v>43709</v>
      </c>
      <c r="B231" s="129">
        <v>312.08333329999999</v>
      </c>
      <c r="C231" s="131">
        <v>1.069232719E-3</v>
      </c>
      <c r="D231" s="128"/>
      <c r="E231" s="128"/>
      <c r="F231" s="128"/>
      <c r="G231" s="128"/>
      <c r="H231" s="128"/>
      <c r="I231" s="128"/>
    </row>
    <row r="232" spans="1:9" ht="15" thickBot="1" x14ac:dyDescent="0.35">
      <c r="A232" s="130">
        <v>43678</v>
      </c>
      <c r="B232" s="129">
        <v>311.75</v>
      </c>
      <c r="C232" s="131">
        <v>2.1430485940000001E-3</v>
      </c>
      <c r="D232" s="128"/>
      <c r="E232" s="128"/>
      <c r="F232" s="128"/>
      <c r="G232" s="128"/>
      <c r="H232" s="128"/>
      <c r="I232" s="128"/>
    </row>
    <row r="233" spans="1:9" ht="15" thickBot="1" x14ac:dyDescent="0.35">
      <c r="A233" s="130">
        <v>43647</v>
      </c>
      <c r="B233" s="129">
        <v>311.08333329999999</v>
      </c>
      <c r="C233" s="131">
        <v>-1.060164347E-2</v>
      </c>
      <c r="D233" s="128"/>
      <c r="E233" s="128"/>
      <c r="F233" s="128"/>
      <c r="G233" s="128"/>
      <c r="H233" s="128"/>
      <c r="I233" s="128"/>
    </row>
    <row r="234" spans="1:9" ht="15" thickBot="1" x14ac:dyDescent="0.35">
      <c r="A234" s="130">
        <v>43617</v>
      </c>
      <c r="B234" s="129">
        <v>314.41666670000001</v>
      </c>
      <c r="C234" s="131">
        <v>4.2587172749999997E-3</v>
      </c>
      <c r="D234" s="128"/>
      <c r="E234" s="128"/>
      <c r="F234" s="128"/>
      <c r="G234" s="128"/>
      <c r="H234" s="128"/>
      <c r="I234" s="128"/>
    </row>
    <row r="235" spans="1:9" ht="15" thickBot="1" x14ac:dyDescent="0.35">
      <c r="A235" s="130">
        <v>43525</v>
      </c>
      <c r="B235" s="129">
        <v>313.08333329999999</v>
      </c>
      <c r="C235" s="131">
        <v>1.4856834039999999E-2</v>
      </c>
      <c r="D235" s="128"/>
      <c r="E235" s="128"/>
      <c r="F235" s="128"/>
      <c r="G235" s="128"/>
      <c r="H235" s="128"/>
      <c r="I235" s="128"/>
    </row>
    <row r="236" spans="1:9" ht="15" thickBot="1" x14ac:dyDescent="0.35">
      <c r="A236" s="130">
        <v>43497</v>
      </c>
      <c r="B236" s="129">
        <v>308.5</v>
      </c>
      <c r="C236" s="131">
        <v>1.1475409840000001E-2</v>
      </c>
      <c r="D236" s="128"/>
      <c r="E236" s="128"/>
      <c r="F236" s="128"/>
      <c r="G236" s="128"/>
      <c r="H236" s="128"/>
      <c r="I236" s="128"/>
    </row>
    <row r="237" spans="1:9" ht="15" thickBot="1" x14ac:dyDescent="0.35">
      <c r="A237" s="130">
        <v>43466</v>
      </c>
      <c r="B237" s="129">
        <v>305</v>
      </c>
      <c r="C237" s="131">
        <v>-5.7049714749999999E-3</v>
      </c>
      <c r="D237" s="128"/>
      <c r="E237" s="128"/>
      <c r="F237" s="128"/>
      <c r="G237" s="128"/>
      <c r="H237" s="128"/>
      <c r="I237" s="128"/>
    </row>
    <row r="238" spans="1:9" ht="15" thickBot="1" x14ac:dyDescent="0.35">
      <c r="A238" s="130">
        <v>43461</v>
      </c>
      <c r="B238" s="129">
        <v>306.75</v>
      </c>
      <c r="C238" s="131">
        <v>-7.8167116969999999E-3</v>
      </c>
      <c r="D238" s="128"/>
      <c r="E238" s="128"/>
      <c r="F238" s="128"/>
      <c r="G238" s="128"/>
      <c r="H238" s="128"/>
      <c r="I238" s="128"/>
    </row>
    <row r="239" spans="1:9" ht="15" thickBot="1" x14ac:dyDescent="0.35">
      <c r="A239" s="130">
        <v>43460</v>
      </c>
      <c r="B239" s="129">
        <v>309.16666670000001</v>
      </c>
      <c r="C239" s="131">
        <v>8.4262029909999998E-3</v>
      </c>
      <c r="D239" s="128"/>
      <c r="E239" s="128"/>
      <c r="F239" s="128"/>
      <c r="G239" s="128"/>
      <c r="H239" s="128"/>
      <c r="I239" s="128"/>
    </row>
    <row r="240" spans="1:9" ht="15" thickBot="1" x14ac:dyDescent="0.35">
      <c r="A240" s="130">
        <v>43458</v>
      </c>
      <c r="B240" s="129">
        <v>306.58333329999999</v>
      </c>
      <c r="C240" s="131">
        <v>-1.0223298469999999E-2</v>
      </c>
      <c r="D240" s="128"/>
      <c r="E240" s="128"/>
      <c r="F240" s="128"/>
      <c r="G240" s="128"/>
      <c r="H240" s="128"/>
      <c r="I240" s="128"/>
    </row>
    <row r="241" spans="1:9" ht="15" thickBot="1" x14ac:dyDescent="0.35">
      <c r="A241" s="130">
        <v>43457</v>
      </c>
      <c r="B241" s="129">
        <v>309.75</v>
      </c>
      <c r="C241" s="131">
        <v>-3.485254585E-3</v>
      </c>
      <c r="D241" s="128"/>
      <c r="E241" s="128"/>
      <c r="F241" s="128"/>
      <c r="G241" s="128"/>
      <c r="H241" s="128"/>
      <c r="I241" s="128"/>
    </row>
    <row r="242" spans="1:9" ht="15" thickBot="1" x14ac:dyDescent="0.35">
      <c r="A242" s="130">
        <v>43454</v>
      </c>
      <c r="B242" s="129">
        <v>310.83333329999999</v>
      </c>
      <c r="C242" s="131">
        <v>-9.5592140210000003E-3</v>
      </c>
      <c r="D242" s="128"/>
      <c r="E242" s="128"/>
      <c r="F242" s="128"/>
      <c r="G242" s="128"/>
      <c r="H242" s="128"/>
      <c r="I242" s="128"/>
    </row>
    <row r="243" spans="1:9" ht="15" thickBot="1" x14ac:dyDescent="0.35">
      <c r="A243" s="130">
        <v>43453</v>
      </c>
      <c r="B243" s="129">
        <v>313.83333329999999</v>
      </c>
      <c r="C243" s="131">
        <v>2.004333673E-2</v>
      </c>
      <c r="D243" s="128"/>
      <c r="E243" s="128"/>
      <c r="F243" s="128"/>
      <c r="G243" s="128"/>
      <c r="H243" s="128"/>
      <c r="I243" s="128"/>
    </row>
    <row r="244" spans="1:9" ht="15" thickBot="1" x14ac:dyDescent="0.35">
      <c r="A244" s="130">
        <v>43452</v>
      </c>
      <c r="B244" s="129">
        <v>307.66666670000001</v>
      </c>
      <c r="C244" s="131">
        <v>-6.4585575879999996E-3</v>
      </c>
      <c r="D244" s="128"/>
      <c r="E244" s="128"/>
      <c r="F244" s="128"/>
      <c r="G244" s="128"/>
      <c r="H244" s="128"/>
      <c r="I244" s="128"/>
    </row>
    <row r="245" spans="1:9" ht="15" thickBot="1" x14ac:dyDescent="0.35">
      <c r="A245" s="130">
        <v>43451</v>
      </c>
      <c r="B245" s="129">
        <v>309.66666670000001</v>
      </c>
      <c r="C245" s="131">
        <v>-3.001827189E-2</v>
      </c>
      <c r="D245" s="128"/>
      <c r="E245" s="128"/>
      <c r="F245" s="128"/>
      <c r="G245" s="128"/>
      <c r="H245" s="128"/>
      <c r="I245" s="128"/>
    </row>
    <row r="246" spans="1:9" ht="15" thickBot="1" x14ac:dyDescent="0.35">
      <c r="A246" s="130">
        <v>43447</v>
      </c>
      <c r="B246" s="129">
        <v>319.25</v>
      </c>
      <c r="C246" s="131">
        <v>-2.4197656750000001E-2</v>
      </c>
      <c r="D246" s="128"/>
      <c r="E246" s="128"/>
      <c r="F246" s="128"/>
      <c r="G246" s="128"/>
      <c r="H246" s="128"/>
      <c r="I246" s="128"/>
    </row>
    <row r="247" spans="1:9" ht="15" thickBot="1" x14ac:dyDescent="0.35">
      <c r="A247" s="130">
        <v>43446</v>
      </c>
      <c r="B247" s="129">
        <v>327.16666670000001</v>
      </c>
      <c r="C247" s="131">
        <v>3.5787322089999999E-3</v>
      </c>
      <c r="D247" s="128"/>
      <c r="E247" s="128"/>
      <c r="F247" s="128"/>
      <c r="G247" s="128"/>
      <c r="H247" s="128"/>
      <c r="I247" s="128"/>
    </row>
    <row r="248" spans="1:9" ht="15" thickBot="1" x14ac:dyDescent="0.35">
      <c r="A248" s="130">
        <v>43416</v>
      </c>
      <c r="B248" s="129">
        <v>326</v>
      </c>
      <c r="C248" s="131">
        <v>-3.83480826E-2</v>
      </c>
      <c r="D248" s="128"/>
      <c r="E248" s="128"/>
      <c r="F248" s="128"/>
      <c r="G248" s="128"/>
      <c r="H248" s="128"/>
      <c r="I248" s="128"/>
    </row>
    <row r="249" spans="1:9" ht="15" thickBot="1" x14ac:dyDescent="0.35">
      <c r="A249" s="130">
        <v>43385</v>
      </c>
      <c r="B249" s="129">
        <v>339</v>
      </c>
      <c r="C249" s="131">
        <v>7.2219293510000004E-2</v>
      </c>
      <c r="D249" s="128"/>
      <c r="E249" s="128"/>
      <c r="F249" s="128"/>
      <c r="G249" s="128"/>
      <c r="H249" s="128"/>
      <c r="I249" s="128"/>
    </row>
    <row r="250" spans="1:9" ht="15" thickBot="1" x14ac:dyDescent="0.35">
      <c r="A250" s="130">
        <v>43355</v>
      </c>
      <c r="B250" s="129">
        <v>316.16666670000001</v>
      </c>
      <c r="C250" s="131">
        <v>2.2641509430000002E-2</v>
      </c>
      <c r="D250" s="128"/>
      <c r="E250" s="128"/>
      <c r="F250" s="128"/>
      <c r="G250" s="128"/>
      <c r="H250" s="128"/>
      <c r="I250" s="128"/>
    </row>
    <row r="251" spans="1:9" ht="15" thickBot="1" x14ac:dyDescent="0.35">
      <c r="A251" s="130">
        <v>43263</v>
      </c>
      <c r="B251" s="129">
        <v>309.16666670000001</v>
      </c>
      <c r="C251" s="131">
        <v>2.6563364690000001E-2</v>
      </c>
      <c r="D251" s="128"/>
      <c r="E251" s="128"/>
      <c r="F251" s="128"/>
      <c r="G251" s="128"/>
      <c r="H251" s="128"/>
      <c r="I251" s="128"/>
    </row>
    <row r="252" spans="1:9" ht="15" thickBot="1" x14ac:dyDescent="0.35">
      <c r="A252" s="130">
        <v>43232</v>
      </c>
      <c r="B252" s="129">
        <v>301.16666670000001</v>
      </c>
      <c r="C252" s="131">
        <v>-1.310759148E-2</v>
      </c>
      <c r="D252" s="128"/>
      <c r="E252" s="128"/>
      <c r="F252" s="128"/>
      <c r="G252" s="128"/>
      <c r="H252" s="128"/>
      <c r="I252" s="128"/>
    </row>
    <row r="253" spans="1:9" ht="15" thickBot="1" x14ac:dyDescent="0.35">
      <c r="A253" s="130">
        <v>43202</v>
      </c>
      <c r="B253" s="129">
        <v>305.16666670000001</v>
      </c>
      <c r="C253" s="131">
        <v>1.104362253E-2</v>
      </c>
      <c r="D253" s="128"/>
      <c r="E253" s="128"/>
      <c r="F253" s="128"/>
      <c r="G253" s="128"/>
      <c r="H253" s="128"/>
      <c r="I253" s="128"/>
    </row>
    <row r="254" spans="1:9" ht="15" thickBot="1" x14ac:dyDescent="0.35">
      <c r="A254" s="130">
        <v>43171</v>
      </c>
      <c r="B254" s="129">
        <v>301.83333329999999</v>
      </c>
      <c r="C254" s="131">
        <v>4.4370492509999996E-3</v>
      </c>
      <c r="D254" s="128"/>
      <c r="E254" s="128"/>
      <c r="F254" s="128"/>
      <c r="G254" s="128"/>
      <c r="H254" s="128"/>
      <c r="I254" s="128"/>
    </row>
    <row r="255" spans="1:9" ht="15" thickBot="1" x14ac:dyDescent="0.35">
      <c r="A255" s="130">
        <v>43143</v>
      </c>
      <c r="B255" s="129">
        <v>300.5</v>
      </c>
      <c r="C255" s="131">
        <v>4.17710944E-3</v>
      </c>
      <c r="D255" s="128"/>
      <c r="E255" s="128"/>
      <c r="F255" s="128"/>
      <c r="G255" s="128"/>
      <c r="H255" s="128"/>
      <c r="I255" s="128"/>
    </row>
    <row r="256" spans="1:9" ht="15" thickBot="1" x14ac:dyDescent="0.35">
      <c r="A256" s="130">
        <v>43433</v>
      </c>
      <c r="B256" s="129">
        <v>299.25</v>
      </c>
      <c r="C256" s="131">
        <v>-1.454445675E-2</v>
      </c>
      <c r="D256" s="128"/>
      <c r="E256" s="128"/>
      <c r="F256" s="128"/>
      <c r="G256" s="128"/>
      <c r="H256" s="128"/>
      <c r="I256" s="128"/>
    </row>
    <row r="257" spans="1:9" ht="15" thickBot="1" x14ac:dyDescent="0.35">
      <c r="A257" s="130">
        <v>43432</v>
      </c>
      <c r="B257" s="129">
        <v>303.66666670000001</v>
      </c>
      <c r="C257" s="131">
        <v>-1.6198704099999999E-2</v>
      </c>
      <c r="D257" s="128"/>
      <c r="E257" s="128"/>
      <c r="F257" s="128"/>
      <c r="G257" s="128"/>
      <c r="H257" s="128"/>
      <c r="I257" s="128"/>
    </row>
    <row r="258" spans="1:9" ht="15" thickBot="1" x14ac:dyDescent="0.35">
      <c r="A258" s="130">
        <v>43431</v>
      </c>
      <c r="B258" s="129">
        <v>308.66666670000001</v>
      </c>
      <c r="C258" s="131">
        <v>-1.068376058E-2</v>
      </c>
      <c r="D258" s="128"/>
      <c r="E258" s="128"/>
      <c r="F258" s="128"/>
      <c r="G258" s="128"/>
      <c r="H258" s="128"/>
      <c r="I258" s="128"/>
    </row>
    <row r="259" spans="1:9" ht="15" thickBot="1" x14ac:dyDescent="0.35">
      <c r="A259" s="130">
        <v>43430</v>
      </c>
      <c r="B259" s="129">
        <v>312</v>
      </c>
      <c r="C259" s="131">
        <v>-5.3134963860000002E-3</v>
      </c>
      <c r="D259" s="128"/>
      <c r="E259" s="128"/>
      <c r="F259" s="128"/>
      <c r="G259" s="128"/>
      <c r="H259" s="128"/>
      <c r="I259" s="128"/>
    </row>
    <row r="260" spans="1:9" ht="15" thickBot="1" x14ac:dyDescent="0.35">
      <c r="A260" s="130">
        <v>43429</v>
      </c>
      <c r="B260" s="129">
        <v>313.66666670000001</v>
      </c>
      <c r="C260" s="131">
        <v>-2.743206573E-2</v>
      </c>
      <c r="D260" s="128"/>
      <c r="E260" s="128"/>
      <c r="F260" s="128"/>
      <c r="G260" s="128"/>
      <c r="H260" s="128"/>
      <c r="I260" s="128"/>
    </row>
    <row r="261" spans="1:9" ht="15" thickBot="1" x14ac:dyDescent="0.35">
      <c r="A261" s="130">
        <v>43424</v>
      </c>
      <c r="B261" s="129">
        <v>322.51388889999998</v>
      </c>
      <c r="C261" s="131">
        <v>-4.3045933450000003E-4</v>
      </c>
      <c r="D261" s="128"/>
      <c r="E261" s="128"/>
      <c r="F261" s="128"/>
      <c r="G261" s="128"/>
      <c r="H261" s="128"/>
      <c r="I261" s="128"/>
    </row>
    <row r="262" spans="1:9" ht="15" thickBot="1" x14ac:dyDescent="0.35">
      <c r="A262" s="130">
        <v>43423</v>
      </c>
      <c r="B262" s="129">
        <v>322.65277780000002</v>
      </c>
      <c r="C262" s="131">
        <v>3.4555742379999998E-3</v>
      </c>
      <c r="D262" s="128"/>
      <c r="E262" s="128"/>
      <c r="F262" s="128"/>
      <c r="G262" s="128"/>
      <c r="H262" s="128"/>
      <c r="I262" s="128"/>
    </row>
    <row r="263" spans="1:9" ht="15" thickBot="1" x14ac:dyDescent="0.35">
      <c r="A263" s="130">
        <v>43422</v>
      </c>
      <c r="B263" s="129">
        <v>321.54166670000001</v>
      </c>
      <c r="C263" s="131">
        <v>8.1771879970000003E-2</v>
      </c>
      <c r="D263" s="128"/>
      <c r="E263" s="128"/>
      <c r="F263" s="128"/>
      <c r="G263" s="128"/>
      <c r="H263" s="128"/>
      <c r="I263" s="128"/>
    </row>
    <row r="264" spans="1:9" ht="15" thickBot="1" x14ac:dyDescent="0.35">
      <c r="A264" s="130">
        <v>43419</v>
      </c>
      <c r="B264" s="129">
        <v>297.23611110000002</v>
      </c>
      <c r="C264" s="131">
        <v>-2.0818082169999998E-2</v>
      </c>
      <c r="D264" s="128"/>
      <c r="E264" s="128"/>
      <c r="F264" s="128"/>
      <c r="G264" s="128"/>
      <c r="H264" s="128"/>
      <c r="I264" s="128"/>
    </row>
    <row r="265" spans="1:9" ht="15" thickBot="1" x14ac:dyDescent="0.35">
      <c r="A265" s="130">
        <v>43418</v>
      </c>
      <c r="B265" s="129">
        <v>303.55555559999999</v>
      </c>
      <c r="C265" s="131">
        <v>-2.4329270869999999E-2</v>
      </c>
      <c r="D265" s="128"/>
      <c r="E265" s="128"/>
      <c r="F265" s="128"/>
      <c r="G265" s="128"/>
      <c r="H265" s="128"/>
      <c r="I265" s="128"/>
    </row>
    <row r="266" spans="1:9" ht="15" thickBot="1" x14ac:dyDescent="0.35">
      <c r="A266" s="130">
        <v>43417</v>
      </c>
      <c r="B266" s="129">
        <v>311.125</v>
      </c>
      <c r="C266" s="131">
        <v>8.7902481709999994E-2</v>
      </c>
      <c r="D266" s="128"/>
      <c r="E266" s="128"/>
      <c r="F266" s="128"/>
      <c r="G266" s="128"/>
      <c r="H266" s="128"/>
      <c r="I266" s="128"/>
    </row>
    <row r="267" spans="1:9" ht="15" thickBot="1" x14ac:dyDescent="0.35">
      <c r="A267" s="130">
        <v>43445</v>
      </c>
      <c r="B267" s="129">
        <v>285.98611110000002</v>
      </c>
      <c r="C267" s="131">
        <v>3.4931644640000002E-2</v>
      </c>
      <c r="D267" s="128"/>
      <c r="E267" s="128"/>
      <c r="F267" s="128"/>
      <c r="G267" s="128"/>
      <c r="H267" s="128"/>
      <c r="I267" s="128"/>
    </row>
    <row r="268" spans="1:9" ht="15" thickBot="1" x14ac:dyDescent="0.35">
      <c r="A268" s="130">
        <v>43415</v>
      </c>
      <c r="B268" s="129">
        <v>276.33333329999999</v>
      </c>
      <c r="C268" s="131">
        <v>3.5307171589999999E-3</v>
      </c>
      <c r="D268" s="128"/>
      <c r="E268" s="128"/>
      <c r="F268" s="128"/>
      <c r="G268" s="128"/>
      <c r="H268" s="128"/>
      <c r="I268" s="128"/>
    </row>
    <row r="269" spans="1:9" ht="15" thickBot="1" x14ac:dyDescent="0.35">
      <c r="A269" s="130">
        <v>43323</v>
      </c>
      <c r="B269" s="129">
        <v>275.36111110000002</v>
      </c>
      <c r="C269" s="131">
        <v>-2.0134905460000001E-3</v>
      </c>
      <c r="D269" s="128"/>
      <c r="E269" s="128"/>
      <c r="F269" s="128"/>
      <c r="G269" s="128"/>
      <c r="H269" s="128"/>
      <c r="I269" s="128"/>
    </row>
    <row r="270" spans="1:9" ht="15" thickBot="1" x14ac:dyDescent="0.35">
      <c r="A270" s="130">
        <v>43292</v>
      </c>
      <c r="B270" s="129">
        <v>275.91666670000001</v>
      </c>
      <c r="C270" s="131">
        <v>9.9130702469999998E-3</v>
      </c>
      <c r="D270" s="128"/>
      <c r="E270" s="128"/>
      <c r="F270" s="128"/>
      <c r="G270" s="128"/>
      <c r="H270" s="128"/>
      <c r="I270" s="128"/>
    </row>
    <row r="271" spans="1:9" ht="15" thickBot="1" x14ac:dyDescent="0.35">
      <c r="A271" s="130">
        <v>43262</v>
      </c>
      <c r="B271" s="129">
        <v>273.20833329999999</v>
      </c>
      <c r="C271" s="131">
        <v>-9.5664871260000006E-3</v>
      </c>
      <c r="D271" s="128"/>
      <c r="E271" s="128"/>
      <c r="F271" s="128"/>
      <c r="G271" s="128"/>
      <c r="H271" s="128"/>
      <c r="I271" s="128"/>
    </row>
    <row r="272" spans="1:9" ht="15" thickBot="1" x14ac:dyDescent="0.35">
      <c r="A272" s="130">
        <v>43231</v>
      </c>
      <c r="B272" s="129">
        <v>275.84722219999998</v>
      </c>
      <c r="C272" s="131">
        <v>-6.9996502170000001E-3</v>
      </c>
      <c r="D272" s="128"/>
      <c r="E272" s="128"/>
      <c r="F272" s="128"/>
      <c r="G272" s="128"/>
      <c r="H272" s="128"/>
      <c r="I272" s="128"/>
    </row>
    <row r="273" spans="1:9" ht="15" thickBot="1" x14ac:dyDescent="0.35">
      <c r="A273" s="130">
        <v>43201</v>
      </c>
      <c r="B273" s="129">
        <v>277.79166670000001</v>
      </c>
      <c r="C273" s="131">
        <v>1.000950983E-3</v>
      </c>
      <c r="D273" s="128"/>
      <c r="E273" s="128"/>
      <c r="F273" s="128"/>
      <c r="G273" s="128"/>
      <c r="H273" s="128"/>
      <c r="I273" s="128"/>
    </row>
    <row r="274" spans="1:9" ht="15" thickBot="1" x14ac:dyDescent="0.35">
      <c r="A274" s="130">
        <v>43111</v>
      </c>
      <c r="B274" s="129">
        <v>277.51388889999998</v>
      </c>
      <c r="C274" s="131">
        <v>-1.8904055699999998E-2</v>
      </c>
      <c r="D274" s="128"/>
      <c r="E274" s="128"/>
      <c r="F274" s="128"/>
      <c r="G274" s="128"/>
      <c r="H274" s="128"/>
      <c r="I274" s="128"/>
    </row>
    <row r="275" spans="1:9" ht="15" thickBot="1" x14ac:dyDescent="0.35">
      <c r="A275" s="130">
        <v>43404</v>
      </c>
      <c r="B275" s="129">
        <v>282.86111110000002</v>
      </c>
      <c r="C275" s="131">
        <v>-1.0206065429999999E-2</v>
      </c>
      <c r="D275" s="128"/>
      <c r="E275" s="128"/>
      <c r="F275" s="128"/>
      <c r="G275" s="128"/>
      <c r="H275" s="128"/>
      <c r="I275" s="128"/>
    </row>
    <row r="276" spans="1:9" ht="15" thickBot="1" x14ac:dyDescent="0.35">
      <c r="A276" s="130">
        <v>43403</v>
      </c>
      <c r="B276" s="129">
        <v>285.77777780000002</v>
      </c>
      <c r="C276" s="131">
        <v>6.8506559019999996E-3</v>
      </c>
      <c r="D276" s="128"/>
      <c r="E276" s="128"/>
      <c r="F276" s="128"/>
      <c r="G276" s="128"/>
      <c r="H276" s="128"/>
      <c r="I276" s="128"/>
    </row>
    <row r="277" spans="1:9" ht="15" thickBot="1" x14ac:dyDescent="0.35">
      <c r="A277" s="130">
        <v>43402</v>
      </c>
      <c r="B277" s="129">
        <v>283.83333329999999</v>
      </c>
      <c r="C277" s="131">
        <v>3.1548129619999997E-2</v>
      </c>
      <c r="D277" s="128"/>
      <c r="E277" s="128"/>
      <c r="F277" s="128"/>
      <c r="G277" s="128"/>
      <c r="H277" s="128"/>
      <c r="I277" s="128"/>
    </row>
    <row r="278" spans="1:9" ht="15" thickBot="1" x14ac:dyDescent="0.35">
      <c r="A278" s="130">
        <v>43401</v>
      </c>
      <c r="B278" s="129">
        <v>275.15277780000002</v>
      </c>
      <c r="C278" s="131">
        <v>3.5459195780000001E-3</v>
      </c>
      <c r="D278" s="128"/>
      <c r="E278" s="128"/>
      <c r="F278" s="128"/>
      <c r="G278" s="128"/>
      <c r="H278" s="128"/>
      <c r="I278" s="128"/>
    </row>
    <row r="279" spans="1:9" ht="15" thickBot="1" x14ac:dyDescent="0.35">
      <c r="A279" s="130">
        <v>43398</v>
      </c>
      <c r="B279" s="129">
        <v>274.18055559999999</v>
      </c>
      <c r="C279" s="131">
        <v>1.1529001840000001E-2</v>
      </c>
      <c r="D279" s="128"/>
      <c r="E279" s="128"/>
      <c r="F279" s="128"/>
      <c r="G279" s="128"/>
      <c r="H279" s="128"/>
      <c r="I279" s="128"/>
    </row>
    <row r="280" spans="1:9" ht="15" thickBot="1" x14ac:dyDescent="0.35">
      <c r="A280" s="130">
        <v>43397</v>
      </c>
      <c r="B280" s="129">
        <v>271.05555559999999</v>
      </c>
      <c r="C280" s="131">
        <v>-1.6380222449999999E-2</v>
      </c>
      <c r="D280" s="128"/>
      <c r="E280" s="128"/>
      <c r="F280" s="128"/>
      <c r="G280" s="128"/>
      <c r="H280" s="128"/>
      <c r="I280" s="128"/>
    </row>
    <row r="281" spans="1:9" ht="15" thickBot="1" x14ac:dyDescent="0.35">
      <c r="A281" s="130">
        <v>43396</v>
      </c>
      <c r="B281" s="129">
        <v>275.56944440000001</v>
      </c>
      <c r="C281" s="131">
        <v>3.091551457E-2</v>
      </c>
      <c r="D281" s="128"/>
      <c r="E281" s="128"/>
      <c r="F281" s="128"/>
      <c r="G281" s="128"/>
      <c r="H281" s="128"/>
      <c r="I281" s="128"/>
    </row>
    <row r="282" spans="1:9" ht="15" thickBot="1" x14ac:dyDescent="0.35">
      <c r="A282" s="130">
        <v>43395</v>
      </c>
      <c r="B282" s="129">
        <v>267.30555559999999</v>
      </c>
      <c r="C282" s="131">
        <v>-1.534840864E-2</v>
      </c>
      <c r="D282" s="128"/>
      <c r="E282" s="128"/>
      <c r="F282" s="128"/>
      <c r="G282" s="128"/>
      <c r="H282" s="128"/>
      <c r="I282" s="128"/>
    </row>
    <row r="283" spans="1:9" ht="15" thickBot="1" x14ac:dyDescent="0.35">
      <c r="A283" s="130">
        <v>43394</v>
      </c>
      <c r="B283" s="129">
        <v>271.47222219999998</v>
      </c>
      <c r="C283" s="131">
        <v>8.2533786439999996E-3</v>
      </c>
      <c r="D283" s="128"/>
      <c r="E283" s="128"/>
      <c r="F283" s="128"/>
      <c r="G283" s="128"/>
      <c r="H283" s="128"/>
      <c r="I283" s="128"/>
    </row>
    <row r="284" spans="1:9" ht="15" thickBot="1" x14ac:dyDescent="0.35">
      <c r="A284" s="130">
        <v>43391</v>
      </c>
      <c r="B284" s="129">
        <v>269.25</v>
      </c>
      <c r="C284" s="131">
        <v>-4.6210720889999996E-3</v>
      </c>
      <c r="D284" s="128"/>
      <c r="E284" s="128"/>
      <c r="F284" s="128"/>
      <c r="G284" s="128"/>
      <c r="H284" s="128"/>
      <c r="I284" s="128"/>
    </row>
    <row r="285" spans="1:9" ht="15" thickBot="1" x14ac:dyDescent="0.35">
      <c r="A285" s="130">
        <v>43390</v>
      </c>
      <c r="B285" s="129">
        <v>270.5</v>
      </c>
      <c r="C285" s="131">
        <v>-1.9631531380000001E-2</v>
      </c>
      <c r="D285" s="128"/>
      <c r="E285" s="128"/>
      <c r="F285" s="128"/>
      <c r="G285" s="128"/>
      <c r="H285" s="128"/>
      <c r="I285" s="128"/>
    </row>
    <row r="286" spans="1:9" ht="15" thickBot="1" x14ac:dyDescent="0.35">
      <c r="A286" s="130">
        <v>43389</v>
      </c>
      <c r="B286" s="129">
        <v>275.91666670000001</v>
      </c>
      <c r="C286" s="131">
        <v>2.1598272389999999E-2</v>
      </c>
      <c r="D286" s="128"/>
      <c r="E286" s="128"/>
      <c r="F286" s="128"/>
      <c r="G286" s="128"/>
      <c r="H286" s="128"/>
      <c r="I286" s="128"/>
    </row>
    <row r="287" spans="1:9" ht="15" thickBot="1" x14ac:dyDescent="0.35">
      <c r="A287" s="130">
        <v>43388</v>
      </c>
      <c r="B287" s="129">
        <v>270.08333329999999</v>
      </c>
      <c r="C287" s="131">
        <v>-2.0401994860000001E-2</v>
      </c>
      <c r="D287" s="128"/>
      <c r="E287" s="128"/>
      <c r="F287" s="128"/>
      <c r="G287" s="128"/>
      <c r="H287" s="128"/>
      <c r="I287" s="128"/>
    </row>
    <row r="288" spans="1:9" ht="15" thickBot="1" x14ac:dyDescent="0.35">
      <c r="A288" s="130">
        <v>43387</v>
      </c>
      <c r="B288" s="129">
        <v>275.70833329999999</v>
      </c>
      <c r="C288" s="131">
        <v>-7.2514503310000004E-3</v>
      </c>
      <c r="D288" s="128"/>
      <c r="E288" s="128"/>
      <c r="F288" s="128"/>
      <c r="G288" s="128"/>
      <c r="H288" s="128"/>
      <c r="I288" s="128"/>
    </row>
    <row r="289" spans="1:9" ht="15" thickBot="1" x14ac:dyDescent="0.35">
      <c r="A289" s="130">
        <v>43414</v>
      </c>
      <c r="B289" s="129">
        <v>277.72222219999998</v>
      </c>
      <c r="C289" s="131">
        <v>-8.6758218819999993E-3</v>
      </c>
      <c r="D289" s="128"/>
      <c r="E289" s="128"/>
      <c r="F289" s="128"/>
      <c r="G289" s="128"/>
      <c r="H289" s="128"/>
      <c r="I289" s="128"/>
    </row>
    <row r="290" spans="1:9" ht="15" thickBot="1" x14ac:dyDescent="0.35">
      <c r="A290" s="130">
        <v>43383</v>
      </c>
      <c r="B290" s="129">
        <v>280.15277780000002</v>
      </c>
      <c r="C290" s="131">
        <v>-1.441415022E-2</v>
      </c>
      <c r="D290" s="128"/>
      <c r="E290" s="128"/>
      <c r="F290" s="128"/>
      <c r="G290" s="128"/>
      <c r="H290" s="128"/>
      <c r="I290" s="128"/>
    </row>
    <row r="291" spans="1:9" ht="15" thickBot="1" x14ac:dyDescent="0.35">
      <c r="A291" s="130">
        <v>43353</v>
      </c>
      <c r="B291" s="129">
        <v>284.25</v>
      </c>
      <c r="C291" s="131">
        <v>2.2482014389999999E-2</v>
      </c>
      <c r="D291" s="128"/>
      <c r="E291" s="128"/>
      <c r="F291" s="128"/>
      <c r="G291" s="128"/>
      <c r="H291" s="128"/>
      <c r="I291" s="128"/>
    </row>
    <row r="292" spans="1:9" ht="15" thickBot="1" x14ac:dyDescent="0.35">
      <c r="A292" s="130">
        <v>43322</v>
      </c>
      <c r="B292" s="129">
        <v>278</v>
      </c>
      <c r="C292" s="131">
        <v>4.2647134219999999E-3</v>
      </c>
      <c r="D292" s="128"/>
      <c r="E292" s="128"/>
      <c r="F292" s="128"/>
      <c r="G292" s="128"/>
      <c r="H292" s="128"/>
      <c r="I292" s="128"/>
    </row>
    <row r="293" spans="1:9" ht="15" thickBot="1" x14ac:dyDescent="0.35">
      <c r="A293" s="130">
        <v>43291</v>
      </c>
      <c r="B293" s="129">
        <v>276.81944440000001</v>
      </c>
      <c r="C293" s="131">
        <v>-1.0024560979999999E-3</v>
      </c>
      <c r="D293" s="128"/>
      <c r="E293" s="128"/>
      <c r="F293" s="128"/>
      <c r="G293" s="128"/>
      <c r="H293" s="128"/>
      <c r="I293" s="128"/>
    </row>
    <row r="294" spans="1:9" ht="15" thickBot="1" x14ac:dyDescent="0.35">
      <c r="A294" s="130">
        <v>43200</v>
      </c>
      <c r="B294" s="129">
        <v>277.09722219999998</v>
      </c>
      <c r="C294" s="131">
        <v>2.2606249369999999E-3</v>
      </c>
      <c r="D294" s="128"/>
      <c r="E294" s="128"/>
      <c r="F294" s="128"/>
      <c r="G294" s="128"/>
      <c r="H294" s="128"/>
      <c r="I294" s="128"/>
    </row>
    <row r="295" spans="1:9" ht="15" thickBot="1" x14ac:dyDescent="0.35">
      <c r="A295" s="130">
        <v>43169</v>
      </c>
      <c r="B295" s="129">
        <v>276.47222219999998</v>
      </c>
      <c r="C295" s="131">
        <v>5.8107219649999996E-3</v>
      </c>
      <c r="D295" s="128"/>
      <c r="E295" s="128"/>
      <c r="F295" s="128"/>
      <c r="G295" s="128"/>
      <c r="H295" s="128"/>
      <c r="I295" s="128"/>
    </row>
    <row r="296" spans="1:9" ht="15" thickBot="1" x14ac:dyDescent="0.35">
      <c r="A296" s="130">
        <v>43141</v>
      </c>
      <c r="B296" s="129">
        <v>274.875</v>
      </c>
      <c r="C296" s="131">
        <v>2.7867856100000001E-3</v>
      </c>
      <c r="D296" s="128"/>
      <c r="E296" s="128"/>
      <c r="F296" s="128"/>
      <c r="G296" s="128"/>
      <c r="H296" s="128"/>
      <c r="I296" s="128"/>
    </row>
    <row r="297" spans="1:9" ht="15" thickBot="1" x14ac:dyDescent="0.35">
      <c r="A297" s="130">
        <v>43110</v>
      </c>
      <c r="B297" s="129">
        <v>274.11111110000002</v>
      </c>
      <c r="C297" s="131">
        <v>-3.2826625719999999E-3</v>
      </c>
      <c r="D297" s="128"/>
      <c r="E297" s="128"/>
      <c r="F297" s="128"/>
      <c r="G297" s="128"/>
      <c r="H297" s="128"/>
      <c r="I297" s="128"/>
    </row>
    <row r="298" spans="1:9" ht="15" thickBot="1" x14ac:dyDescent="0.35">
      <c r="A298" s="130">
        <v>43373</v>
      </c>
      <c r="B298" s="129">
        <v>275.01388889999998</v>
      </c>
      <c r="C298" s="131">
        <v>8.9167432600000002E-3</v>
      </c>
      <c r="D298" s="128"/>
      <c r="E298" s="128"/>
      <c r="F298" s="128"/>
      <c r="G298" s="128"/>
      <c r="H298" s="128"/>
      <c r="I298" s="128"/>
    </row>
    <row r="299" spans="1:9" ht="15" thickBot="1" x14ac:dyDescent="0.35">
      <c r="A299" s="130">
        <v>43370</v>
      </c>
      <c r="B299" s="129">
        <v>272.58333329999999</v>
      </c>
      <c r="C299" s="131">
        <v>-1.0087763620000001E-2</v>
      </c>
      <c r="D299" s="128"/>
      <c r="E299" s="128"/>
      <c r="F299" s="128"/>
      <c r="G299" s="128"/>
      <c r="H299" s="128"/>
      <c r="I299" s="128"/>
    </row>
    <row r="300" spans="1:9" ht="15" thickBot="1" x14ac:dyDescent="0.35">
      <c r="A300" s="130">
        <v>43369</v>
      </c>
      <c r="B300" s="129">
        <v>275.36111110000002</v>
      </c>
      <c r="C300" s="131">
        <v>-9.9870169580000001E-3</v>
      </c>
      <c r="D300" s="128"/>
      <c r="E300" s="128"/>
      <c r="F300" s="128"/>
      <c r="G300" s="128"/>
      <c r="H300" s="128"/>
      <c r="I300" s="128"/>
    </row>
    <row r="301" spans="1:9" ht="15" thickBot="1" x14ac:dyDescent="0.35">
      <c r="A301" s="130">
        <v>43368</v>
      </c>
      <c r="B301" s="129">
        <v>278.13888889999998</v>
      </c>
      <c r="C301" s="131">
        <v>-1.427446355E-2</v>
      </c>
      <c r="D301" s="128"/>
      <c r="E301" s="128"/>
      <c r="F301" s="128"/>
      <c r="G301" s="128"/>
      <c r="H301" s="128"/>
      <c r="I301" s="128"/>
    </row>
    <row r="302" spans="1:9" ht="15" thickBot="1" x14ac:dyDescent="0.35">
      <c r="A302" s="130">
        <v>43367</v>
      </c>
      <c r="B302" s="129">
        <v>282.16666670000001</v>
      </c>
      <c r="C302" s="131">
        <v>-6.6011441979999998E-3</v>
      </c>
      <c r="D302" s="128"/>
      <c r="E302" s="128"/>
      <c r="F302" s="128"/>
      <c r="G302" s="128"/>
      <c r="H302" s="128"/>
      <c r="I302" s="128"/>
    </row>
    <row r="303" spans="1:9" ht="15" thickBot="1" x14ac:dyDescent="0.35">
      <c r="A303" s="130">
        <v>43366</v>
      </c>
      <c r="B303" s="129">
        <v>284.04166670000001</v>
      </c>
      <c r="C303" s="131">
        <v>3.9271513030000003E-3</v>
      </c>
      <c r="D303" s="128"/>
      <c r="E303" s="128"/>
      <c r="F303" s="128"/>
      <c r="G303" s="128"/>
      <c r="H303" s="128"/>
      <c r="I303" s="128"/>
    </row>
    <row r="304" spans="1:9" ht="15" thickBot="1" x14ac:dyDescent="0.35">
      <c r="A304" s="130">
        <v>43363</v>
      </c>
      <c r="B304" s="129">
        <v>282.93055559999999</v>
      </c>
      <c r="C304" s="131">
        <v>-1.6653793940000002E-2</v>
      </c>
      <c r="D304" s="128"/>
      <c r="E304" s="128"/>
      <c r="F304" s="128"/>
      <c r="G304" s="128"/>
      <c r="H304" s="128"/>
      <c r="I304" s="128"/>
    </row>
    <row r="305" spans="1:9" ht="15" thickBot="1" x14ac:dyDescent="0.35">
      <c r="A305" s="130">
        <v>43362</v>
      </c>
      <c r="B305" s="129">
        <v>287.72222219999998</v>
      </c>
      <c r="C305" s="131">
        <v>-2.7691730210000001E-2</v>
      </c>
      <c r="D305" s="128"/>
      <c r="E305" s="128"/>
      <c r="F305" s="128"/>
      <c r="G305" s="128"/>
      <c r="H305" s="128"/>
      <c r="I305" s="128"/>
    </row>
    <row r="306" spans="1:9" ht="15" thickBot="1" x14ac:dyDescent="0.35">
      <c r="A306" s="130">
        <v>43361</v>
      </c>
      <c r="B306" s="129">
        <v>295.91666670000001</v>
      </c>
      <c r="C306" s="131">
        <v>2.2066583550000001E-2</v>
      </c>
      <c r="D306" s="128"/>
      <c r="E306" s="128"/>
      <c r="F306" s="128"/>
      <c r="G306" s="128"/>
      <c r="H306" s="128"/>
      <c r="I306" s="128"/>
    </row>
    <row r="307" spans="1:9" ht="15" thickBot="1" x14ac:dyDescent="0.35">
      <c r="A307" s="130">
        <v>43360</v>
      </c>
      <c r="B307" s="129">
        <v>289.52777780000002</v>
      </c>
      <c r="C307" s="131">
        <v>3.551736145E-2</v>
      </c>
      <c r="D307" s="128"/>
      <c r="E307" s="128"/>
      <c r="F307" s="128"/>
      <c r="G307" s="128"/>
      <c r="H307" s="128"/>
      <c r="I307" s="128"/>
    </row>
    <row r="308" spans="1:9" ht="15" thickBot="1" x14ac:dyDescent="0.35">
      <c r="A308" s="130">
        <v>43359</v>
      </c>
      <c r="B308" s="129">
        <v>279.59722219999998</v>
      </c>
      <c r="C308" s="131">
        <v>-7.1513119360000002E-3</v>
      </c>
      <c r="D308" s="128"/>
      <c r="E308" s="128"/>
      <c r="F308" s="128"/>
      <c r="G308" s="128"/>
      <c r="H308" s="128"/>
      <c r="I308" s="128"/>
    </row>
    <row r="309" spans="1:9" ht="15" thickBot="1" x14ac:dyDescent="0.35">
      <c r="A309" s="130">
        <v>43356</v>
      </c>
      <c r="B309" s="129">
        <v>281.61111110000002</v>
      </c>
      <c r="C309" s="131">
        <v>-1.1698186669999999E-2</v>
      </c>
      <c r="D309" s="128"/>
      <c r="E309" s="128"/>
      <c r="F309" s="128"/>
      <c r="G309" s="128"/>
      <c r="H309" s="128"/>
      <c r="I309" s="128"/>
    </row>
    <row r="310" spans="1:9" ht="15" thickBot="1" x14ac:dyDescent="0.35">
      <c r="A310" s="130">
        <v>43443</v>
      </c>
      <c r="B310" s="129">
        <v>284.94444440000001</v>
      </c>
      <c r="C310" s="131">
        <v>2.2425994219999999E-2</v>
      </c>
      <c r="D310" s="128"/>
      <c r="E310" s="128"/>
      <c r="F310" s="128"/>
      <c r="G310" s="128"/>
      <c r="H310" s="128"/>
      <c r="I310" s="128"/>
    </row>
    <row r="311" spans="1:9" ht="15" thickBot="1" x14ac:dyDescent="0.35">
      <c r="A311" s="130">
        <v>43413</v>
      </c>
      <c r="B311" s="129">
        <v>278.69444440000001</v>
      </c>
      <c r="C311" s="131">
        <v>-2.2375814229999998E-3</v>
      </c>
      <c r="D311" s="128"/>
      <c r="E311" s="128"/>
      <c r="F311" s="128"/>
      <c r="G311" s="128"/>
      <c r="H311" s="128"/>
      <c r="I311" s="128"/>
    </row>
    <row r="312" spans="1:9" ht="15" thickBot="1" x14ac:dyDescent="0.35">
      <c r="A312" s="130">
        <v>43382</v>
      </c>
      <c r="B312" s="129">
        <v>279.31944440000001</v>
      </c>
      <c r="C312" s="131">
        <v>8.7780896869999996E-3</v>
      </c>
      <c r="D312" s="128"/>
      <c r="E312" s="128"/>
      <c r="F312" s="128"/>
      <c r="G312" s="128"/>
      <c r="H312" s="128"/>
      <c r="I312" s="128"/>
    </row>
    <row r="313" spans="1:9" ht="15" thickBot="1" x14ac:dyDescent="0.35">
      <c r="A313" s="130">
        <v>43352</v>
      </c>
      <c r="B313" s="129">
        <v>276.88888889999998</v>
      </c>
      <c r="C313" s="131">
        <v>-4.4941575950000002E-3</v>
      </c>
      <c r="D313" s="128"/>
      <c r="E313" s="128"/>
      <c r="F313" s="128"/>
      <c r="G313" s="128"/>
      <c r="H313" s="128"/>
      <c r="I313" s="128"/>
    </row>
    <row r="314" spans="1:9" ht="15" thickBot="1" x14ac:dyDescent="0.35">
      <c r="A314" s="130">
        <v>43260</v>
      </c>
      <c r="B314" s="129">
        <v>278.13888889999998</v>
      </c>
      <c r="C314" s="131">
        <v>-9.8882627099999999E-3</v>
      </c>
      <c r="D314" s="128"/>
      <c r="E314" s="128"/>
      <c r="F314" s="128"/>
      <c r="G314" s="128"/>
      <c r="H314" s="128"/>
      <c r="I314" s="128"/>
    </row>
    <row r="315" spans="1:9" ht="15" thickBot="1" x14ac:dyDescent="0.35">
      <c r="A315" s="130">
        <v>43229</v>
      </c>
      <c r="B315" s="129">
        <v>280.91666670000001</v>
      </c>
      <c r="C315" s="131">
        <v>1.7353251970000001E-2</v>
      </c>
      <c r="D315" s="128"/>
      <c r="E315" s="128"/>
      <c r="F315" s="128"/>
      <c r="G315" s="128"/>
      <c r="H315" s="128"/>
      <c r="I315" s="128"/>
    </row>
    <row r="316" spans="1:9" ht="15" thickBot="1" x14ac:dyDescent="0.35">
      <c r="A316" s="130">
        <v>43199</v>
      </c>
      <c r="B316" s="129">
        <v>276.125</v>
      </c>
      <c r="C316" s="131">
        <v>-2.5143300819999999E-4</v>
      </c>
      <c r="D316" s="128"/>
      <c r="E316" s="128"/>
      <c r="F316" s="128"/>
      <c r="G316" s="128"/>
      <c r="H316" s="128"/>
      <c r="I316" s="128"/>
    </row>
    <row r="317" spans="1:9" ht="15" thickBot="1" x14ac:dyDescent="0.35">
      <c r="A317" s="130">
        <v>43168</v>
      </c>
      <c r="B317" s="129">
        <v>276.19444440000001</v>
      </c>
      <c r="C317" s="131">
        <v>3.0263289420000001E-3</v>
      </c>
      <c r="D317" s="128"/>
      <c r="E317" s="128"/>
      <c r="F317" s="128"/>
      <c r="G317" s="128"/>
      <c r="H317" s="128"/>
      <c r="I317" s="128"/>
    </row>
    <row r="318" spans="1:9" ht="15" thickBot="1" x14ac:dyDescent="0.35">
      <c r="A318" s="130">
        <v>43342</v>
      </c>
      <c r="B318" s="129">
        <v>275.36111110000002</v>
      </c>
      <c r="C318" s="131">
        <v>-7.2605278049999999E-3</v>
      </c>
      <c r="D318" s="128"/>
      <c r="E318" s="128"/>
      <c r="F318" s="128"/>
      <c r="G318" s="128"/>
      <c r="H318" s="128"/>
      <c r="I318" s="128"/>
    </row>
    <row r="319" spans="1:9" ht="15" thickBot="1" x14ac:dyDescent="0.35">
      <c r="A319" s="130">
        <v>43341</v>
      </c>
      <c r="B319" s="129">
        <v>277.375</v>
      </c>
      <c r="C319" s="131">
        <v>2.7615987550000001E-3</v>
      </c>
      <c r="D319" s="128"/>
      <c r="E319" s="128"/>
      <c r="F319" s="128"/>
      <c r="G319" s="128"/>
      <c r="H319" s="128"/>
      <c r="I319" s="128"/>
    </row>
    <row r="320" spans="1:9" ht="15" thickBot="1" x14ac:dyDescent="0.35">
      <c r="A320" s="130">
        <v>43340</v>
      </c>
      <c r="B320" s="129">
        <v>276.61111110000002</v>
      </c>
      <c r="C320" s="131">
        <v>-1.361992987E-2</v>
      </c>
      <c r="D320" s="128"/>
      <c r="E320" s="128"/>
      <c r="F320" s="128"/>
      <c r="G320" s="128"/>
      <c r="H320" s="128"/>
      <c r="I320" s="128"/>
    </row>
    <row r="321" spans="1:9" ht="15" thickBot="1" x14ac:dyDescent="0.35">
      <c r="A321" s="130">
        <v>43339</v>
      </c>
      <c r="B321" s="129">
        <v>280.43055559999999</v>
      </c>
      <c r="C321" s="131">
        <v>1.7364559640000001E-3</v>
      </c>
      <c r="D321" s="128"/>
      <c r="E321" s="128"/>
      <c r="F321" s="128"/>
      <c r="G321" s="128"/>
      <c r="H321" s="128"/>
      <c r="I321" s="128"/>
    </row>
    <row r="322" spans="1:9" ht="15" thickBot="1" x14ac:dyDescent="0.35">
      <c r="A322" s="130">
        <v>43338</v>
      </c>
      <c r="B322" s="129">
        <v>279.94444440000001</v>
      </c>
      <c r="C322" s="131">
        <v>1.3322608010000001E-2</v>
      </c>
      <c r="D322" s="128"/>
      <c r="E322" s="128"/>
      <c r="F322" s="128"/>
      <c r="G322" s="128"/>
      <c r="H322" s="128"/>
      <c r="I322" s="128"/>
    </row>
    <row r="323" spans="1:9" ht="15" thickBot="1" x14ac:dyDescent="0.35">
      <c r="A323" s="130">
        <v>43332</v>
      </c>
      <c r="B323" s="129">
        <v>276.26388889999998</v>
      </c>
      <c r="C323" s="131">
        <v>1.1698286150000001E-2</v>
      </c>
      <c r="D323" s="128"/>
      <c r="E323" s="128"/>
      <c r="F323" s="128"/>
      <c r="G323" s="128"/>
      <c r="H323" s="128"/>
      <c r="I323" s="128"/>
    </row>
    <row r="324" spans="1:9" ht="15" thickBot="1" x14ac:dyDescent="0.35">
      <c r="A324" s="130">
        <v>43331</v>
      </c>
      <c r="B324" s="129">
        <v>273.06944440000001</v>
      </c>
      <c r="C324" s="131">
        <v>-1.156301865E-2</v>
      </c>
      <c r="D324" s="128"/>
      <c r="E324" s="128"/>
      <c r="F324" s="128"/>
      <c r="G324" s="128"/>
      <c r="H324" s="128"/>
      <c r="I324" s="128"/>
    </row>
    <row r="325" spans="1:9" ht="15" thickBot="1" x14ac:dyDescent="0.35">
      <c r="A325" s="130">
        <v>43328</v>
      </c>
      <c r="B325" s="129">
        <v>276.26388889999998</v>
      </c>
      <c r="C325" s="131">
        <v>1.2986351720000001E-2</v>
      </c>
      <c r="D325" s="128"/>
      <c r="E325" s="128"/>
      <c r="F325" s="128"/>
      <c r="G325" s="128"/>
      <c r="H325" s="128"/>
      <c r="I325" s="128"/>
    </row>
    <row r="326" spans="1:9" ht="15" thickBot="1" x14ac:dyDescent="0.35">
      <c r="A326" s="130">
        <v>43326</v>
      </c>
      <c r="B326" s="129">
        <v>272.72222219999998</v>
      </c>
      <c r="C326" s="131">
        <v>-1.132873471E-2</v>
      </c>
      <c r="D326" s="128"/>
      <c r="E326" s="128"/>
      <c r="F326" s="128"/>
      <c r="G326" s="128"/>
      <c r="H326" s="128"/>
      <c r="I326" s="128"/>
    </row>
    <row r="327" spans="1:9" ht="15" thickBot="1" x14ac:dyDescent="0.35">
      <c r="A327" s="130">
        <v>43325</v>
      </c>
      <c r="B327" s="129">
        <v>275.84722219999998</v>
      </c>
      <c r="C327" s="131">
        <v>-3.2620697379999999E-3</v>
      </c>
      <c r="D327" s="128"/>
      <c r="E327" s="128"/>
      <c r="F327" s="128"/>
      <c r="G327" s="128"/>
      <c r="H327" s="128"/>
      <c r="I327" s="128"/>
    </row>
    <row r="328" spans="1:9" ht="15" thickBot="1" x14ac:dyDescent="0.35">
      <c r="A328" s="130">
        <v>43442</v>
      </c>
      <c r="B328" s="129">
        <v>276.75</v>
      </c>
      <c r="C328" s="131">
        <v>-5.2418749740000001E-3</v>
      </c>
      <c r="D328" s="128"/>
      <c r="E328" s="128"/>
      <c r="F328" s="128"/>
      <c r="G328" s="128"/>
      <c r="H328" s="128"/>
      <c r="I328" s="128"/>
    </row>
    <row r="329" spans="1:9" ht="15" thickBot="1" x14ac:dyDescent="0.35">
      <c r="A329" s="130">
        <v>43351</v>
      </c>
      <c r="B329" s="129">
        <v>278.20833329999999</v>
      </c>
      <c r="C329" s="131">
        <v>-1.596580865E-2</v>
      </c>
      <c r="D329" s="128"/>
      <c r="E329" s="128"/>
      <c r="F329" s="128"/>
      <c r="G329" s="128"/>
      <c r="H329" s="128"/>
      <c r="I329" s="128"/>
    </row>
    <row r="330" spans="1:9" ht="15" thickBot="1" x14ac:dyDescent="0.35">
      <c r="A330" s="130">
        <v>43320</v>
      </c>
      <c r="B330" s="129">
        <v>282.72222219999998</v>
      </c>
      <c r="C330" s="131">
        <v>-1.961169013E-3</v>
      </c>
      <c r="D330" s="128"/>
      <c r="E330" s="128"/>
      <c r="F330" s="128"/>
      <c r="G330" s="128"/>
      <c r="H330" s="128"/>
      <c r="I330" s="128"/>
    </row>
    <row r="331" spans="1:9" ht="15" thickBot="1" x14ac:dyDescent="0.35">
      <c r="A331" s="130">
        <v>43289</v>
      </c>
      <c r="B331" s="129">
        <v>283.27777780000002</v>
      </c>
      <c r="C331" s="131">
        <v>-6.333430577E-3</v>
      </c>
      <c r="D331" s="128"/>
      <c r="E331" s="128"/>
      <c r="F331" s="128"/>
      <c r="G331" s="128"/>
      <c r="H331" s="128"/>
      <c r="I331" s="128"/>
    </row>
    <row r="332" spans="1:9" ht="15" thickBot="1" x14ac:dyDescent="0.35">
      <c r="A332" s="130">
        <v>43259</v>
      </c>
      <c r="B332" s="129">
        <v>285.08333329999999</v>
      </c>
      <c r="C332" s="131">
        <v>-1.944957853E-3</v>
      </c>
      <c r="D332" s="128"/>
      <c r="E332" s="128"/>
      <c r="F332" s="128"/>
      <c r="G332" s="128"/>
      <c r="H332" s="128"/>
      <c r="I332" s="128"/>
    </row>
    <row r="333" spans="1:9" ht="15" thickBot="1" x14ac:dyDescent="0.35">
      <c r="A333" s="130">
        <v>43228</v>
      </c>
      <c r="B333" s="129">
        <v>285.63888889999998</v>
      </c>
      <c r="C333" s="131">
        <v>-1.248439447E-2</v>
      </c>
      <c r="D333" s="128"/>
      <c r="E333" s="128"/>
      <c r="F333" s="128"/>
      <c r="G333" s="128"/>
      <c r="H333" s="128"/>
      <c r="I333" s="128"/>
    </row>
    <row r="334" spans="1:9" ht="15" thickBot="1" x14ac:dyDescent="0.35">
      <c r="A334" s="130">
        <v>43139</v>
      </c>
      <c r="B334" s="129">
        <v>289.25</v>
      </c>
      <c r="C334" s="131">
        <v>1.2018652180000001E-3</v>
      </c>
      <c r="D334" s="128"/>
      <c r="E334" s="128"/>
      <c r="F334" s="128"/>
      <c r="G334" s="128"/>
      <c r="H334" s="128"/>
      <c r="I334" s="128"/>
    </row>
    <row r="335" spans="1:9" ht="15" thickBot="1" x14ac:dyDescent="0.35">
      <c r="A335" s="130">
        <v>43108</v>
      </c>
      <c r="B335" s="129">
        <v>288.90277780000002</v>
      </c>
      <c r="C335" s="131">
        <v>7.5075075849999999E-3</v>
      </c>
      <c r="D335" s="128"/>
      <c r="E335" s="128"/>
      <c r="F335" s="128"/>
      <c r="G335" s="128"/>
      <c r="H335" s="128"/>
      <c r="I335" s="128"/>
    </row>
    <row r="336" spans="1:9" ht="15" thickBot="1" x14ac:dyDescent="0.35">
      <c r="A336" s="130">
        <v>43312</v>
      </c>
      <c r="B336" s="129">
        <v>286.75</v>
      </c>
      <c r="C336" s="131">
        <v>4.8671274610000001E-3</v>
      </c>
      <c r="D336" s="128"/>
      <c r="E336" s="128"/>
      <c r="F336" s="128"/>
      <c r="G336" s="128"/>
      <c r="H336" s="128"/>
      <c r="I336" s="128"/>
    </row>
    <row r="337" spans="1:9" ht="15" thickBot="1" x14ac:dyDescent="0.35">
      <c r="A337" s="130">
        <v>43311</v>
      </c>
      <c r="B337" s="129">
        <v>285.36111110000002</v>
      </c>
      <c r="C337" s="131">
        <v>-7.487561064E-3</v>
      </c>
      <c r="D337" s="128"/>
      <c r="E337" s="128"/>
      <c r="F337" s="128"/>
      <c r="G337" s="128"/>
      <c r="H337" s="128"/>
      <c r="I337" s="128"/>
    </row>
    <row r="338" spans="1:9" ht="15" thickBot="1" x14ac:dyDescent="0.35">
      <c r="A338" s="130">
        <v>43310</v>
      </c>
      <c r="B338" s="129">
        <v>287.51388889999998</v>
      </c>
      <c r="C338" s="131">
        <v>8.7715023630000003E-3</v>
      </c>
      <c r="D338" s="128"/>
      <c r="E338" s="128"/>
      <c r="F338" s="128"/>
      <c r="G338" s="128"/>
      <c r="H338" s="128"/>
      <c r="I338" s="128"/>
    </row>
    <row r="339" spans="1:9" ht="15" thickBot="1" x14ac:dyDescent="0.35">
      <c r="A339" s="130">
        <v>43307</v>
      </c>
      <c r="B339" s="129">
        <v>285.01388889999998</v>
      </c>
      <c r="C339" s="131">
        <v>-7.7365697209999997E-3</v>
      </c>
      <c r="D339" s="128"/>
      <c r="E339" s="128"/>
      <c r="F339" s="128"/>
      <c r="G339" s="128"/>
      <c r="H339" s="128"/>
      <c r="I339" s="128"/>
    </row>
    <row r="340" spans="1:9" ht="15" thickBot="1" x14ac:dyDescent="0.35">
      <c r="A340" s="130">
        <v>43306</v>
      </c>
      <c r="B340" s="129">
        <v>287.23611110000002</v>
      </c>
      <c r="C340" s="131">
        <v>1.2484089029999999E-2</v>
      </c>
      <c r="D340" s="128"/>
      <c r="E340" s="128"/>
      <c r="F340" s="128"/>
      <c r="G340" s="128"/>
      <c r="H340" s="128"/>
      <c r="I340" s="128"/>
    </row>
    <row r="341" spans="1:9" ht="15" thickBot="1" x14ac:dyDescent="0.35">
      <c r="A341" s="130">
        <v>43305</v>
      </c>
      <c r="B341" s="129">
        <v>283.69444440000001</v>
      </c>
      <c r="C341" s="131">
        <v>1.113806247E-2</v>
      </c>
      <c r="D341" s="128"/>
      <c r="E341" s="128"/>
      <c r="F341" s="128"/>
      <c r="G341" s="128"/>
      <c r="H341" s="128"/>
      <c r="I341" s="128"/>
    </row>
    <row r="342" spans="1:9" ht="15" thickBot="1" x14ac:dyDescent="0.35">
      <c r="A342" s="130">
        <v>43304</v>
      </c>
      <c r="B342" s="129">
        <v>280.56944440000001</v>
      </c>
      <c r="C342" s="131">
        <v>-9.5606984110000008E-3</v>
      </c>
      <c r="D342" s="128"/>
      <c r="E342" s="128"/>
      <c r="F342" s="128"/>
      <c r="G342" s="128"/>
      <c r="H342" s="128"/>
      <c r="I342" s="128"/>
    </row>
    <row r="343" spans="1:9" ht="15" thickBot="1" x14ac:dyDescent="0.35">
      <c r="A343" s="130">
        <v>43303</v>
      </c>
      <c r="B343" s="129">
        <v>283.27777780000002</v>
      </c>
      <c r="C343" s="131">
        <v>-1.2587141709999999E-2</v>
      </c>
      <c r="D343" s="128"/>
      <c r="E343" s="128"/>
      <c r="F343" s="128"/>
      <c r="G343" s="128"/>
      <c r="H343" s="128"/>
      <c r="I343" s="128"/>
    </row>
    <row r="344" spans="1:9" ht="15" thickBot="1" x14ac:dyDescent="0.35">
      <c r="A344" s="130">
        <v>43300</v>
      </c>
      <c r="B344" s="129">
        <v>286.88888889999998</v>
      </c>
      <c r="C344" s="131">
        <v>-3.6836706070000003E-2</v>
      </c>
      <c r="D344" s="128"/>
      <c r="E344" s="128"/>
      <c r="F344" s="128"/>
      <c r="G344" s="128"/>
      <c r="H344" s="128"/>
      <c r="I344" s="128"/>
    </row>
    <row r="345" spans="1:9" ht="15" thickBot="1" x14ac:dyDescent="0.35">
      <c r="A345" s="130">
        <v>43299</v>
      </c>
      <c r="B345" s="129">
        <v>297.86111110000002</v>
      </c>
      <c r="C345" s="131">
        <v>5.277109596E-2</v>
      </c>
      <c r="D345" s="128"/>
      <c r="E345" s="128"/>
      <c r="F345" s="128"/>
      <c r="G345" s="128"/>
      <c r="H345" s="128"/>
      <c r="I345" s="128"/>
    </row>
    <row r="346" spans="1:9" ht="15" thickBot="1" x14ac:dyDescent="0.35">
      <c r="A346" s="130">
        <v>43298</v>
      </c>
      <c r="B346" s="129">
        <v>282.93055559999999</v>
      </c>
      <c r="C346" s="131">
        <v>2.079575069E-2</v>
      </c>
      <c r="D346" s="128"/>
      <c r="E346" s="128"/>
      <c r="F346" s="128"/>
      <c r="G346" s="128"/>
      <c r="H346" s="128"/>
      <c r="I346" s="128"/>
    </row>
    <row r="347" spans="1:9" ht="15" thickBot="1" x14ac:dyDescent="0.35">
      <c r="A347" s="130">
        <v>43297</v>
      </c>
      <c r="B347" s="129">
        <v>277.16666670000001</v>
      </c>
      <c r="C347" s="131">
        <v>-2.9976017990000002E-3</v>
      </c>
      <c r="D347" s="128"/>
      <c r="E347" s="128"/>
      <c r="F347" s="128"/>
      <c r="G347" s="128"/>
      <c r="H347" s="128"/>
      <c r="I347" s="128"/>
    </row>
    <row r="348" spans="1:9" ht="15" thickBot="1" x14ac:dyDescent="0.35">
      <c r="A348" s="130">
        <v>43296</v>
      </c>
      <c r="B348" s="129">
        <v>278</v>
      </c>
      <c r="C348" s="131">
        <v>7.8042395450000001E-3</v>
      </c>
      <c r="D348" s="128"/>
      <c r="E348" s="128"/>
      <c r="F348" s="128"/>
      <c r="G348" s="128"/>
      <c r="H348" s="128"/>
      <c r="I348" s="128"/>
    </row>
    <row r="349" spans="1:9" ht="15" thickBot="1" x14ac:dyDescent="0.35">
      <c r="A349" s="130">
        <v>43441</v>
      </c>
      <c r="B349" s="129">
        <v>275.84722219999998</v>
      </c>
      <c r="C349" s="131">
        <v>-4.2615062259999999E-3</v>
      </c>
      <c r="D349" s="128"/>
      <c r="E349" s="128"/>
      <c r="F349" s="128"/>
      <c r="G349" s="128"/>
      <c r="H349" s="128"/>
      <c r="I349" s="128"/>
    </row>
    <row r="350" spans="1:9" ht="15" thickBot="1" x14ac:dyDescent="0.35">
      <c r="A350" s="130">
        <v>43411</v>
      </c>
      <c r="B350" s="129">
        <v>277.02777780000002</v>
      </c>
      <c r="C350" s="131">
        <v>-2.0014007809999999E-3</v>
      </c>
      <c r="D350" s="128"/>
      <c r="E350" s="128"/>
      <c r="F350" s="128"/>
      <c r="G350" s="128"/>
      <c r="H350" s="128"/>
      <c r="I350" s="128"/>
    </row>
    <row r="351" spans="1:9" ht="15" thickBot="1" x14ac:dyDescent="0.35">
      <c r="A351" s="130">
        <v>43380</v>
      </c>
      <c r="B351" s="129">
        <v>277.58333329999999</v>
      </c>
      <c r="C351" s="131">
        <v>7.5108895899999998E-4</v>
      </c>
      <c r="D351" s="128"/>
      <c r="E351" s="128"/>
      <c r="F351" s="128"/>
      <c r="G351" s="128"/>
      <c r="H351" s="128"/>
      <c r="I351" s="128"/>
    </row>
    <row r="352" spans="1:9" ht="15" thickBot="1" x14ac:dyDescent="0.35">
      <c r="A352" s="130">
        <v>43350</v>
      </c>
      <c r="B352" s="129">
        <v>277.375</v>
      </c>
      <c r="C352" s="131">
        <v>-3.492839599E-3</v>
      </c>
      <c r="D352" s="128"/>
      <c r="E352" s="128"/>
      <c r="F352" s="128"/>
      <c r="G352" s="128"/>
      <c r="H352" s="128"/>
      <c r="I352" s="128"/>
    </row>
    <row r="353" spans="1:9" ht="15" thickBot="1" x14ac:dyDescent="0.35">
      <c r="A353" s="130">
        <v>43319</v>
      </c>
      <c r="B353" s="129">
        <v>278.34722219999998</v>
      </c>
      <c r="C353" s="131">
        <v>-1.4263932010000001E-2</v>
      </c>
      <c r="D353" s="128"/>
      <c r="E353" s="128"/>
      <c r="F353" s="128"/>
      <c r="G353" s="128"/>
      <c r="H353" s="128"/>
      <c r="I353" s="128"/>
    </row>
    <row r="354" spans="1:9" ht="15" thickBot="1" x14ac:dyDescent="0.35">
      <c r="A354" s="130">
        <v>43227</v>
      </c>
      <c r="B354" s="129">
        <v>282.375</v>
      </c>
      <c r="C354" s="131">
        <v>-1.2866576189999999E-2</v>
      </c>
      <c r="D354" s="128"/>
      <c r="E354" s="128"/>
      <c r="F354" s="128"/>
      <c r="G354" s="128"/>
      <c r="H354" s="128"/>
      <c r="I354" s="128"/>
    </row>
    <row r="355" spans="1:9" ht="15" thickBot="1" x14ac:dyDescent="0.35">
      <c r="A355" s="130">
        <v>43197</v>
      </c>
      <c r="B355" s="129">
        <v>286.05555559999999</v>
      </c>
      <c r="C355" s="131">
        <v>1.403180566E-2</v>
      </c>
      <c r="D355" s="128"/>
      <c r="E355" s="128"/>
      <c r="F355" s="128"/>
      <c r="G355" s="128"/>
      <c r="H355" s="128"/>
      <c r="I355" s="128"/>
    </row>
    <row r="356" spans="1:9" ht="15" thickBot="1" x14ac:dyDescent="0.35">
      <c r="A356" s="130">
        <v>43166</v>
      </c>
      <c r="B356" s="129">
        <v>282.09722219999998</v>
      </c>
      <c r="C356" s="131">
        <v>-3.4694168570000003E-2</v>
      </c>
      <c r="D356" s="128"/>
      <c r="E356" s="128"/>
      <c r="F356" s="128"/>
      <c r="G356" s="128"/>
      <c r="H356" s="128"/>
      <c r="I356" s="128"/>
    </row>
    <row r="357" spans="1:9" ht="15" thickBot="1" x14ac:dyDescent="0.35">
      <c r="A357" s="130">
        <v>43138</v>
      </c>
      <c r="B357" s="129">
        <v>292.23611110000002</v>
      </c>
      <c r="C357" s="131">
        <v>-3.9048227990000003E-2</v>
      </c>
      <c r="D357" s="128"/>
      <c r="E357" s="128"/>
      <c r="F357" s="128"/>
      <c r="G357" s="128"/>
      <c r="H357" s="128"/>
      <c r="I357" s="128"/>
    </row>
    <row r="358" spans="1:9" ht="15" thickBot="1" x14ac:dyDescent="0.35">
      <c r="A358" s="130">
        <v>43279</v>
      </c>
      <c r="B358" s="129">
        <v>304.11111110000002</v>
      </c>
      <c r="C358" s="131">
        <v>7.3280721579999999E-2</v>
      </c>
      <c r="D358" s="128"/>
      <c r="E358" s="128"/>
      <c r="F358" s="128"/>
      <c r="G358" s="128"/>
      <c r="H358" s="128"/>
      <c r="I358" s="128"/>
    </row>
    <row r="359" spans="1:9" ht="15" thickBot="1" x14ac:dyDescent="0.35">
      <c r="A359" s="130">
        <v>43278</v>
      </c>
      <c r="B359" s="129">
        <v>283.34722219999998</v>
      </c>
      <c r="C359" s="131">
        <v>3.6320227369999999E-2</v>
      </c>
      <c r="D359" s="128"/>
      <c r="E359" s="128"/>
      <c r="F359" s="128"/>
      <c r="G359" s="128"/>
      <c r="H359" s="128"/>
      <c r="I359" s="128"/>
    </row>
    <row r="360" spans="1:9" ht="15" thickBot="1" x14ac:dyDescent="0.35">
      <c r="A360" s="130">
        <v>43277</v>
      </c>
      <c r="B360" s="129">
        <v>273.41666670000001</v>
      </c>
      <c r="C360" s="131">
        <v>1.7810798019999999E-3</v>
      </c>
      <c r="D360" s="128"/>
      <c r="E360" s="128"/>
      <c r="F360" s="128"/>
      <c r="G360" s="128"/>
      <c r="H360" s="128"/>
      <c r="I360" s="128"/>
    </row>
    <row r="361" spans="1:9" ht="15" thickBot="1" x14ac:dyDescent="0.35">
      <c r="A361" s="130">
        <v>43276</v>
      </c>
      <c r="B361" s="129">
        <v>272.93055559999999</v>
      </c>
      <c r="C361" s="131">
        <v>-2.2630060519999998E-2</v>
      </c>
      <c r="D361" s="128"/>
      <c r="E361" s="128"/>
      <c r="F361" s="128"/>
      <c r="G361" s="128"/>
      <c r="H361" s="128"/>
      <c r="I361" s="128"/>
    </row>
    <row r="362" spans="1:9" ht="15" thickBot="1" x14ac:dyDescent="0.35">
      <c r="A362" s="130">
        <v>43275</v>
      </c>
      <c r="B362" s="129">
        <v>279.25</v>
      </c>
      <c r="C362" s="131">
        <v>-2.6155187449999999E-2</v>
      </c>
      <c r="D362" s="128"/>
      <c r="E362" s="128"/>
      <c r="F362" s="128"/>
      <c r="G362" s="128"/>
      <c r="H362" s="128"/>
      <c r="I362" s="128"/>
    </row>
    <row r="363" spans="1:9" ht="15" thickBot="1" x14ac:dyDescent="0.35">
      <c r="A363" s="130">
        <v>43272</v>
      </c>
      <c r="B363" s="129">
        <v>286.75</v>
      </c>
      <c r="C363" s="131">
        <v>-1.713796058E-2</v>
      </c>
      <c r="D363" s="128"/>
      <c r="E363" s="128"/>
      <c r="F363" s="128"/>
      <c r="G363" s="128"/>
      <c r="H363" s="128"/>
      <c r="I363" s="128"/>
    </row>
    <row r="364" spans="1:9" ht="15" thickBot="1" x14ac:dyDescent="0.35">
      <c r="A364" s="130">
        <v>43271</v>
      </c>
      <c r="B364" s="129">
        <v>291.75</v>
      </c>
      <c r="C364" s="131">
        <v>-6.620637322E-3</v>
      </c>
      <c r="D364" s="128"/>
      <c r="E364" s="128"/>
      <c r="F364" s="128"/>
      <c r="G364" s="128"/>
      <c r="H364" s="128"/>
      <c r="I364" s="128"/>
    </row>
    <row r="365" spans="1:9" ht="15" thickBot="1" x14ac:dyDescent="0.35">
      <c r="A365" s="130">
        <v>43270</v>
      </c>
      <c r="B365" s="129">
        <v>293.69444440000001</v>
      </c>
      <c r="C365" s="131">
        <v>-5.8126586799999998E-2</v>
      </c>
      <c r="D365" s="128"/>
      <c r="E365" s="128"/>
      <c r="F365" s="128"/>
      <c r="G365" s="128"/>
      <c r="H365" s="128"/>
      <c r="I365" s="128"/>
    </row>
    <row r="366" spans="1:9" ht="15" thickBot="1" x14ac:dyDescent="0.35">
      <c r="A366" s="130">
        <v>43269</v>
      </c>
      <c r="B366" s="129">
        <v>311.81944440000001</v>
      </c>
      <c r="C366" s="131">
        <v>3.766870017E-2</v>
      </c>
      <c r="D366" s="128"/>
      <c r="E366" s="128"/>
      <c r="F366" s="128"/>
      <c r="G366" s="128"/>
      <c r="H366" s="128"/>
      <c r="I366" s="128"/>
    </row>
    <row r="367" spans="1:9" ht="15" thickBot="1" x14ac:dyDescent="0.35">
      <c r="A367" s="130">
        <v>43440</v>
      </c>
      <c r="B367" s="129">
        <v>300.5</v>
      </c>
      <c r="C367" s="131">
        <v>9.5655824919999993E-3</v>
      </c>
      <c r="D367" s="128"/>
      <c r="E367" s="128"/>
      <c r="F367" s="128"/>
      <c r="G367" s="128"/>
      <c r="H367" s="128"/>
      <c r="I367" s="128"/>
    </row>
    <row r="368" spans="1:9" ht="15" thickBot="1" x14ac:dyDescent="0.35">
      <c r="A368" s="130">
        <v>43410</v>
      </c>
      <c r="B368" s="129">
        <v>297.65277780000002</v>
      </c>
      <c r="C368" s="131">
        <v>2.3399073740000002E-2</v>
      </c>
      <c r="D368" s="128"/>
      <c r="E368" s="128"/>
      <c r="F368" s="128"/>
      <c r="G368" s="128"/>
      <c r="H368" s="128"/>
      <c r="I368" s="128"/>
    </row>
    <row r="369" spans="1:9" ht="15" thickBot="1" x14ac:dyDescent="0.35">
      <c r="A369" s="130">
        <v>43379</v>
      </c>
      <c r="B369" s="129">
        <v>290.84722219999998</v>
      </c>
      <c r="C369" s="131">
        <v>8.8352996170000003E-2</v>
      </c>
      <c r="D369" s="128"/>
      <c r="E369" s="128"/>
      <c r="F369" s="128"/>
      <c r="G369" s="128"/>
      <c r="H369" s="128"/>
      <c r="I369" s="128"/>
    </row>
    <row r="370" spans="1:9" ht="15" thickBot="1" x14ac:dyDescent="0.35">
      <c r="A370" s="130">
        <v>43287</v>
      </c>
      <c r="B370" s="129">
        <v>267.23611110000002</v>
      </c>
      <c r="C370" s="131">
        <v>-2.606803005E-2</v>
      </c>
      <c r="D370" s="128"/>
      <c r="E370" s="128"/>
      <c r="F370" s="128"/>
      <c r="G370" s="128"/>
      <c r="H370" s="128"/>
      <c r="I370" s="128"/>
    </row>
    <row r="371" spans="1:9" ht="15" thickBot="1" x14ac:dyDescent="0.35">
      <c r="A371" s="130">
        <v>43257</v>
      </c>
      <c r="B371" s="129">
        <v>274.38888889999998</v>
      </c>
      <c r="C371" s="131">
        <v>1.9085938350000001E-2</v>
      </c>
      <c r="D371" s="128"/>
      <c r="E371" s="128"/>
      <c r="F371" s="128"/>
      <c r="G371" s="128"/>
      <c r="H371" s="128"/>
      <c r="I371" s="128"/>
    </row>
    <row r="372" spans="1:9" ht="15" thickBot="1" x14ac:dyDescent="0.35">
      <c r="A372" s="130">
        <v>43226</v>
      </c>
      <c r="B372" s="129">
        <v>269.25</v>
      </c>
      <c r="C372" s="131">
        <v>1.8653775590000001E-2</v>
      </c>
      <c r="D372" s="128"/>
      <c r="E372" s="128"/>
      <c r="F372" s="128"/>
      <c r="G372" s="128"/>
      <c r="H372" s="128"/>
      <c r="I372" s="128"/>
    </row>
    <row r="373" spans="1:9" ht="15" thickBot="1" x14ac:dyDescent="0.35">
      <c r="A373" s="130">
        <v>43196</v>
      </c>
      <c r="B373" s="129">
        <v>264.31944440000001</v>
      </c>
      <c r="C373" s="131">
        <v>2.2842093640000002E-2</v>
      </c>
      <c r="D373" s="128"/>
      <c r="E373" s="128"/>
      <c r="F373" s="128"/>
      <c r="G373" s="128"/>
      <c r="H373" s="128"/>
      <c r="I373" s="128"/>
    </row>
    <row r="374" spans="1:9" ht="15" thickBot="1" x14ac:dyDescent="0.35">
      <c r="A374" s="130">
        <v>43165</v>
      </c>
      <c r="B374" s="129">
        <v>258.41666670000001</v>
      </c>
      <c r="C374" s="131">
        <v>1.196562619E-2</v>
      </c>
      <c r="D374" s="128"/>
      <c r="E374" s="128"/>
      <c r="F374" s="128"/>
      <c r="G374" s="128"/>
      <c r="H374" s="128"/>
      <c r="I374" s="128"/>
    </row>
    <row r="375" spans="1:9" ht="15" thickBot="1" x14ac:dyDescent="0.35">
      <c r="A375" s="130">
        <v>43251</v>
      </c>
      <c r="B375" s="129">
        <v>255.36111109999999</v>
      </c>
      <c r="C375" s="131">
        <v>-8.6271971539999999E-3</v>
      </c>
      <c r="D375" s="128"/>
      <c r="E375" s="128"/>
      <c r="F375" s="128"/>
      <c r="G375" s="128"/>
      <c r="H375" s="128"/>
      <c r="I375" s="128"/>
    </row>
    <row r="376" spans="1:9" ht="15" thickBot="1" x14ac:dyDescent="0.35">
      <c r="A376" s="130">
        <v>43250</v>
      </c>
      <c r="B376" s="129">
        <v>257.58333329999999</v>
      </c>
      <c r="C376" s="131">
        <v>4.3322863210000003E-3</v>
      </c>
      <c r="D376" s="128"/>
      <c r="E376" s="128"/>
      <c r="F376" s="128"/>
      <c r="G376" s="128"/>
      <c r="H376" s="128"/>
      <c r="I376" s="128"/>
    </row>
    <row r="377" spans="1:9" ht="15" thickBot="1" x14ac:dyDescent="0.35">
      <c r="A377" s="130">
        <v>43249</v>
      </c>
      <c r="B377" s="129">
        <v>256.47222219999998</v>
      </c>
      <c r="C377" s="131">
        <v>1.0949304809999999E-2</v>
      </c>
      <c r="D377" s="128"/>
      <c r="E377" s="128"/>
      <c r="F377" s="128"/>
      <c r="G377" s="128"/>
      <c r="H377" s="128"/>
      <c r="I377" s="128"/>
    </row>
    <row r="378" spans="1:9" ht="15" thickBot="1" x14ac:dyDescent="0.35">
      <c r="A378" s="130">
        <v>43248</v>
      </c>
      <c r="B378" s="129">
        <v>253.69444440000001</v>
      </c>
      <c r="C378" s="131">
        <v>-8.6833824799999997E-3</v>
      </c>
      <c r="D378" s="128"/>
      <c r="E378" s="128"/>
      <c r="F378" s="128"/>
      <c r="G378" s="128"/>
      <c r="H378" s="128"/>
      <c r="I378" s="128"/>
    </row>
    <row r="379" spans="1:9" ht="15" thickBot="1" x14ac:dyDescent="0.35">
      <c r="A379" s="130">
        <v>43247</v>
      </c>
      <c r="B379" s="129">
        <v>255.91666670000001</v>
      </c>
      <c r="C379" s="131">
        <v>-1.3549400249999999E-3</v>
      </c>
      <c r="D379" s="128"/>
      <c r="E379" s="128"/>
      <c r="F379" s="128"/>
      <c r="G379" s="128"/>
      <c r="H379" s="128"/>
      <c r="I379" s="128"/>
    </row>
    <row r="380" spans="1:9" ht="15" thickBot="1" x14ac:dyDescent="0.35">
      <c r="A380" s="130">
        <v>43244</v>
      </c>
      <c r="B380" s="129">
        <v>256.26388889999998</v>
      </c>
      <c r="C380" s="131">
        <v>-2.4329584770000001E-3</v>
      </c>
      <c r="D380" s="128"/>
      <c r="E380" s="128"/>
      <c r="F380" s="128"/>
      <c r="G380" s="128"/>
      <c r="H380" s="128"/>
      <c r="I380" s="128"/>
    </row>
    <row r="381" spans="1:9" ht="15" thickBot="1" x14ac:dyDescent="0.35">
      <c r="A381" s="130">
        <v>43243</v>
      </c>
      <c r="B381" s="129">
        <v>256.88888889999998</v>
      </c>
      <c r="C381" s="131">
        <v>-3.7703327809999999E-3</v>
      </c>
      <c r="D381" s="128"/>
      <c r="E381" s="128"/>
      <c r="F381" s="128"/>
      <c r="G381" s="128"/>
      <c r="H381" s="128"/>
      <c r="I381" s="128"/>
    </row>
    <row r="382" spans="1:9" ht="15" thickBot="1" x14ac:dyDescent="0.35">
      <c r="A382" s="130">
        <v>43242</v>
      </c>
      <c r="B382" s="129">
        <v>257.86111110000002</v>
      </c>
      <c r="C382" s="131">
        <v>-1.328656454E-2</v>
      </c>
      <c r="D382" s="128"/>
      <c r="E382" s="128"/>
      <c r="F382" s="128"/>
      <c r="G382" s="128"/>
      <c r="H382" s="128"/>
      <c r="I382" s="128"/>
    </row>
    <row r="383" spans="1:9" ht="15" thickBot="1" x14ac:dyDescent="0.35">
      <c r="A383" s="130">
        <v>43241</v>
      </c>
      <c r="B383" s="129">
        <v>261.33333329999999</v>
      </c>
      <c r="C383" s="131">
        <v>7.7660543530000004E-3</v>
      </c>
      <c r="D383" s="128"/>
      <c r="E383" s="128"/>
      <c r="F383" s="128"/>
      <c r="G383" s="128"/>
      <c r="H383" s="128"/>
      <c r="I383" s="128"/>
    </row>
    <row r="384" spans="1:9" ht="15" thickBot="1" x14ac:dyDescent="0.35">
      <c r="A384" s="130">
        <v>43240</v>
      </c>
      <c r="B384" s="129">
        <v>259.31944440000001</v>
      </c>
      <c r="C384" s="131">
        <v>4.0331251450000001E-3</v>
      </c>
      <c r="D384" s="128"/>
      <c r="E384" s="128"/>
      <c r="F384" s="128"/>
      <c r="G384" s="128"/>
      <c r="H384" s="128"/>
      <c r="I384" s="128"/>
    </row>
    <row r="385" spans="1:9" ht="15" thickBot="1" x14ac:dyDescent="0.35">
      <c r="A385" s="130">
        <v>43237</v>
      </c>
      <c r="B385" s="129">
        <v>258.27777780000002</v>
      </c>
      <c r="C385" s="131">
        <v>-1.1692176659999999E-2</v>
      </c>
      <c r="D385" s="128"/>
      <c r="E385" s="128"/>
      <c r="F385" s="128"/>
      <c r="G385" s="128"/>
      <c r="H385" s="128"/>
      <c r="I385" s="128"/>
    </row>
    <row r="386" spans="1:9" ht="15" thickBot="1" x14ac:dyDescent="0.35">
      <c r="A386" s="130">
        <v>43236</v>
      </c>
      <c r="B386" s="129">
        <v>261.33333329999999</v>
      </c>
      <c r="C386" s="131">
        <v>-2.1213408569999998E-3</v>
      </c>
      <c r="D386" s="128"/>
      <c r="E386" s="128"/>
      <c r="F386" s="128"/>
      <c r="G386" s="128"/>
      <c r="H386" s="128"/>
      <c r="I386" s="128"/>
    </row>
    <row r="387" spans="1:9" ht="15" thickBot="1" x14ac:dyDescent="0.35">
      <c r="A387" s="130">
        <v>43235</v>
      </c>
      <c r="B387" s="129">
        <v>261.88888889999998</v>
      </c>
      <c r="C387" s="131">
        <v>4.2607583720000002E-3</v>
      </c>
      <c r="D387" s="128"/>
      <c r="E387" s="128"/>
      <c r="F387" s="128"/>
      <c r="G387" s="128"/>
      <c r="H387" s="128"/>
      <c r="I387" s="128"/>
    </row>
    <row r="388" spans="1:9" ht="15" thickBot="1" x14ac:dyDescent="0.35">
      <c r="A388" s="130">
        <v>43234</v>
      </c>
      <c r="B388" s="129">
        <v>260.77777780000002</v>
      </c>
      <c r="C388" s="131">
        <v>3.2058134649999999E-3</v>
      </c>
      <c r="D388" s="128"/>
      <c r="E388" s="128"/>
      <c r="F388" s="128"/>
      <c r="G388" s="128"/>
      <c r="H388" s="128"/>
      <c r="I388" s="128"/>
    </row>
    <row r="389" spans="1:9" ht="15" thickBot="1" x14ac:dyDescent="0.35">
      <c r="A389" s="130">
        <v>43233</v>
      </c>
      <c r="B389" s="129">
        <v>259.94444440000001</v>
      </c>
      <c r="C389" s="131">
        <v>-1.135703377E-2</v>
      </c>
      <c r="D389" s="128"/>
      <c r="E389" s="128"/>
      <c r="F389" s="128"/>
      <c r="G389" s="128"/>
      <c r="H389" s="128"/>
      <c r="I389" s="128"/>
    </row>
    <row r="390" spans="1:9" ht="15" thickBot="1" x14ac:dyDescent="0.35">
      <c r="A390" s="130">
        <v>43378</v>
      </c>
      <c r="B390" s="129">
        <v>262.93055559999999</v>
      </c>
      <c r="C390" s="131">
        <v>-8.6405527450000002E-3</v>
      </c>
      <c r="D390" s="128"/>
      <c r="E390" s="128"/>
      <c r="F390" s="128"/>
      <c r="G390" s="128"/>
      <c r="H390" s="128"/>
      <c r="I390" s="128"/>
    </row>
    <row r="391" spans="1:9" ht="15" thickBot="1" x14ac:dyDescent="0.35">
      <c r="A391" s="130">
        <v>43348</v>
      </c>
      <c r="B391" s="129">
        <v>265.22222219999998</v>
      </c>
      <c r="C391" s="131">
        <v>-9.5949382279999999E-3</v>
      </c>
      <c r="D391" s="128"/>
      <c r="E391" s="128"/>
      <c r="F391" s="128"/>
      <c r="G391" s="128"/>
      <c r="H391" s="128"/>
      <c r="I391" s="128"/>
    </row>
    <row r="392" spans="1:9" ht="15" thickBot="1" x14ac:dyDescent="0.35">
      <c r="A392" s="130">
        <v>43317</v>
      </c>
      <c r="B392" s="129">
        <v>267.79166670000001</v>
      </c>
      <c r="C392" s="131">
        <v>-3.8747672660000001E-3</v>
      </c>
      <c r="D392" s="128"/>
      <c r="E392" s="128"/>
      <c r="F392" s="128"/>
      <c r="G392" s="128"/>
      <c r="H392" s="128"/>
      <c r="I392" s="128"/>
    </row>
    <row r="393" spans="1:9" ht="15" thickBot="1" x14ac:dyDescent="0.35">
      <c r="A393" s="130">
        <v>43286</v>
      </c>
      <c r="B393" s="129">
        <v>268.83333329999999</v>
      </c>
      <c r="C393" s="131">
        <v>3.3694466010000001E-3</v>
      </c>
      <c r="D393" s="128"/>
      <c r="E393" s="128"/>
      <c r="F393" s="128"/>
      <c r="G393" s="128"/>
      <c r="H393" s="128"/>
      <c r="I393" s="128"/>
    </row>
    <row r="394" spans="1:9" ht="15" thickBot="1" x14ac:dyDescent="0.35">
      <c r="A394" s="130">
        <v>43256</v>
      </c>
      <c r="B394" s="129">
        <v>267.93055559999999</v>
      </c>
      <c r="C394" s="131">
        <v>3.3808385310000002E-3</v>
      </c>
      <c r="D394" s="128"/>
      <c r="E394" s="128"/>
      <c r="F394" s="128"/>
      <c r="G394" s="128"/>
      <c r="H394" s="128"/>
      <c r="I394" s="128"/>
    </row>
    <row r="395" spans="1:9" ht="15" thickBot="1" x14ac:dyDescent="0.35">
      <c r="A395" s="130">
        <v>43164</v>
      </c>
      <c r="B395" s="129">
        <v>267.02777780000002</v>
      </c>
      <c r="C395" s="131">
        <v>-3.1110648970000001E-3</v>
      </c>
      <c r="D395" s="128"/>
      <c r="E395" s="128"/>
      <c r="F395" s="128"/>
      <c r="G395" s="128"/>
      <c r="H395" s="128"/>
      <c r="I395" s="128"/>
    </row>
    <row r="396" spans="1:9" ht="15" thickBot="1" x14ac:dyDescent="0.35">
      <c r="A396" s="130">
        <v>43220</v>
      </c>
      <c r="B396" s="129">
        <v>267.86111110000002</v>
      </c>
      <c r="C396" s="131">
        <v>1.127366154E-2</v>
      </c>
      <c r="D396" s="128"/>
      <c r="E396" s="128"/>
      <c r="F396" s="128"/>
      <c r="G396" s="128"/>
      <c r="H396" s="128"/>
      <c r="I396" s="128"/>
    </row>
    <row r="397" spans="1:9" ht="15" thickBot="1" x14ac:dyDescent="0.35">
      <c r="A397" s="130">
        <v>43216</v>
      </c>
      <c r="B397" s="129">
        <v>264.875</v>
      </c>
      <c r="C397" s="131">
        <v>2.8923012620000002E-3</v>
      </c>
      <c r="D397" s="128"/>
      <c r="E397" s="128"/>
      <c r="F397" s="128"/>
      <c r="G397" s="128"/>
      <c r="H397" s="128"/>
      <c r="I397" s="128"/>
    </row>
    <row r="398" spans="1:9" ht="15" thickBot="1" x14ac:dyDescent="0.35">
      <c r="A398" s="130">
        <v>43215</v>
      </c>
      <c r="B398" s="129">
        <v>264.11111110000002</v>
      </c>
      <c r="C398" s="131">
        <v>-2.8839599810000002E-3</v>
      </c>
      <c r="D398" s="128"/>
      <c r="E398" s="128"/>
      <c r="F398" s="128"/>
      <c r="G398" s="128"/>
      <c r="H398" s="128"/>
      <c r="I398" s="128"/>
    </row>
    <row r="399" spans="1:9" ht="15" thickBot="1" x14ac:dyDescent="0.35">
      <c r="A399" s="130">
        <v>43214</v>
      </c>
      <c r="B399" s="129">
        <v>264.875</v>
      </c>
      <c r="C399" s="131">
        <v>-4.4372522020000001E-3</v>
      </c>
      <c r="D399" s="128"/>
      <c r="E399" s="128"/>
      <c r="F399" s="128"/>
      <c r="G399" s="128"/>
      <c r="H399" s="128"/>
      <c r="I399" s="128"/>
    </row>
    <row r="400" spans="1:9" ht="15" thickBot="1" x14ac:dyDescent="0.35">
      <c r="A400" s="130">
        <v>43213</v>
      </c>
      <c r="B400" s="129">
        <v>266.05555559999999</v>
      </c>
      <c r="C400" s="131">
        <v>-5.4514302269999997E-3</v>
      </c>
      <c r="D400" s="128"/>
      <c r="E400" s="128"/>
      <c r="F400" s="128"/>
      <c r="G400" s="128"/>
      <c r="H400" s="128"/>
      <c r="I400" s="128"/>
    </row>
    <row r="401" spans="1:9" ht="15" thickBot="1" x14ac:dyDescent="0.35">
      <c r="A401" s="130">
        <v>43212</v>
      </c>
      <c r="B401" s="129">
        <v>267.51388889999998</v>
      </c>
      <c r="C401" s="131">
        <v>-5.1891447250000005E-4</v>
      </c>
      <c r="D401" s="128"/>
      <c r="E401" s="128"/>
      <c r="F401" s="128"/>
      <c r="G401" s="128"/>
      <c r="H401" s="128"/>
      <c r="I401" s="128"/>
    </row>
    <row r="402" spans="1:9" ht="15" thickBot="1" x14ac:dyDescent="0.35">
      <c r="A402" s="130">
        <v>43209</v>
      </c>
      <c r="B402" s="129">
        <v>267.65277780000002</v>
      </c>
      <c r="C402" s="131">
        <v>2.1467189649999999E-2</v>
      </c>
      <c r="D402" s="128"/>
      <c r="E402" s="128"/>
      <c r="F402" s="128"/>
      <c r="G402" s="128"/>
      <c r="H402" s="128"/>
      <c r="I402" s="128"/>
    </row>
    <row r="403" spans="1:9" ht="15" thickBot="1" x14ac:dyDescent="0.35">
      <c r="A403" s="130">
        <v>43208</v>
      </c>
      <c r="B403" s="129">
        <v>262.02777780000002</v>
      </c>
      <c r="C403" s="131">
        <v>-2.0761963880000001E-2</v>
      </c>
      <c r="D403" s="128"/>
      <c r="E403" s="128"/>
      <c r="F403" s="128"/>
      <c r="G403" s="128"/>
      <c r="H403" s="128"/>
      <c r="I403" s="128"/>
    </row>
    <row r="404" spans="1:9" ht="15" thickBot="1" x14ac:dyDescent="0.35">
      <c r="A404" s="130">
        <v>43207</v>
      </c>
      <c r="B404" s="129">
        <v>267.58333329999999</v>
      </c>
      <c r="C404" s="131">
        <v>-2.232822487E-2</v>
      </c>
      <c r="D404" s="128"/>
      <c r="E404" s="128"/>
      <c r="F404" s="128"/>
      <c r="G404" s="128"/>
      <c r="H404" s="128"/>
      <c r="I404" s="128"/>
    </row>
    <row r="405" spans="1:9" ht="15" thickBot="1" x14ac:dyDescent="0.35">
      <c r="A405" s="130">
        <v>43206</v>
      </c>
      <c r="B405" s="129">
        <v>273.69444440000001</v>
      </c>
      <c r="C405" s="131">
        <v>5.2052746519999998E-2</v>
      </c>
      <c r="D405" s="128"/>
      <c r="E405" s="128"/>
      <c r="F405" s="128"/>
      <c r="G405" s="128"/>
      <c r="H405" s="128"/>
      <c r="I405" s="128"/>
    </row>
    <row r="406" spans="1:9" ht="15" thickBot="1" x14ac:dyDescent="0.35">
      <c r="A406" s="130">
        <v>43205</v>
      </c>
      <c r="B406" s="129">
        <v>260.15277780000002</v>
      </c>
      <c r="C406" s="131">
        <v>5.3415954270000004E-4</v>
      </c>
      <c r="D406" s="128"/>
      <c r="E406" s="128"/>
      <c r="F406" s="128"/>
      <c r="G406" s="128"/>
      <c r="H406" s="128"/>
      <c r="I406" s="128"/>
    </row>
    <row r="407" spans="1:9" ht="15" thickBot="1" x14ac:dyDescent="0.35">
      <c r="A407" s="130">
        <v>43438</v>
      </c>
      <c r="B407" s="129">
        <v>260.01388889999998</v>
      </c>
      <c r="C407" s="131">
        <v>1.3371843390000001E-3</v>
      </c>
      <c r="D407" s="128"/>
      <c r="E407" s="128"/>
      <c r="F407" s="128"/>
      <c r="G407" s="128"/>
      <c r="H407" s="128"/>
      <c r="I407" s="128"/>
    </row>
    <row r="408" spans="1:9" ht="15" thickBot="1" x14ac:dyDescent="0.35">
      <c r="A408" s="130">
        <v>43408</v>
      </c>
      <c r="B408" s="129">
        <v>259.66666670000001</v>
      </c>
      <c r="C408" s="131">
        <v>7.0020469249999998E-3</v>
      </c>
      <c r="D408" s="128"/>
      <c r="E408" s="128"/>
      <c r="F408" s="128"/>
      <c r="G408" s="128"/>
      <c r="H408" s="128"/>
      <c r="I408" s="128"/>
    </row>
    <row r="409" spans="1:9" ht="15" thickBot="1" x14ac:dyDescent="0.35">
      <c r="A409" s="130">
        <v>43377</v>
      </c>
      <c r="B409" s="129">
        <v>257.86111110000002</v>
      </c>
      <c r="C409" s="131">
        <v>5.4153579989999999E-3</v>
      </c>
      <c r="D409" s="128"/>
      <c r="E409" s="128"/>
      <c r="F409" s="128"/>
      <c r="G409" s="128"/>
      <c r="H409" s="128"/>
      <c r="I409" s="128"/>
    </row>
    <row r="410" spans="1:9" ht="15" thickBot="1" x14ac:dyDescent="0.35">
      <c r="A410" s="130">
        <v>43347</v>
      </c>
      <c r="B410" s="129">
        <v>256.47222219999998</v>
      </c>
      <c r="C410" s="131">
        <v>-1.018439112E-2</v>
      </c>
      <c r="D410" s="128"/>
      <c r="E410" s="128"/>
      <c r="F410" s="128"/>
      <c r="G410" s="128"/>
      <c r="H410" s="128"/>
      <c r="I410" s="128"/>
    </row>
    <row r="411" spans="1:9" ht="15" thickBot="1" x14ac:dyDescent="0.35">
      <c r="A411" s="130">
        <v>43316</v>
      </c>
      <c r="B411" s="129">
        <v>259.11111110000002</v>
      </c>
      <c r="C411" s="131">
        <v>-2.1394952499999998E-3</v>
      </c>
      <c r="D411" s="128"/>
      <c r="E411" s="128"/>
      <c r="F411" s="128"/>
      <c r="G411" s="128"/>
      <c r="H411" s="128"/>
      <c r="I411" s="128"/>
    </row>
    <row r="412" spans="1:9" ht="15" thickBot="1" x14ac:dyDescent="0.35">
      <c r="A412" s="130">
        <v>43224</v>
      </c>
      <c r="B412" s="129">
        <v>259.66666670000001</v>
      </c>
      <c r="C412" s="131">
        <v>-5.5848091910000001E-3</v>
      </c>
      <c r="D412" s="128"/>
      <c r="E412" s="128"/>
      <c r="F412" s="128"/>
      <c r="G412" s="128"/>
      <c r="H412" s="128"/>
      <c r="I412" s="128"/>
    </row>
    <row r="413" spans="1:9" ht="15" thickBot="1" x14ac:dyDescent="0.35">
      <c r="A413" s="130">
        <v>43194</v>
      </c>
      <c r="B413" s="129">
        <v>261.125</v>
      </c>
      <c r="C413" s="131">
        <v>2.5359947510000001E-2</v>
      </c>
      <c r="D413" s="128"/>
      <c r="E413" s="128"/>
      <c r="F413" s="128"/>
      <c r="G413" s="128"/>
      <c r="H413" s="128"/>
      <c r="I413" s="128"/>
    </row>
    <row r="414" spans="1:9" ht="15" thickBot="1" x14ac:dyDescent="0.35">
      <c r="A414" s="130">
        <v>43163</v>
      </c>
      <c r="B414" s="129">
        <v>254.66666670000001</v>
      </c>
      <c r="C414" s="131">
        <v>-3.2615784740000001E-3</v>
      </c>
      <c r="D414" s="128"/>
      <c r="E414" s="128"/>
      <c r="F414" s="128"/>
      <c r="G414" s="128"/>
      <c r="H414" s="128"/>
      <c r="I414" s="128"/>
    </row>
    <row r="415" spans="1:9" ht="15" thickBot="1" x14ac:dyDescent="0.35">
      <c r="A415" s="130">
        <v>43135</v>
      </c>
      <c r="B415" s="129">
        <v>255.5</v>
      </c>
      <c r="C415" s="131">
        <v>1.6334532510000001E-3</v>
      </c>
      <c r="D415" s="128"/>
      <c r="E415" s="128"/>
      <c r="F415" s="128"/>
      <c r="G415" s="128"/>
      <c r="H415" s="128"/>
      <c r="I415" s="128"/>
    </row>
    <row r="416" spans="1:9" ht="15" thickBot="1" x14ac:dyDescent="0.35">
      <c r="A416" s="130">
        <v>43104</v>
      </c>
      <c r="B416" s="129">
        <v>255.08333329999999</v>
      </c>
      <c r="C416" s="131">
        <v>1.2961226669999999E-2</v>
      </c>
      <c r="D416" s="128"/>
      <c r="E416" s="128"/>
      <c r="F416" s="128"/>
      <c r="G416" s="128"/>
      <c r="H416" s="128"/>
      <c r="I416" s="128"/>
    </row>
    <row r="417" spans="1:9" ht="15" thickBot="1" x14ac:dyDescent="0.35">
      <c r="A417" s="130">
        <v>43188</v>
      </c>
      <c r="B417" s="129">
        <v>251.81944440000001</v>
      </c>
      <c r="C417" s="131">
        <v>1.104300944E-3</v>
      </c>
      <c r="D417" s="128"/>
      <c r="E417" s="128"/>
      <c r="F417" s="128"/>
      <c r="G417" s="128"/>
      <c r="H417" s="128"/>
      <c r="I417" s="128"/>
    </row>
    <row r="418" spans="1:9" ht="15" thickBot="1" x14ac:dyDescent="0.35">
      <c r="A418" s="130">
        <v>43187</v>
      </c>
      <c r="B418" s="129">
        <v>251.54166670000001</v>
      </c>
      <c r="C418" s="131">
        <v>-2.2037351110000001E-3</v>
      </c>
      <c r="D418" s="128"/>
      <c r="E418" s="128"/>
      <c r="F418" s="128"/>
      <c r="G418" s="128"/>
      <c r="H418" s="128"/>
      <c r="I418" s="128"/>
    </row>
    <row r="419" spans="1:9" ht="15" thickBot="1" x14ac:dyDescent="0.35">
      <c r="A419" s="130">
        <v>43186</v>
      </c>
      <c r="B419" s="129">
        <v>252.0972222</v>
      </c>
      <c r="C419" s="131">
        <v>-5.2066208480000004E-3</v>
      </c>
      <c r="D419" s="128"/>
      <c r="E419" s="128"/>
      <c r="F419" s="128"/>
      <c r="G419" s="128"/>
      <c r="H419" s="128"/>
      <c r="I419" s="128"/>
    </row>
    <row r="420" spans="1:9" ht="15" thickBot="1" x14ac:dyDescent="0.35">
      <c r="A420" s="130">
        <v>43184</v>
      </c>
      <c r="B420" s="129">
        <v>253.41666670000001</v>
      </c>
      <c r="C420" s="131">
        <v>0</v>
      </c>
      <c r="D420" s="128"/>
      <c r="E420" s="128"/>
      <c r="F420" s="128"/>
      <c r="G420" s="128"/>
      <c r="H420" s="128"/>
      <c r="I420" s="128"/>
    </row>
    <row r="421" spans="1:9" ht="15" thickBot="1" x14ac:dyDescent="0.35">
      <c r="A421" s="130">
        <v>43181</v>
      </c>
      <c r="B421" s="129">
        <v>253.41666670000001</v>
      </c>
      <c r="C421" s="131">
        <v>-4.0936627480000001E-3</v>
      </c>
      <c r="D421" s="128"/>
      <c r="E421" s="128"/>
      <c r="F421" s="128"/>
      <c r="G421" s="128"/>
      <c r="H421" s="128"/>
      <c r="I421" s="128"/>
    </row>
    <row r="422" spans="1:9" ht="15" thickBot="1" x14ac:dyDescent="0.35">
      <c r="A422" s="130">
        <v>43180</v>
      </c>
      <c r="B422" s="129">
        <v>254.45833329999999</v>
      </c>
      <c r="C422" s="131">
        <v>-2.4501796800000001E-3</v>
      </c>
      <c r="D422" s="128"/>
      <c r="E422" s="128"/>
      <c r="F422" s="128"/>
      <c r="G422" s="128"/>
      <c r="H422" s="128"/>
      <c r="I422" s="128"/>
    </row>
    <row r="423" spans="1:9" ht="15" thickBot="1" x14ac:dyDescent="0.35">
      <c r="A423" s="130">
        <v>43179</v>
      </c>
      <c r="B423" s="129">
        <v>255.08333329999999</v>
      </c>
      <c r="C423" s="131">
        <v>2.4561978060000001E-3</v>
      </c>
      <c r="D423" s="128"/>
      <c r="E423" s="128"/>
      <c r="F423" s="128"/>
      <c r="G423" s="128"/>
      <c r="H423" s="128"/>
      <c r="I423" s="128"/>
    </row>
    <row r="424" spans="1:9" ht="15" thickBot="1" x14ac:dyDescent="0.35">
      <c r="A424" s="130">
        <v>43178</v>
      </c>
      <c r="B424" s="129">
        <v>254.45833329999999</v>
      </c>
      <c r="C424" s="131">
        <v>-7.8522690789999995E-3</v>
      </c>
      <c r="D424" s="128"/>
      <c r="E424" s="128"/>
      <c r="F424" s="128"/>
      <c r="G424" s="128"/>
      <c r="H424" s="128"/>
      <c r="I424" s="128"/>
    </row>
    <row r="425" spans="1:9" ht="15" thickBot="1" x14ac:dyDescent="0.35">
      <c r="A425" s="130">
        <v>43177</v>
      </c>
      <c r="B425" s="129">
        <v>256.47222219999998</v>
      </c>
      <c r="C425" s="131">
        <v>-6.1891178309999998E-3</v>
      </c>
      <c r="D425" s="128"/>
      <c r="E425" s="128"/>
      <c r="F425" s="128"/>
      <c r="G425" s="128"/>
      <c r="H425" s="128"/>
      <c r="I425" s="128"/>
    </row>
    <row r="426" spans="1:9" ht="15" thickBot="1" x14ac:dyDescent="0.35">
      <c r="A426" s="130">
        <v>43174</v>
      </c>
      <c r="B426" s="129">
        <v>258.06944440000001</v>
      </c>
      <c r="C426" s="131">
        <v>2.1573807240000001E-3</v>
      </c>
      <c r="D426" s="128"/>
      <c r="E426" s="128"/>
      <c r="F426" s="128"/>
      <c r="G426" s="128"/>
      <c r="H426" s="128"/>
      <c r="I426" s="128"/>
    </row>
    <row r="427" spans="1:9" ht="15" thickBot="1" x14ac:dyDescent="0.35">
      <c r="A427" s="130">
        <v>43173</v>
      </c>
      <c r="B427" s="129">
        <v>257.51388889999998</v>
      </c>
      <c r="C427" s="131">
        <v>-2.1527364520000001E-3</v>
      </c>
      <c r="D427" s="128"/>
      <c r="E427" s="128"/>
      <c r="F427" s="128"/>
      <c r="G427" s="128"/>
      <c r="H427" s="128"/>
      <c r="I427" s="128"/>
    </row>
    <row r="428" spans="1:9" ht="15" thickBot="1" x14ac:dyDescent="0.35">
      <c r="A428" s="130">
        <v>43172</v>
      </c>
      <c r="B428" s="129">
        <v>258.06944440000001</v>
      </c>
      <c r="C428" s="131">
        <v>-7.4782332139999999E-3</v>
      </c>
      <c r="D428" s="128"/>
      <c r="E428" s="128"/>
      <c r="F428" s="128"/>
      <c r="G428" s="128"/>
      <c r="H428" s="128"/>
      <c r="I428" s="128"/>
    </row>
    <row r="429" spans="1:9" ht="15" thickBot="1" x14ac:dyDescent="0.35">
      <c r="A429" s="130">
        <v>43437</v>
      </c>
      <c r="B429" s="129">
        <v>260.01388889999998</v>
      </c>
      <c r="C429" s="131">
        <v>-7.1595248190000002E-3</v>
      </c>
      <c r="D429" s="128"/>
      <c r="E429" s="128"/>
      <c r="F429" s="128"/>
      <c r="G429" s="128"/>
      <c r="H429" s="128"/>
      <c r="I429" s="128"/>
    </row>
    <row r="430" spans="1:9" ht="15" thickBot="1" x14ac:dyDescent="0.35">
      <c r="A430" s="130">
        <v>43407</v>
      </c>
      <c r="B430" s="129">
        <v>261.88888889999998</v>
      </c>
      <c r="C430" s="131">
        <v>-4.4876192390000003E-3</v>
      </c>
      <c r="D430" s="128"/>
      <c r="E430" s="128"/>
      <c r="F430" s="128"/>
      <c r="G430" s="128"/>
      <c r="H430" s="128"/>
      <c r="I430" s="128"/>
    </row>
    <row r="431" spans="1:9" ht="15" thickBot="1" x14ac:dyDescent="0.35">
      <c r="A431" s="130">
        <v>43315</v>
      </c>
      <c r="B431" s="129">
        <v>263.06944440000001</v>
      </c>
      <c r="C431" s="131">
        <v>-8.1168832009999997E-3</v>
      </c>
      <c r="D431" s="128"/>
      <c r="E431" s="128"/>
      <c r="F431" s="128"/>
      <c r="G431" s="128"/>
      <c r="H431" s="128"/>
      <c r="I431" s="128"/>
    </row>
    <row r="432" spans="1:9" ht="15" thickBot="1" x14ac:dyDescent="0.35">
      <c r="A432" s="130">
        <v>43284</v>
      </c>
      <c r="B432" s="129">
        <v>265.22222219999998</v>
      </c>
      <c r="C432" s="131">
        <v>-1.3687309700000001E-2</v>
      </c>
      <c r="D432" s="128"/>
      <c r="E432" s="128"/>
      <c r="F432" s="128"/>
      <c r="G432" s="128"/>
      <c r="H432" s="128"/>
      <c r="I432" s="128"/>
    </row>
    <row r="433" spans="1:9" ht="15" thickBot="1" x14ac:dyDescent="0.35">
      <c r="A433" s="130">
        <v>43254</v>
      </c>
      <c r="B433" s="129">
        <v>268.90277780000002</v>
      </c>
      <c r="C433" s="131">
        <v>2.7599384229999999E-2</v>
      </c>
      <c r="D433" s="128"/>
      <c r="E433" s="128"/>
      <c r="F433" s="128"/>
      <c r="G433" s="128"/>
      <c r="H433" s="128"/>
      <c r="I433" s="128"/>
    </row>
    <row r="434" spans="1:9" ht="15" thickBot="1" x14ac:dyDescent="0.35">
      <c r="A434" s="130">
        <v>43223</v>
      </c>
      <c r="B434" s="129">
        <v>261.68055559999999</v>
      </c>
      <c r="C434" s="131">
        <v>1.3286567600000001E-3</v>
      </c>
      <c r="D434" s="128"/>
      <c r="E434" s="128"/>
      <c r="F434" s="128"/>
      <c r="G434" s="128"/>
      <c r="H434" s="128"/>
      <c r="I434" s="128"/>
    </row>
    <row r="435" spans="1:9" ht="15" thickBot="1" x14ac:dyDescent="0.35">
      <c r="A435" s="130">
        <v>43193</v>
      </c>
      <c r="B435" s="129">
        <v>261.33333329999999</v>
      </c>
      <c r="C435" s="131">
        <v>-5.2865299640000004E-3</v>
      </c>
      <c r="D435" s="128"/>
      <c r="E435" s="128"/>
      <c r="F435" s="128"/>
      <c r="G435" s="128"/>
      <c r="H435" s="128"/>
      <c r="I435" s="128"/>
    </row>
    <row r="436" spans="1:9" ht="15" thickBot="1" x14ac:dyDescent="0.35">
      <c r="A436" s="130">
        <v>43103</v>
      </c>
      <c r="B436" s="129">
        <v>262.72222219999998</v>
      </c>
      <c r="C436" s="131">
        <v>6.9200466300000001E-3</v>
      </c>
      <c r="D436" s="128"/>
      <c r="E436" s="128"/>
      <c r="F436" s="128"/>
      <c r="G436" s="128"/>
      <c r="H436" s="128"/>
      <c r="I436" s="128"/>
    </row>
    <row r="437" spans="1:9" ht="15" thickBot="1" x14ac:dyDescent="0.35">
      <c r="A437" s="130">
        <v>43159</v>
      </c>
      <c r="B437" s="129">
        <v>260.91666670000001</v>
      </c>
      <c r="C437" s="131">
        <v>-2.9191656909999999E-3</v>
      </c>
      <c r="D437" s="128"/>
      <c r="E437" s="128"/>
      <c r="F437" s="128"/>
      <c r="G437" s="128"/>
      <c r="H437" s="128"/>
      <c r="I437" s="128"/>
    </row>
    <row r="438" spans="1:9" ht="15" thickBot="1" x14ac:dyDescent="0.35">
      <c r="A438" s="130">
        <v>43158</v>
      </c>
      <c r="B438" s="129">
        <v>261.68055559999999</v>
      </c>
      <c r="C438" s="131">
        <v>1.0626428780000001E-3</v>
      </c>
      <c r="D438" s="128"/>
      <c r="E438" s="128"/>
      <c r="F438" s="128"/>
      <c r="G438" s="128"/>
      <c r="H438" s="128"/>
      <c r="I438" s="128"/>
    </row>
    <row r="439" spans="1:9" ht="15" thickBot="1" x14ac:dyDescent="0.35">
      <c r="A439" s="130">
        <v>43157</v>
      </c>
      <c r="B439" s="129">
        <v>261.40277780000002</v>
      </c>
      <c r="C439" s="131">
        <v>-6.5976986799999998E-3</v>
      </c>
      <c r="D439" s="128"/>
      <c r="E439" s="128"/>
      <c r="F439" s="128"/>
      <c r="G439" s="128"/>
      <c r="H439" s="128"/>
      <c r="I439" s="128"/>
    </row>
    <row r="440" spans="1:9" ht="15" thickBot="1" x14ac:dyDescent="0.35">
      <c r="A440" s="130">
        <v>43156</v>
      </c>
      <c r="B440" s="129">
        <v>263.13888889999998</v>
      </c>
      <c r="C440" s="131">
        <v>-2.0169631899999999E-2</v>
      </c>
      <c r="D440" s="128"/>
      <c r="E440" s="128"/>
      <c r="F440" s="128"/>
      <c r="G440" s="128"/>
      <c r="H440" s="128"/>
      <c r="I440" s="128"/>
    </row>
    <row r="441" spans="1:9" ht="15" thickBot="1" x14ac:dyDescent="0.35">
      <c r="A441" s="130">
        <v>43153</v>
      </c>
      <c r="B441" s="129">
        <v>268.55555559999999</v>
      </c>
      <c r="C441" s="131">
        <v>-3.6071317320000001E-3</v>
      </c>
      <c r="D441" s="128"/>
      <c r="E441" s="128"/>
      <c r="F441" s="128"/>
      <c r="G441" s="128"/>
      <c r="H441" s="128"/>
      <c r="I441" s="128"/>
    </row>
    <row r="442" spans="1:9" ht="15" thickBot="1" x14ac:dyDescent="0.35">
      <c r="A442" s="130">
        <v>43151</v>
      </c>
      <c r="B442" s="129">
        <v>269.52777780000002</v>
      </c>
      <c r="C442" s="131">
        <v>4.2436613569999997E-2</v>
      </c>
      <c r="D442" s="128"/>
      <c r="E442" s="128"/>
      <c r="F442" s="128"/>
      <c r="G442" s="128"/>
      <c r="H442" s="128"/>
      <c r="I442" s="128"/>
    </row>
    <row r="443" spans="1:9" ht="15" thickBot="1" x14ac:dyDescent="0.35">
      <c r="A443" s="130">
        <v>43150</v>
      </c>
      <c r="B443" s="129">
        <v>258.55555559999999</v>
      </c>
      <c r="C443" s="131">
        <v>-3.2126792459999999E-3</v>
      </c>
      <c r="D443" s="128"/>
      <c r="E443" s="128"/>
      <c r="F443" s="128"/>
      <c r="G443" s="128"/>
      <c r="H443" s="128"/>
      <c r="I443" s="128"/>
    </row>
    <row r="444" spans="1:9" ht="15" thickBot="1" x14ac:dyDescent="0.35">
      <c r="A444" s="130">
        <v>43149</v>
      </c>
      <c r="B444" s="129">
        <v>259.38888889999998</v>
      </c>
      <c r="C444" s="131">
        <v>-1.13810809E-2</v>
      </c>
      <c r="D444" s="128"/>
      <c r="E444" s="128"/>
      <c r="F444" s="128"/>
      <c r="G444" s="128"/>
      <c r="H444" s="128"/>
      <c r="I444" s="128"/>
    </row>
    <row r="445" spans="1:9" ht="15" thickBot="1" x14ac:dyDescent="0.35">
      <c r="A445" s="130">
        <v>43146</v>
      </c>
      <c r="B445" s="129">
        <v>262.375</v>
      </c>
      <c r="C445" s="131">
        <v>-9.6980497400000008E-3</v>
      </c>
      <c r="D445" s="128"/>
      <c r="E445" s="128"/>
      <c r="F445" s="128"/>
      <c r="G445" s="128"/>
      <c r="H445" s="128"/>
      <c r="I445" s="128"/>
    </row>
    <row r="446" spans="1:9" ht="15" thickBot="1" x14ac:dyDescent="0.35">
      <c r="A446" s="130">
        <v>43145</v>
      </c>
      <c r="B446" s="129">
        <v>264.94444440000001</v>
      </c>
      <c r="C446" s="131">
        <v>9.5258255729999998E-3</v>
      </c>
      <c r="D446" s="128"/>
      <c r="E446" s="128"/>
      <c r="F446" s="128"/>
      <c r="G446" s="128"/>
      <c r="H446" s="128"/>
      <c r="I446" s="128"/>
    </row>
    <row r="447" spans="1:9" ht="15" thickBot="1" x14ac:dyDescent="0.35">
      <c r="A447" s="130">
        <v>43144</v>
      </c>
      <c r="B447" s="129">
        <v>262.44444440000001</v>
      </c>
      <c r="C447" s="131">
        <v>2.121340475E-3</v>
      </c>
      <c r="D447" s="128"/>
      <c r="E447" s="128"/>
      <c r="F447" s="128"/>
      <c r="G447" s="128"/>
      <c r="H447" s="128"/>
      <c r="I447" s="128"/>
    </row>
    <row r="448" spans="1:9" ht="15" thickBot="1" x14ac:dyDescent="0.35">
      <c r="A448" s="130">
        <v>43436</v>
      </c>
      <c r="B448" s="129">
        <v>261.88888889999998</v>
      </c>
      <c r="C448" s="131">
        <v>-1.0754944569999999E-2</v>
      </c>
      <c r="D448" s="128"/>
      <c r="E448" s="128"/>
      <c r="F448" s="128"/>
      <c r="G448" s="128"/>
      <c r="H448" s="128"/>
      <c r="I448" s="128"/>
    </row>
    <row r="449" spans="1:9" ht="15" thickBot="1" x14ac:dyDescent="0.35">
      <c r="A449" s="130">
        <v>43406</v>
      </c>
      <c r="B449" s="129">
        <v>264.73611110000002</v>
      </c>
      <c r="C449" s="131">
        <v>6.06988274E-3</v>
      </c>
      <c r="D449" s="128"/>
      <c r="E449" s="128"/>
      <c r="F449" s="128"/>
      <c r="G449" s="128"/>
      <c r="H449" s="128"/>
      <c r="I449" s="128"/>
    </row>
    <row r="450" spans="1:9" ht="15" thickBot="1" x14ac:dyDescent="0.35">
      <c r="A450" s="130">
        <v>43314</v>
      </c>
      <c r="B450" s="129">
        <v>263.13888889999998</v>
      </c>
      <c r="C450" s="131">
        <v>8.5169806439999995E-3</v>
      </c>
      <c r="D450" s="128"/>
      <c r="E450" s="128"/>
      <c r="F450" s="128"/>
      <c r="G450" s="128"/>
      <c r="H450" s="128"/>
      <c r="I450" s="128"/>
    </row>
    <row r="451" spans="1:9" ht="15" thickBot="1" x14ac:dyDescent="0.35">
      <c r="A451" s="130">
        <v>43283</v>
      </c>
      <c r="B451" s="129">
        <v>260.91666670000001</v>
      </c>
      <c r="C451" s="131">
        <v>1.130490969E-2</v>
      </c>
      <c r="D451" s="128"/>
      <c r="E451" s="128"/>
      <c r="F451" s="128"/>
      <c r="G451" s="128"/>
      <c r="H451" s="128"/>
      <c r="I451" s="128"/>
    </row>
    <row r="452" spans="1:9" ht="15" thickBot="1" x14ac:dyDescent="0.35">
      <c r="A452" s="130">
        <v>43253</v>
      </c>
      <c r="B452" s="129">
        <v>258</v>
      </c>
      <c r="C452" s="131">
        <v>1.3476361599999999E-3</v>
      </c>
      <c r="D452" s="128"/>
      <c r="E452" s="128"/>
      <c r="F452" s="128"/>
      <c r="G452" s="128"/>
      <c r="H452" s="128"/>
      <c r="I452" s="128"/>
    </row>
    <row r="453" spans="1:9" ht="15" thickBot="1" x14ac:dyDescent="0.35">
      <c r="A453" s="130">
        <v>43222</v>
      </c>
      <c r="B453" s="129">
        <v>257.65277780000002</v>
      </c>
      <c r="C453" s="131">
        <v>-2.9560357300000002E-3</v>
      </c>
      <c r="D453" s="128"/>
      <c r="E453" s="128"/>
      <c r="F453" s="128"/>
      <c r="G453" s="128"/>
      <c r="H453" s="128"/>
      <c r="I453" s="128"/>
    </row>
    <row r="454" spans="1:9" ht="15" thickBot="1" x14ac:dyDescent="0.35">
      <c r="A454" s="130">
        <v>43192</v>
      </c>
      <c r="B454" s="129">
        <v>258.41666670000001</v>
      </c>
      <c r="C454" s="131">
        <v>-9.0541115879999995E-3</v>
      </c>
      <c r="D454" s="128"/>
      <c r="E454" s="128"/>
      <c r="F454" s="128"/>
      <c r="G454" s="128"/>
      <c r="H454" s="128"/>
      <c r="I454" s="128"/>
    </row>
    <row r="455" spans="1:9" ht="15" thickBot="1" x14ac:dyDescent="0.35">
      <c r="A455" s="130">
        <v>43102</v>
      </c>
      <c r="B455" s="129">
        <v>260.77777780000002</v>
      </c>
      <c r="C455" s="131">
        <v>1.600341534E-3</v>
      </c>
      <c r="D455" s="128"/>
      <c r="E455" s="128"/>
      <c r="F455" s="128"/>
      <c r="G455" s="128"/>
      <c r="H455" s="128"/>
      <c r="I455" s="128"/>
    </row>
    <row r="456" spans="1:9" ht="15" thickBot="1" x14ac:dyDescent="0.35">
      <c r="A456" s="130">
        <v>43131</v>
      </c>
      <c r="B456" s="129">
        <v>260.36111110000002</v>
      </c>
      <c r="C456" s="131">
        <v>-1.107828668E-2</v>
      </c>
      <c r="D456" s="128"/>
      <c r="E456" s="128"/>
      <c r="F456" s="128"/>
      <c r="G456" s="128"/>
      <c r="H456" s="128"/>
      <c r="I456" s="128"/>
    </row>
    <row r="457" spans="1:9" ht="15" thickBot="1" x14ac:dyDescent="0.35">
      <c r="A457" s="130">
        <v>43130</v>
      </c>
      <c r="B457" s="129">
        <v>263.27777780000002</v>
      </c>
      <c r="C457" s="131">
        <v>0</v>
      </c>
      <c r="D457" s="128"/>
      <c r="E457" s="128"/>
      <c r="F457" s="128"/>
      <c r="G457" s="128"/>
      <c r="H457" s="128"/>
      <c r="I457" s="128"/>
    </row>
    <row r="458" spans="1:9" ht="15" thickBot="1" x14ac:dyDescent="0.35">
      <c r="A458" s="130">
        <v>43129</v>
      </c>
      <c r="B458" s="129">
        <v>263.27777780000002</v>
      </c>
      <c r="C458" s="131">
        <v>7.919330976E-4</v>
      </c>
      <c r="D458" s="128"/>
      <c r="E458" s="128"/>
      <c r="F458" s="128"/>
      <c r="G458" s="128"/>
      <c r="H458" s="128"/>
      <c r="I458" s="128"/>
    </row>
    <row r="459" spans="1:9" ht="15" thickBot="1" x14ac:dyDescent="0.35">
      <c r="A459" s="130">
        <v>43128</v>
      </c>
      <c r="B459" s="129">
        <v>263.06944440000001</v>
      </c>
      <c r="C459" s="131">
        <v>-1.456740028E-2</v>
      </c>
      <c r="D459" s="128"/>
      <c r="E459" s="128"/>
      <c r="F459" s="128"/>
      <c r="G459" s="128"/>
      <c r="H459" s="128"/>
      <c r="I459" s="128"/>
    </row>
    <row r="460" spans="1:9" ht="15" thickBot="1" x14ac:dyDescent="0.35">
      <c r="A460" s="130">
        <v>43125</v>
      </c>
      <c r="B460" s="129">
        <v>266.95833329999999</v>
      </c>
      <c r="C460" s="131">
        <v>-7.7978814710000005E-4</v>
      </c>
      <c r="D460" s="128"/>
      <c r="E460" s="128"/>
      <c r="F460" s="128"/>
      <c r="G460" s="128"/>
      <c r="H460" s="128"/>
      <c r="I460" s="128"/>
    </row>
    <row r="461" spans="1:9" ht="15" thickBot="1" x14ac:dyDescent="0.35">
      <c r="A461" s="130">
        <v>43124</v>
      </c>
      <c r="B461" s="129">
        <v>267.16666670000001</v>
      </c>
      <c r="C461" s="131">
        <v>-5.6859296189999999E-3</v>
      </c>
      <c r="D461" s="128"/>
      <c r="E461" s="128"/>
      <c r="F461" s="128"/>
      <c r="G461" s="128"/>
      <c r="H461" s="128"/>
      <c r="I461" s="128"/>
    </row>
    <row r="462" spans="1:9" ht="15" thickBot="1" x14ac:dyDescent="0.35">
      <c r="A462" s="130">
        <v>43123</v>
      </c>
      <c r="B462" s="129">
        <v>268.69444440000001</v>
      </c>
      <c r="C462" s="131">
        <v>7.2893885660000003E-3</v>
      </c>
      <c r="D462" s="128"/>
      <c r="E462" s="128"/>
      <c r="F462" s="128"/>
      <c r="G462" s="128"/>
      <c r="H462" s="128"/>
      <c r="I462" s="128"/>
    </row>
    <row r="463" spans="1:9" ht="15" thickBot="1" x14ac:dyDescent="0.35">
      <c r="A463" s="130">
        <v>43122</v>
      </c>
      <c r="B463" s="129">
        <v>266.75</v>
      </c>
      <c r="C463" s="131">
        <v>6.5510192959999996E-3</v>
      </c>
      <c r="D463" s="128"/>
      <c r="E463" s="128"/>
      <c r="F463" s="128"/>
      <c r="G463" s="128"/>
      <c r="H463" s="128"/>
      <c r="I463" s="128"/>
    </row>
    <row r="464" spans="1:9" ht="15" thickBot="1" x14ac:dyDescent="0.35">
      <c r="A464" s="130">
        <v>43121</v>
      </c>
      <c r="B464" s="129">
        <v>265.01388889999998</v>
      </c>
      <c r="C464" s="131">
        <v>3.9461224039999999E-3</v>
      </c>
      <c r="D464" s="128"/>
      <c r="E464" s="128"/>
      <c r="F464" s="128"/>
      <c r="G464" s="128"/>
      <c r="H464" s="128"/>
      <c r="I464" s="128"/>
    </row>
    <row r="465" spans="1:9" ht="15" thickBot="1" x14ac:dyDescent="0.35">
      <c r="A465" s="130">
        <v>43118</v>
      </c>
      <c r="B465" s="129">
        <v>263.97222219999998</v>
      </c>
      <c r="C465" s="131">
        <v>5.2893261830000001E-3</v>
      </c>
      <c r="D465" s="128"/>
      <c r="E465" s="128"/>
      <c r="F465" s="128"/>
      <c r="G465" s="128"/>
      <c r="H465" s="128"/>
      <c r="I465" s="128"/>
    </row>
    <row r="466" spans="1:9" ht="15" thickBot="1" x14ac:dyDescent="0.35">
      <c r="A466" s="130">
        <v>43117</v>
      </c>
      <c r="B466" s="129">
        <v>262.58333329999999</v>
      </c>
      <c r="C466" s="131">
        <v>-2.3745448790000001E-3</v>
      </c>
      <c r="D466" s="128"/>
      <c r="E466" s="128"/>
      <c r="F466" s="128"/>
      <c r="G466" s="128"/>
      <c r="H466" s="128"/>
      <c r="I466" s="128"/>
    </row>
    <row r="467" spans="1:9" ht="15" thickBot="1" x14ac:dyDescent="0.35">
      <c r="A467" s="130">
        <v>43116</v>
      </c>
      <c r="B467" s="129">
        <v>263.20833329999999</v>
      </c>
      <c r="C467" s="131">
        <v>1.3209340800000001E-3</v>
      </c>
      <c r="D467" s="128"/>
      <c r="E467" s="128"/>
      <c r="F467" s="128"/>
      <c r="G467" s="128"/>
      <c r="H467" s="128"/>
      <c r="I467" s="128"/>
    </row>
    <row r="468" spans="1:9" ht="15" thickBot="1" x14ac:dyDescent="0.35">
      <c r="A468" s="130">
        <v>43115</v>
      </c>
      <c r="B468" s="129">
        <v>262.86111110000002</v>
      </c>
      <c r="C468" s="131">
        <v>-1.3191915150000001E-3</v>
      </c>
      <c r="D468" s="128"/>
      <c r="E468" s="128"/>
      <c r="F468" s="128"/>
      <c r="G468" s="128"/>
      <c r="H468" s="128"/>
      <c r="I468" s="128"/>
    </row>
    <row r="469" spans="1:9" ht="15" thickBot="1" x14ac:dyDescent="0.35">
      <c r="A469" s="130">
        <v>43114</v>
      </c>
      <c r="B469" s="129">
        <v>263.20833329999999</v>
      </c>
      <c r="C469" s="131">
        <v>-1.3174539209999999E-3</v>
      </c>
      <c r="D469" s="128"/>
      <c r="E469" s="128"/>
      <c r="F469" s="128"/>
      <c r="G469" s="128"/>
      <c r="H469" s="128"/>
      <c r="I469" s="128"/>
    </row>
    <row r="470" spans="1:9" ht="15" thickBot="1" x14ac:dyDescent="0.35">
      <c r="A470" s="130">
        <v>43405</v>
      </c>
      <c r="B470" s="129">
        <v>263.55555559999999</v>
      </c>
      <c r="C470" s="131">
        <v>-2.890021208E-3</v>
      </c>
      <c r="D470" s="128"/>
      <c r="E470" s="128"/>
      <c r="F470" s="128"/>
      <c r="G470" s="128"/>
      <c r="H470" s="128"/>
      <c r="I470" s="128"/>
    </row>
    <row r="471" spans="1:9" ht="15" thickBot="1" x14ac:dyDescent="0.35">
      <c r="A471" s="130">
        <v>43374</v>
      </c>
      <c r="B471" s="129">
        <v>264.31944440000001</v>
      </c>
      <c r="C471" s="131">
        <v>2.6342129919999999E-3</v>
      </c>
      <c r="D471" s="128"/>
      <c r="E471" s="128"/>
      <c r="F471" s="128"/>
      <c r="G471" s="128"/>
      <c r="H471" s="128"/>
      <c r="I471" s="128"/>
    </row>
    <row r="472" spans="1:9" ht="15" thickBot="1" x14ac:dyDescent="0.35">
      <c r="A472" s="130">
        <v>43344</v>
      </c>
      <c r="B472" s="129">
        <v>263.625</v>
      </c>
      <c r="C472" s="131">
        <v>-3.6743477199999998E-3</v>
      </c>
      <c r="D472" s="128"/>
      <c r="E472" s="128"/>
      <c r="F472" s="128"/>
      <c r="G472" s="128"/>
      <c r="H472" s="128"/>
      <c r="I472" s="128"/>
    </row>
    <row r="473" spans="1:9" ht="15" thickBot="1" x14ac:dyDescent="0.35">
      <c r="A473" s="130">
        <v>43313</v>
      </c>
      <c r="B473" s="129">
        <v>264.59722219999998</v>
      </c>
      <c r="C473" s="131">
        <v>-1.064603232E-2</v>
      </c>
      <c r="D473" s="128"/>
      <c r="E473" s="128"/>
      <c r="F473" s="128"/>
      <c r="G473" s="128"/>
      <c r="H473" s="128"/>
      <c r="I473" s="128"/>
    </row>
    <row r="474" spans="1:9" ht="15" thickBot="1" x14ac:dyDescent="0.35">
      <c r="A474" s="130">
        <v>43282</v>
      </c>
      <c r="B474" s="129">
        <v>267.44444440000001</v>
      </c>
      <c r="C474" s="131">
        <v>-3.6220638310000002E-3</v>
      </c>
      <c r="D474" s="128"/>
      <c r="E474" s="128"/>
      <c r="F474" s="128"/>
      <c r="G474" s="128"/>
      <c r="H474" s="128"/>
      <c r="I474" s="128"/>
    </row>
    <row r="475" spans="1:9" ht="15" thickBot="1" x14ac:dyDescent="0.35">
      <c r="A475" s="130">
        <v>43191</v>
      </c>
      <c r="B475" s="129">
        <v>268.41666670000001</v>
      </c>
      <c r="C475" s="131">
        <v>1.1779487979999999E-2</v>
      </c>
      <c r="D475" s="128"/>
      <c r="E475" s="128"/>
      <c r="F475" s="128"/>
      <c r="G475" s="128"/>
      <c r="H475" s="128"/>
      <c r="I475" s="128"/>
    </row>
    <row r="476" spans="1:9" ht="15" thickBot="1" x14ac:dyDescent="0.35">
      <c r="A476" s="130">
        <v>43160</v>
      </c>
      <c r="B476" s="129">
        <v>265.29166670000001</v>
      </c>
      <c r="C476" s="131">
        <v>2.3614609570000002E-3</v>
      </c>
      <c r="D476" s="128"/>
      <c r="E476" s="128"/>
      <c r="F476" s="128"/>
      <c r="G476" s="128"/>
      <c r="H476" s="128"/>
      <c r="I476" s="128"/>
    </row>
    <row r="477" spans="1:9" ht="15" thickBot="1" x14ac:dyDescent="0.35">
      <c r="A477" s="130">
        <v>43132</v>
      </c>
      <c r="B477" s="129">
        <v>264.66666670000001</v>
      </c>
      <c r="C477" s="131">
        <v>8.4674008059999993E-3</v>
      </c>
      <c r="D477" s="128"/>
      <c r="E477" s="128"/>
      <c r="F477" s="128"/>
      <c r="G477" s="128"/>
      <c r="H477" s="128"/>
      <c r="I477" s="128"/>
    </row>
    <row r="478" spans="1:9" ht="15" thickBot="1" x14ac:dyDescent="0.35">
      <c r="A478" s="130">
        <v>43101</v>
      </c>
      <c r="B478" s="129">
        <v>262.44444440000001</v>
      </c>
      <c r="C478" s="131">
        <v>-2.112378707E-3</v>
      </c>
      <c r="D478" s="128"/>
      <c r="E478" s="128"/>
      <c r="F478" s="128"/>
      <c r="G478" s="128"/>
      <c r="H478" s="128"/>
      <c r="I478" s="128"/>
    </row>
    <row r="479" spans="1:9" ht="15" thickBot="1" x14ac:dyDescent="0.35">
      <c r="A479" s="130">
        <v>43097</v>
      </c>
      <c r="B479" s="129">
        <v>263</v>
      </c>
      <c r="C479" s="131">
        <v>3.4444386419999998E-3</v>
      </c>
      <c r="D479" s="128"/>
      <c r="E479" s="128"/>
      <c r="F479" s="128"/>
      <c r="G479" s="128"/>
      <c r="H479" s="128"/>
      <c r="I479" s="128"/>
    </row>
    <row r="480" spans="1:9" ht="15" thickBot="1" x14ac:dyDescent="0.35">
      <c r="A480" s="130">
        <v>43096</v>
      </c>
      <c r="B480" s="129">
        <v>262.09722219999998</v>
      </c>
      <c r="C480" s="131">
        <v>0</v>
      </c>
      <c r="D480" s="128"/>
      <c r="E480" s="128"/>
      <c r="F480" s="128"/>
      <c r="G480" s="128"/>
      <c r="H480" s="128"/>
      <c r="I480" s="128"/>
    </row>
    <row r="481" spans="1:9" ht="15" thickBot="1" x14ac:dyDescent="0.35">
      <c r="A481" s="130">
        <v>43095</v>
      </c>
      <c r="B481" s="129">
        <v>262.09722219999998</v>
      </c>
      <c r="C481" s="131">
        <v>1.326541356E-3</v>
      </c>
      <c r="D481" s="128"/>
      <c r="E481" s="128"/>
      <c r="F481" s="128"/>
      <c r="G481" s="128"/>
      <c r="H481" s="128"/>
      <c r="I481" s="128"/>
    </row>
    <row r="482" spans="1:9" ht="15" thickBot="1" x14ac:dyDescent="0.35">
      <c r="A482" s="130">
        <v>43093</v>
      </c>
      <c r="B482" s="129">
        <v>261.75</v>
      </c>
      <c r="C482" s="131">
        <v>-8.9398400929999993E-3</v>
      </c>
      <c r="D482" s="128"/>
      <c r="E482" s="128"/>
      <c r="F482" s="128"/>
      <c r="G482" s="128"/>
      <c r="H482" s="128"/>
      <c r="I482" s="128"/>
    </row>
    <row r="483" spans="1:9" ht="15" thickBot="1" x14ac:dyDescent="0.35">
      <c r="A483" s="130">
        <v>43090</v>
      </c>
      <c r="B483" s="129">
        <v>264.11111110000002</v>
      </c>
      <c r="C483" s="131">
        <v>-1.5751340119999999E-3</v>
      </c>
      <c r="D483" s="128"/>
      <c r="E483" s="128"/>
      <c r="F483" s="128"/>
      <c r="G483" s="128"/>
      <c r="H483" s="128"/>
      <c r="I483" s="128"/>
    </row>
    <row r="484" spans="1:9" ht="15" thickBot="1" x14ac:dyDescent="0.35">
      <c r="A484" s="130">
        <v>43089</v>
      </c>
      <c r="B484" s="129">
        <v>264.52777780000002</v>
      </c>
      <c r="C484" s="131">
        <v>-6.2610870930000003E-3</v>
      </c>
      <c r="D484" s="128"/>
      <c r="E484" s="128"/>
      <c r="F484" s="128"/>
      <c r="G484" s="128"/>
      <c r="H484" s="128"/>
      <c r="I484" s="128"/>
    </row>
    <row r="485" spans="1:9" ht="15" thickBot="1" x14ac:dyDescent="0.35">
      <c r="A485" s="130">
        <v>43088</v>
      </c>
      <c r="B485" s="129">
        <v>266.19444440000001</v>
      </c>
      <c r="C485" s="131">
        <v>-6.479705893E-3</v>
      </c>
      <c r="D485" s="128"/>
      <c r="E485" s="128"/>
      <c r="F485" s="128"/>
      <c r="G485" s="128"/>
      <c r="H485" s="128"/>
      <c r="I485" s="128"/>
    </row>
    <row r="486" spans="1:9" ht="15" thickBot="1" x14ac:dyDescent="0.35">
      <c r="A486" s="130">
        <v>43087</v>
      </c>
      <c r="B486" s="129">
        <v>267.93055559999999</v>
      </c>
      <c r="C486" s="131">
        <v>1.1535839920000001E-2</v>
      </c>
      <c r="D486" s="128"/>
      <c r="E486" s="128"/>
      <c r="F486" s="128"/>
      <c r="G486" s="128"/>
      <c r="H486" s="128"/>
      <c r="I486" s="128"/>
    </row>
    <row r="487" spans="1:9" ht="15" thickBot="1" x14ac:dyDescent="0.35">
      <c r="A487" s="130">
        <v>43086</v>
      </c>
      <c r="B487" s="129">
        <v>264.875</v>
      </c>
      <c r="C487" s="131">
        <v>-7.029053421E-3</v>
      </c>
      <c r="D487" s="128"/>
      <c r="E487" s="128"/>
      <c r="F487" s="128"/>
      <c r="G487" s="128"/>
      <c r="H487" s="128"/>
      <c r="I487" s="128"/>
    </row>
    <row r="488" spans="1:9" ht="15" thickBot="1" x14ac:dyDescent="0.35">
      <c r="A488" s="130">
        <v>43083</v>
      </c>
      <c r="B488" s="129">
        <v>266.75</v>
      </c>
      <c r="C488" s="131">
        <v>0</v>
      </c>
      <c r="D488" s="128"/>
      <c r="E488" s="128"/>
      <c r="F488" s="128"/>
      <c r="G488" s="128"/>
      <c r="H488" s="128"/>
      <c r="I488" s="128"/>
    </row>
    <row r="489" spans="1:9" ht="15" thickBot="1" x14ac:dyDescent="0.35">
      <c r="A489" s="130">
        <v>43082</v>
      </c>
      <c r="B489" s="129">
        <v>266.75</v>
      </c>
      <c r="C489" s="131">
        <v>-9.2850510680000005E-3</v>
      </c>
      <c r="D489" s="128"/>
      <c r="E489" s="128"/>
      <c r="F489" s="128"/>
      <c r="G489" s="128"/>
      <c r="H489" s="128"/>
      <c r="I489" s="128"/>
    </row>
    <row r="490" spans="1:9" ht="15" thickBot="1" x14ac:dyDescent="0.35">
      <c r="A490" s="130">
        <v>43081</v>
      </c>
      <c r="B490" s="129">
        <v>269.25</v>
      </c>
      <c r="C490" s="131">
        <v>-5.3871016169999997E-3</v>
      </c>
      <c r="D490" s="128"/>
      <c r="E490" s="128"/>
      <c r="F490" s="128"/>
      <c r="G490" s="128"/>
      <c r="H490" s="128"/>
      <c r="I490" s="128"/>
    </row>
    <row r="491" spans="1:9" ht="15" thickBot="1" x14ac:dyDescent="0.35">
      <c r="A491" s="130">
        <v>43051</v>
      </c>
      <c r="B491" s="129">
        <v>270.70833329999999</v>
      </c>
      <c r="C491" s="131">
        <v>-1.986322032E-2</v>
      </c>
      <c r="D491" s="128"/>
      <c r="E491" s="128"/>
      <c r="F491" s="128"/>
      <c r="G491" s="128"/>
      <c r="H491" s="128"/>
      <c r="I491" s="128"/>
    </row>
    <row r="492" spans="1:9" ht="15" thickBot="1" x14ac:dyDescent="0.35">
      <c r="A492" s="130">
        <v>43020</v>
      </c>
      <c r="B492" s="129">
        <v>276.19444440000001</v>
      </c>
      <c r="C492" s="131">
        <v>-5.5011003010000002E-3</v>
      </c>
      <c r="D492" s="128"/>
      <c r="E492" s="128"/>
      <c r="F492" s="128"/>
      <c r="G492" s="128"/>
      <c r="H492" s="128"/>
      <c r="I492" s="128"/>
    </row>
    <row r="493" spans="1:9" ht="15" thickBot="1" x14ac:dyDescent="0.35">
      <c r="A493" s="130">
        <v>42928</v>
      </c>
      <c r="B493" s="129">
        <v>277.72222219999998</v>
      </c>
      <c r="C493" s="131">
        <v>6.2905741640000004E-3</v>
      </c>
      <c r="D493" s="128"/>
      <c r="E493" s="128"/>
      <c r="F493" s="128"/>
      <c r="G493" s="128"/>
      <c r="H493" s="128"/>
      <c r="I493" s="128"/>
    </row>
    <row r="494" spans="1:9" ht="15" thickBot="1" x14ac:dyDescent="0.35">
      <c r="A494" s="130">
        <v>42898</v>
      </c>
      <c r="B494" s="129">
        <v>275.98611110000002</v>
      </c>
      <c r="C494" s="131">
        <v>3.2818338690000001E-3</v>
      </c>
      <c r="D494" s="128"/>
      <c r="E494" s="128"/>
      <c r="F494" s="128"/>
      <c r="G494" s="128"/>
      <c r="H494" s="128"/>
      <c r="I494" s="128"/>
    </row>
    <row r="495" spans="1:9" ht="15" thickBot="1" x14ac:dyDescent="0.35">
      <c r="A495" s="130">
        <v>42867</v>
      </c>
      <c r="B495" s="129">
        <v>275.08333329999999</v>
      </c>
      <c r="C495" s="131">
        <v>-4.2732895879999998E-3</v>
      </c>
      <c r="D495" s="128"/>
      <c r="E495" s="128"/>
      <c r="F495" s="128"/>
      <c r="G495" s="128"/>
      <c r="H495" s="128"/>
      <c r="I495" s="128"/>
    </row>
    <row r="496" spans="1:9" ht="15" thickBot="1" x14ac:dyDescent="0.35">
      <c r="A496" s="130">
        <v>42837</v>
      </c>
      <c r="B496" s="129">
        <v>276.26388889999998</v>
      </c>
      <c r="C496" s="131">
        <v>-5.9967019330000003E-3</v>
      </c>
      <c r="D496" s="128"/>
      <c r="E496" s="128"/>
      <c r="F496" s="128"/>
      <c r="G496" s="128"/>
      <c r="H496" s="128"/>
      <c r="I496" s="128"/>
    </row>
    <row r="497" spans="1:9" ht="15" thickBot="1" x14ac:dyDescent="0.35">
      <c r="A497" s="130">
        <v>42806</v>
      </c>
      <c r="B497" s="129">
        <v>277.93055559999999</v>
      </c>
      <c r="C497" s="131">
        <v>-8.6693746159999998E-3</v>
      </c>
      <c r="D497" s="128"/>
      <c r="E497" s="128"/>
      <c r="F497" s="128"/>
      <c r="G497" s="128"/>
      <c r="H497" s="128"/>
      <c r="I497" s="128"/>
    </row>
    <row r="498" spans="1:9" ht="15" thickBot="1" x14ac:dyDescent="0.35">
      <c r="A498" s="130">
        <v>43069</v>
      </c>
      <c r="B498" s="129">
        <v>280.36111110000002</v>
      </c>
      <c r="C498" s="131">
        <v>3.2304558229999999E-3</v>
      </c>
      <c r="D498" s="128"/>
      <c r="E498" s="128"/>
      <c r="F498" s="128"/>
      <c r="G498" s="128"/>
      <c r="H498" s="128"/>
      <c r="I498" s="128"/>
    </row>
    <row r="499" spans="1:9" ht="15" thickBot="1" x14ac:dyDescent="0.35">
      <c r="A499" s="130">
        <v>43068</v>
      </c>
      <c r="B499" s="129">
        <v>279.45833329999999</v>
      </c>
      <c r="C499" s="131">
        <v>7.5108906709999996E-3</v>
      </c>
      <c r="D499" s="128"/>
      <c r="E499" s="128"/>
      <c r="F499" s="128"/>
      <c r="G499" s="128"/>
      <c r="H499" s="128"/>
      <c r="I499" s="128"/>
    </row>
    <row r="500" spans="1:9" ht="15" thickBot="1" x14ac:dyDescent="0.35">
      <c r="A500" s="130">
        <v>43067</v>
      </c>
      <c r="B500" s="129">
        <v>277.375</v>
      </c>
      <c r="C500" s="131">
        <v>7.5165351759999999E-4</v>
      </c>
      <c r="D500" s="128"/>
      <c r="E500" s="128"/>
      <c r="F500" s="128"/>
      <c r="G500" s="128"/>
      <c r="H500" s="128"/>
      <c r="I500" s="128"/>
    </row>
    <row r="501" spans="1:9" ht="15" thickBot="1" x14ac:dyDescent="0.35">
      <c r="A501" s="130">
        <v>43066</v>
      </c>
      <c r="B501" s="129">
        <v>277.16666670000001</v>
      </c>
      <c r="C501" s="131">
        <v>-3.992812896E-3</v>
      </c>
      <c r="D501" s="128"/>
      <c r="E501" s="128"/>
      <c r="F501" s="128"/>
      <c r="G501" s="128"/>
      <c r="H501" s="128"/>
      <c r="I501" s="128"/>
    </row>
    <row r="502" spans="1:9" ht="15" thickBot="1" x14ac:dyDescent="0.35">
      <c r="A502" s="130">
        <v>43065</v>
      </c>
      <c r="B502" s="129">
        <v>278.27777780000002</v>
      </c>
      <c r="C502" s="131">
        <v>1.4854112819999999E-2</v>
      </c>
      <c r="D502" s="128"/>
      <c r="E502" s="128"/>
      <c r="F502" s="128"/>
      <c r="G502" s="128"/>
      <c r="H502" s="128"/>
      <c r="I502" s="128"/>
    </row>
    <row r="503" spans="1:9" ht="15" thickBot="1" x14ac:dyDescent="0.35">
      <c r="A503" s="130">
        <v>43061</v>
      </c>
      <c r="B503" s="129">
        <v>274.2047101</v>
      </c>
      <c r="C503" s="131">
        <v>5.981616195E-3</v>
      </c>
      <c r="D503" s="128"/>
      <c r="E503" s="128"/>
      <c r="F503" s="128"/>
      <c r="G503" s="128"/>
      <c r="H503" s="128"/>
      <c r="I503" s="128"/>
    </row>
    <row r="504" spans="1:9" ht="15" thickBot="1" x14ac:dyDescent="0.35">
      <c r="A504" s="130">
        <v>43060</v>
      </c>
      <c r="B504" s="129">
        <v>272.57427539999998</v>
      </c>
      <c r="C504" s="131">
        <v>-1.1172376459999999E-2</v>
      </c>
      <c r="D504" s="128"/>
      <c r="E504" s="128"/>
      <c r="F504" s="128"/>
      <c r="G504" s="128"/>
      <c r="H504" s="128"/>
      <c r="I504" s="128"/>
    </row>
    <row r="505" spans="1:9" ht="15" thickBot="1" x14ac:dyDescent="0.35">
      <c r="A505" s="130">
        <v>43059</v>
      </c>
      <c r="B505" s="129">
        <v>275.65398549999998</v>
      </c>
      <c r="C505" s="131">
        <v>1.8519220959999999E-2</v>
      </c>
      <c r="D505" s="128"/>
      <c r="E505" s="128"/>
      <c r="F505" s="128"/>
      <c r="G505" s="128"/>
      <c r="H505" s="128"/>
      <c r="I505" s="128"/>
    </row>
    <row r="506" spans="1:9" ht="15" thickBot="1" x14ac:dyDescent="0.35">
      <c r="A506" s="130">
        <v>43058</v>
      </c>
      <c r="B506" s="129">
        <v>270.64190819999999</v>
      </c>
      <c r="C506" s="131">
        <v>2.8454528949999999E-2</v>
      </c>
      <c r="D506" s="128"/>
      <c r="E506" s="128"/>
      <c r="F506" s="128"/>
      <c r="G506" s="128"/>
      <c r="H506" s="128"/>
      <c r="I506" s="128"/>
    </row>
    <row r="507" spans="1:9" ht="15" thickBot="1" x14ac:dyDescent="0.35">
      <c r="A507" s="130">
        <v>43055</v>
      </c>
      <c r="B507" s="129">
        <v>263.15398549999998</v>
      </c>
      <c r="C507" s="131">
        <v>-7.063386003E-3</v>
      </c>
      <c r="D507" s="128"/>
      <c r="E507" s="128"/>
      <c r="F507" s="128"/>
      <c r="G507" s="128"/>
      <c r="H507" s="128"/>
      <c r="I507" s="128"/>
    </row>
    <row r="508" spans="1:9" ht="15" thickBot="1" x14ac:dyDescent="0.35">
      <c r="A508" s="130">
        <v>43054</v>
      </c>
      <c r="B508" s="129">
        <v>265.02596620000003</v>
      </c>
      <c r="C508" s="131">
        <v>5.959434552E-3</v>
      </c>
      <c r="D508" s="128"/>
      <c r="E508" s="128"/>
      <c r="F508" s="128"/>
      <c r="G508" s="128"/>
      <c r="H508" s="128"/>
      <c r="I508" s="128"/>
    </row>
    <row r="509" spans="1:9" ht="15" thickBot="1" x14ac:dyDescent="0.35">
      <c r="A509" s="130">
        <v>43053</v>
      </c>
      <c r="B509" s="129">
        <v>263.45591789999997</v>
      </c>
      <c r="C509" s="131">
        <v>1.0187944690000001E-2</v>
      </c>
      <c r="D509" s="128"/>
      <c r="E509" s="128"/>
      <c r="F509" s="128"/>
      <c r="G509" s="128"/>
      <c r="H509" s="128"/>
      <c r="I509" s="128"/>
    </row>
    <row r="510" spans="1:9" ht="15" thickBot="1" x14ac:dyDescent="0.35">
      <c r="A510" s="130">
        <v>43052</v>
      </c>
      <c r="B510" s="129">
        <v>260.79891300000003</v>
      </c>
      <c r="C510" s="131">
        <v>-5.5263504729999996E-3</v>
      </c>
      <c r="D510" s="128"/>
      <c r="E510" s="128"/>
      <c r="F510" s="128"/>
      <c r="G510" s="128"/>
      <c r="H510" s="128"/>
      <c r="I510" s="128"/>
    </row>
    <row r="511" spans="1:9" ht="15" thickBot="1" x14ac:dyDescent="0.35">
      <c r="A511" s="130">
        <v>43080</v>
      </c>
      <c r="B511" s="129">
        <v>262.2481884</v>
      </c>
      <c r="C511" s="131">
        <v>-3.2133453770000001E-3</v>
      </c>
      <c r="D511" s="128"/>
      <c r="E511" s="128"/>
      <c r="F511" s="128"/>
      <c r="G511" s="128"/>
      <c r="H511" s="128"/>
      <c r="I511" s="128"/>
    </row>
    <row r="512" spans="1:9" ht="15" thickBot="1" x14ac:dyDescent="0.35">
      <c r="A512" s="130">
        <v>42989</v>
      </c>
      <c r="B512" s="129">
        <v>263.09359899999998</v>
      </c>
      <c r="C512" s="131">
        <v>3.2237042519999998E-3</v>
      </c>
      <c r="D512" s="128"/>
      <c r="E512" s="128"/>
      <c r="F512" s="128"/>
      <c r="G512" s="128"/>
      <c r="H512" s="128"/>
      <c r="I512" s="128"/>
    </row>
    <row r="513" spans="1:9" ht="15" thickBot="1" x14ac:dyDescent="0.35">
      <c r="A513" s="130">
        <v>42958</v>
      </c>
      <c r="B513" s="129">
        <v>262.2481884</v>
      </c>
      <c r="C513" s="131">
        <v>9.2190754290000004E-4</v>
      </c>
      <c r="D513" s="128"/>
      <c r="E513" s="128"/>
      <c r="F513" s="128"/>
      <c r="G513" s="128"/>
      <c r="H513" s="128"/>
      <c r="I513" s="128"/>
    </row>
    <row r="514" spans="1:9" ht="15" thickBot="1" x14ac:dyDescent="0.35">
      <c r="A514" s="130">
        <v>42927</v>
      </c>
      <c r="B514" s="129">
        <v>262.0066425</v>
      </c>
      <c r="C514" s="131">
        <v>1.307546641E-2</v>
      </c>
      <c r="D514" s="128"/>
      <c r="E514" s="128"/>
      <c r="F514" s="128"/>
      <c r="G514" s="128"/>
      <c r="H514" s="128"/>
      <c r="I514" s="128"/>
    </row>
    <row r="515" spans="1:9" ht="15" thickBot="1" x14ac:dyDescent="0.35">
      <c r="A515" s="130">
        <v>42897</v>
      </c>
      <c r="B515" s="129">
        <v>258.625</v>
      </c>
      <c r="C515" s="131">
        <v>-1.38158758E-2</v>
      </c>
      <c r="D515" s="128"/>
      <c r="E515" s="128"/>
      <c r="F515" s="128"/>
      <c r="G515" s="128"/>
      <c r="H515" s="128"/>
      <c r="I515" s="128"/>
    </row>
    <row r="516" spans="1:9" ht="15" thickBot="1" x14ac:dyDescent="0.35">
      <c r="A516" s="130">
        <v>42866</v>
      </c>
      <c r="B516" s="129">
        <v>262.2481884</v>
      </c>
      <c r="C516" s="131">
        <v>-3.1230272020000002E-2</v>
      </c>
      <c r="D516" s="128"/>
      <c r="E516" s="128"/>
      <c r="F516" s="128"/>
      <c r="G516" s="128"/>
      <c r="H516" s="128"/>
      <c r="I516" s="128"/>
    </row>
    <row r="517" spans="1:9" ht="15" thickBot="1" x14ac:dyDescent="0.35">
      <c r="A517" s="130">
        <v>42777</v>
      </c>
      <c r="B517" s="129">
        <v>270.70229469999998</v>
      </c>
      <c r="C517" s="131">
        <v>-9.5010194940000001E-3</v>
      </c>
      <c r="D517" s="128"/>
      <c r="E517" s="128"/>
      <c r="F517" s="128"/>
      <c r="G517" s="128"/>
      <c r="H517" s="128"/>
      <c r="I517" s="128"/>
    </row>
    <row r="518" spans="1:9" ht="15" thickBot="1" x14ac:dyDescent="0.35">
      <c r="A518" s="130">
        <v>42746</v>
      </c>
      <c r="B518" s="129">
        <v>273.29891300000003</v>
      </c>
      <c r="C518" s="131">
        <v>-1.351401442E-2</v>
      </c>
      <c r="D518" s="128"/>
      <c r="E518" s="128"/>
      <c r="F518" s="128"/>
      <c r="G518" s="128"/>
      <c r="H518" s="128"/>
      <c r="I518" s="128"/>
    </row>
    <row r="519" spans="1:9" ht="15" thickBot="1" x14ac:dyDescent="0.35">
      <c r="A519" s="130">
        <v>43039</v>
      </c>
      <c r="B519" s="129">
        <v>277.04287440000002</v>
      </c>
      <c r="C519" s="131">
        <v>4.2018429119999999E-2</v>
      </c>
      <c r="D519" s="128"/>
      <c r="E519" s="128"/>
      <c r="F519" s="128"/>
      <c r="G519" s="128"/>
      <c r="H519" s="128"/>
      <c r="I519" s="128"/>
    </row>
    <row r="520" spans="1:9" ht="15" thickBot="1" x14ac:dyDescent="0.35">
      <c r="A520" s="130">
        <v>43038</v>
      </c>
      <c r="B520" s="129">
        <v>265.87137680000001</v>
      </c>
      <c r="C520" s="131">
        <v>-3.7597025360000001E-2</v>
      </c>
      <c r="D520" s="128"/>
      <c r="E520" s="128"/>
      <c r="F520" s="128"/>
      <c r="G520" s="128"/>
      <c r="H520" s="128"/>
      <c r="I520" s="128"/>
    </row>
    <row r="521" spans="1:9" ht="15" thickBot="1" x14ac:dyDescent="0.35">
      <c r="A521" s="130">
        <v>43037</v>
      </c>
      <c r="B521" s="129">
        <v>276.25785020000001</v>
      </c>
      <c r="C521" s="131">
        <v>9.7112448470000005E-3</v>
      </c>
      <c r="D521" s="128"/>
      <c r="E521" s="128"/>
      <c r="F521" s="128"/>
      <c r="G521" s="128"/>
      <c r="H521" s="128"/>
      <c r="I521" s="128"/>
    </row>
    <row r="522" spans="1:9" ht="15" thickBot="1" x14ac:dyDescent="0.35">
      <c r="A522" s="130">
        <v>43034</v>
      </c>
      <c r="B522" s="129">
        <v>273.60084540000003</v>
      </c>
      <c r="C522" s="131">
        <v>3.9937293950000001E-2</v>
      </c>
      <c r="D522" s="128"/>
      <c r="E522" s="128"/>
      <c r="F522" s="128"/>
      <c r="G522" s="128"/>
      <c r="H522" s="128"/>
      <c r="I522" s="128"/>
    </row>
    <row r="523" spans="1:9" ht="15" thickBot="1" x14ac:dyDescent="0.35">
      <c r="A523" s="130">
        <v>43033</v>
      </c>
      <c r="B523" s="129">
        <v>263.09359899999998</v>
      </c>
      <c r="C523" s="131">
        <v>-2.418905113E-2</v>
      </c>
      <c r="D523" s="128"/>
      <c r="E523" s="128"/>
      <c r="F523" s="128"/>
      <c r="G523" s="128"/>
      <c r="H523" s="128"/>
      <c r="I523" s="128"/>
    </row>
    <row r="524" spans="1:9" ht="15" thickBot="1" x14ac:dyDescent="0.35">
      <c r="A524" s="130">
        <v>43032</v>
      </c>
      <c r="B524" s="129">
        <v>269.6153382</v>
      </c>
      <c r="C524" s="131">
        <v>1.5465687800000001E-2</v>
      </c>
      <c r="D524" s="128"/>
      <c r="E524" s="128"/>
      <c r="F524" s="128"/>
      <c r="G524" s="128"/>
      <c r="H524" s="128"/>
      <c r="I524" s="128"/>
    </row>
    <row r="525" spans="1:9" ht="15" thickBot="1" x14ac:dyDescent="0.35">
      <c r="A525" s="130">
        <v>43031</v>
      </c>
      <c r="B525" s="129">
        <v>265.50905799999998</v>
      </c>
      <c r="C525" s="131">
        <v>0</v>
      </c>
      <c r="D525" s="128"/>
      <c r="E525" s="128"/>
      <c r="F525" s="128"/>
      <c r="G525" s="128"/>
      <c r="H525" s="128"/>
      <c r="I525" s="128"/>
    </row>
    <row r="526" spans="1:9" ht="15" thickBot="1" x14ac:dyDescent="0.35">
      <c r="A526" s="130">
        <v>43030</v>
      </c>
      <c r="B526" s="129">
        <v>265.50905799999998</v>
      </c>
      <c r="C526" s="131">
        <v>-2.678276965E-2</v>
      </c>
      <c r="D526" s="128"/>
      <c r="E526" s="128"/>
      <c r="F526" s="128"/>
      <c r="G526" s="128"/>
      <c r="H526" s="128"/>
      <c r="I526" s="128"/>
    </row>
    <row r="527" spans="1:9" ht="15" thickBot="1" x14ac:dyDescent="0.35">
      <c r="A527" s="130">
        <v>43027</v>
      </c>
      <c r="B527" s="129">
        <v>272.81582129999998</v>
      </c>
      <c r="C527" s="131">
        <v>-4.279815151E-2</v>
      </c>
      <c r="D527" s="128"/>
      <c r="E527" s="128"/>
      <c r="F527" s="128"/>
      <c r="G527" s="128"/>
      <c r="H527" s="128"/>
      <c r="I527" s="128"/>
    </row>
    <row r="528" spans="1:9" ht="15" thickBot="1" x14ac:dyDescent="0.35">
      <c r="A528" s="130">
        <v>43026</v>
      </c>
      <c r="B528" s="129">
        <v>285.01388889999998</v>
      </c>
      <c r="C528" s="131">
        <v>5.0291177030000002E-2</v>
      </c>
      <c r="D528" s="128"/>
      <c r="E528" s="128"/>
      <c r="F528" s="128"/>
      <c r="G528" s="128"/>
      <c r="H528" s="128"/>
      <c r="I528" s="128"/>
    </row>
    <row r="529" spans="1:9" ht="15" thickBot="1" x14ac:dyDescent="0.35">
      <c r="A529" s="130">
        <v>43025</v>
      </c>
      <c r="B529" s="129">
        <v>271.36654590000001</v>
      </c>
      <c r="C529" s="131">
        <v>5.1476076680000003E-2</v>
      </c>
      <c r="D529" s="128"/>
      <c r="E529" s="128"/>
      <c r="F529" s="128"/>
      <c r="G529" s="128"/>
      <c r="H529" s="128"/>
      <c r="I529" s="128"/>
    </row>
    <row r="530" spans="1:9" ht="15" thickBot="1" x14ac:dyDescent="0.35">
      <c r="A530" s="130">
        <v>43024</v>
      </c>
      <c r="B530" s="129">
        <v>258.0815217</v>
      </c>
      <c r="C530" s="131">
        <v>-1.5207969179999999E-2</v>
      </c>
      <c r="D530" s="128"/>
      <c r="E530" s="128"/>
      <c r="F530" s="128"/>
      <c r="G530" s="128"/>
      <c r="H530" s="128"/>
      <c r="I530" s="128"/>
    </row>
    <row r="531" spans="1:9" ht="15" thickBot="1" x14ac:dyDescent="0.35">
      <c r="A531" s="130">
        <v>43023</v>
      </c>
      <c r="B531" s="129">
        <v>262.06702899999999</v>
      </c>
      <c r="C531" s="131">
        <v>-2.7124996969999999E-2</v>
      </c>
      <c r="D531" s="128"/>
      <c r="E531" s="128"/>
      <c r="F531" s="128"/>
      <c r="G531" s="128"/>
      <c r="H531" s="128"/>
      <c r="I531" s="128"/>
    </row>
    <row r="532" spans="1:9" ht="15" thickBot="1" x14ac:dyDescent="0.35">
      <c r="A532" s="130">
        <v>43079</v>
      </c>
      <c r="B532" s="129">
        <v>269.37379229999999</v>
      </c>
      <c r="C532" s="131">
        <v>7.9081213009999998E-3</v>
      </c>
      <c r="D532" s="128"/>
      <c r="E532" s="128"/>
      <c r="F532" s="128"/>
      <c r="G532" s="128"/>
      <c r="H532" s="128"/>
      <c r="I532" s="128"/>
    </row>
    <row r="533" spans="1:9" ht="15" thickBot="1" x14ac:dyDescent="0.35">
      <c r="A533" s="130">
        <v>43049</v>
      </c>
      <c r="B533" s="129">
        <v>267.26026569999999</v>
      </c>
      <c r="C533" s="131">
        <v>6.7022997510000001E-2</v>
      </c>
      <c r="D533" s="128"/>
      <c r="E533" s="128"/>
      <c r="F533" s="128"/>
      <c r="G533" s="128"/>
      <c r="H533" s="128"/>
      <c r="I533" s="128"/>
    </row>
    <row r="534" spans="1:9" ht="15" thickBot="1" x14ac:dyDescent="0.35">
      <c r="A534" s="130">
        <v>43018</v>
      </c>
      <c r="B534" s="129">
        <v>250.47282609999999</v>
      </c>
      <c r="C534" s="131">
        <v>3.6294742280000001E-3</v>
      </c>
      <c r="D534" s="128"/>
      <c r="E534" s="128"/>
      <c r="F534" s="128"/>
      <c r="G534" s="128"/>
      <c r="H534" s="128"/>
      <c r="I534" s="128"/>
    </row>
    <row r="535" spans="1:9" ht="15" thickBot="1" x14ac:dyDescent="0.35">
      <c r="A535" s="130">
        <v>42988</v>
      </c>
      <c r="B535" s="129">
        <v>249.56702899999999</v>
      </c>
      <c r="C535" s="131">
        <v>1.2246407629999999E-2</v>
      </c>
      <c r="D535" s="128"/>
      <c r="E535" s="128"/>
      <c r="F535" s="128"/>
      <c r="G535" s="128"/>
      <c r="H535" s="128"/>
      <c r="I535" s="128"/>
    </row>
    <row r="536" spans="1:9" ht="15" thickBot="1" x14ac:dyDescent="0.35">
      <c r="A536" s="130">
        <v>42957</v>
      </c>
      <c r="B536" s="129">
        <v>246.54770529999999</v>
      </c>
      <c r="C536" s="131">
        <v>6.4089448779999997E-3</v>
      </c>
      <c r="D536" s="128"/>
      <c r="E536" s="128"/>
      <c r="F536" s="128"/>
      <c r="G536" s="128"/>
      <c r="H536" s="128"/>
      <c r="I536" s="128"/>
    </row>
    <row r="537" spans="1:9" ht="15" thickBot="1" x14ac:dyDescent="0.35">
      <c r="A537" s="130">
        <v>42865</v>
      </c>
      <c r="B537" s="129">
        <v>244.97765699999999</v>
      </c>
      <c r="C537" s="131">
        <v>-8.0687949429999999E-3</v>
      </c>
      <c r="D537" s="128"/>
      <c r="E537" s="128"/>
      <c r="F537" s="128"/>
      <c r="G537" s="128"/>
      <c r="H537" s="128"/>
      <c r="I537" s="128"/>
    </row>
    <row r="538" spans="1:9" ht="15" thickBot="1" x14ac:dyDescent="0.35">
      <c r="A538" s="130">
        <v>42835</v>
      </c>
      <c r="B538" s="129">
        <v>246.97041060000001</v>
      </c>
      <c r="C538" s="131">
        <v>-5.3504156899999997E-3</v>
      </c>
      <c r="D538" s="128"/>
      <c r="E538" s="128"/>
      <c r="F538" s="128"/>
      <c r="G538" s="128"/>
      <c r="H538" s="128"/>
      <c r="I538" s="128"/>
    </row>
    <row r="539" spans="1:9" ht="15" thickBot="1" x14ac:dyDescent="0.35">
      <c r="A539" s="130">
        <v>42804</v>
      </c>
      <c r="B539" s="129">
        <v>248.298913</v>
      </c>
      <c r="C539" s="131">
        <v>-9.7185746359999999E-4</v>
      </c>
      <c r="D539" s="128"/>
      <c r="E539" s="128"/>
      <c r="F539" s="128"/>
      <c r="G539" s="128"/>
      <c r="H539" s="128"/>
      <c r="I539" s="128"/>
    </row>
    <row r="540" spans="1:9" ht="15" thickBot="1" x14ac:dyDescent="0.35">
      <c r="A540" s="130">
        <v>42776</v>
      </c>
      <c r="B540" s="129">
        <v>248.5404589</v>
      </c>
      <c r="C540" s="131">
        <v>-7.2361867120000001E-3</v>
      </c>
      <c r="D540" s="128"/>
      <c r="E540" s="128"/>
      <c r="F540" s="128"/>
      <c r="G540" s="128"/>
      <c r="H540" s="128"/>
      <c r="I540" s="128"/>
    </row>
    <row r="541" spans="1:9" ht="15" thickBot="1" x14ac:dyDescent="0.35">
      <c r="A541" s="130">
        <v>43006</v>
      </c>
      <c r="B541" s="129">
        <v>250.35205310000001</v>
      </c>
      <c r="C541" s="131">
        <v>-9.7926119460000002E-3</v>
      </c>
      <c r="D541" s="128"/>
      <c r="E541" s="128"/>
      <c r="F541" s="128"/>
      <c r="G541" s="128"/>
      <c r="H541" s="128"/>
      <c r="I541" s="128"/>
    </row>
    <row r="542" spans="1:9" ht="15" thickBot="1" x14ac:dyDescent="0.35">
      <c r="A542" s="130">
        <v>43005</v>
      </c>
      <c r="B542" s="129">
        <v>252.8278986</v>
      </c>
      <c r="C542" s="131">
        <v>-8.994444394E-3</v>
      </c>
      <c r="D542" s="128"/>
      <c r="E542" s="128"/>
      <c r="F542" s="128"/>
      <c r="G542" s="128"/>
      <c r="H542" s="128"/>
      <c r="I542" s="128"/>
    </row>
    <row r="543" spans="1:9" ht="15" thickBot="1" x14ac:dyDescent="0.35">
      <c r="A543" s="130">
        <v>43004</v>
      </c>
      <c r="B543" s="129">
        <v>255.12258449999999</v>
      </c>
      <c r="C543" s="131">
        <v>-1.6541310550000001E-3</v>
      </c>
      <c r="D543" s="128"/>
      <c r="E543" s="128"/>
      <c r="F543" s="128"/>
      <c r="G543" s="128"/>
      <c r="H543" s="128"/>
      <c r="I543" s="128"/>
    </row>
    <row r="544" spans="1:9" ht="15" thickBot="1" x14ac:dyDescent="0.35">
      <c r="A544" s="130">
        <v>43003</v>
      </c>
      <c r="B544" s="129">
        <v>255.5452899</v>
      </c>
      <c r="C544" s="131">
        <v>6.6605930129999998E-3</v>
      </c>
      <c r="D544" s="128"/>
      <c r="E544" s="128"/>
      <c r="F544" s="128"/>
      <c r="G544" s="128"/>
      <c r="H544" s="128"/>
      <c r="I544" s="128"/>
    </row>
    <row r="545" spans="1:9" ht="15" thickBot="1" x14ac:dyDescent="0.35">
      <c r="A545" s="130">
        <v>43002</v>
      </c>
      <c r="B545" s="129">
        <v>253.85446859999999</v>
      </c>
      <c r="C545" s="131">
        <v>7.1414450569999999E-4</v>
      </c>
      <c r="D545" s="128"/>
      <c r="E545" s="128"/>
      <c r="F545" s="128"/>
      <c r="G545" s="128"/>
      <c r="H545" s="128"/>
      <c r="I545" s="128"/>
    </row>
    <row r="546" spans="1:9" ht="15" thickBot="1" x14ac:dyDescent="0.35">
      <c r="A546" s="130">
        <v>42999</v>
      </c>
      <c r="B546" s="129">
        <v>253.67330920000001</v>
      </c>
      <c r="C546" s="131">
        <v>-2.4385542350000001E-2</v>
      </c>
      <c r="D546" s="128"/>
      <c r="E546" s="128"/>
      <c r="F546" s="128"/>
      <c r="G546" s="128"/>
      <c r="H546" s="128"/>
      <c r="I546" s="128"/>
    </row>
    <row r="547" spans="1:9" ht="15" thickBot="1" x14ac:dyDescent="0.35">
      <c r="A547" s="130">
        <v>42998</v>
      </c>
      <c r="B547" s="129">
        <v>260.01388889999998</v>
      </c>
      <c r="C547" s="131">
        <v>1.6525687059999999E-2</v>
      </c>
      <c r="D547" s="128"/>
      <c r="E547" s="128"/>
      <c r="F547" s="128"/>
      <c r="G547" s="128"/>
      <c r="H547" s="128"/>
      <c r="I547" s="128"/>
    </row>
    <row r="548" spans="1:9" ht="15" thickBot="1" x14ac:dyDescent="0.35">
      <c r="A548" s="130">
        <v>42997</v>
      </c>
      <c r="B548" s="129">
        <v>255.78683570000001</v>
      </c>
      <c r="C548" s="131">
        <v>-2.1257766760000001E-2</v>
      </c>
      <c r="D548" s="128"/>
      <c r="E548" s="128"/>
      <c r="F548" s="128"/>
      <c r="G548" s="128"/>
      <c r="H548" s="128"/>
      <c r="I548" s="128"/>
    </row>
    <row r="549" spans="1:9" ht="15" thickBot="1" x14ac:dyDescent="0.35">
      <c r="A549" s="130">
        <v>42996</v>
      </c>
      <c r="B549" s="129">
        <v>261.34239129999997</v>
      </c>
      <c r="C549" s="131">
        <v>-2.8944339459999999E-2</v>
      </c>
      <c r="D549" s="128"/>
      <c r="E549" s="128"/>
      <c r="F549" s="128"/>
      <c r="G549" s="128"/>
      <c r="H549" s="128"/>
      <c r="I549" s="128"/>
    </row>
    <row r="550" spans="1:9" ht="15" thickBot="1" x14ac:dyDescent="0.35">
      <c r="A550" s="130">
        <v>42995</v>
      </c>
      <c r="B550" s="129">
        <v>269.13224639999999</v>
      </c>
      <c r="C550" s="131">
        <v>7.3461582009999998E-2</v>
      </c>
      <c r="D550" s="128"/>
      <c r="E550" s="128"/>
      <c r="F550" s="128"/>
      <c r="G550" s="128"/>
      <c r="H550" s="128"/>
      <c r="I550" s="128"/>
    </row>
    <row r="551" spans="1:9" ht="15" thickBot="1" x14ac:dyDescent="0.35">
      <c r="A551" s="130">
        <v>42992</v>
      </c>
      <c r="B551" s="129">
        <v>250.714372</v>
      </c>
      <c r="C551" s="131">
        <v>-1.7046140639999999E-2</v>
      </c>
      <c r="D551" s="128"/>
      <c r="E551" s="128"/>
      <c r="F551" s="128"/>
      <c r="G551" s="128"/>
      <c r="H551" s="128"/>
      <c r="I551" s="128"/>
    </row>
    <row r="552" spans="1:9" ht="15" thickBot="1" x14ac:dyDescent="0.35">
      <c r="A552" s="130">
        <v>42991</v>
      </c>
      <c r="B552" s="129">
        <v>255.06219809999999</v>
      </c>
      <c r="C552" s="131">
        <v>-4.5641156449999998E-2</v>
      </c>
      <c r="D552" s="128"/>
      <c r="E552" s="128"/>
      <c r="F552" s="128"/>
      <c r="G552" s="128"/>
      <c r="H552" s="128"/>
      <c r="I552" s="128"/>
    </row>
    <row r="553" spans="1:9" ht="15" thickBot="1" x14ac:dyDescent="0.35">
      <c r="A553" s="130">
        <v>43078</v>
      </c>
      <c r="B553" s="129">
        <v>267.26026569999999</v>
      </c>
      <c r="C553" s="131">
        <v>4.3377504480000002E-2</v>
      </c>
      <c r="D553" s="128"/>
      <c r="E553" s="128"/>
      <c r="F553" s="128"/>
      <c r="G553" s="128"/>
      <c r="H553" s="128"/>
      <c r="I553" s="128"/>
    </row>
    <row r="554" spans="1:9" ht="15" thickBot="1" x14ac:dyDescent="0.35">
      <c r="A554" s="130">
        <v>43048</v>
      </c>
      <c r="B554" s="129">
        <v>256.14915459999997</v>
      </c>
      <c r="C554" s="131">
        <v>8.8812910179999996E-2</v>
      </c>
      <c r="D554" s="128"/>
      <c r="E554" s="128"/>
      <c r="F554" s="128"/>
      <c r="G554" s="128"/>
      <c r="H554" s="128"/>
      <c r="I554" s="128"/>
    </row>
    <row r="555" spans="1:9" ht="15" thickBot="1" x14ac:dyDescent="0.35">
      <c r="A555" s="130">
        <v>43017</v>
      </c>
      <c r="B555" s="129">
        <v>235.25543479999999</v>
      </c>
      <c r="C555" s="131">
        <v>-9.4079834930000002E-3</v>
      </c>
      <c r="D555" s="128"/>
      <c r="E555" s="128"/>
      <c r="F555" s="128"/>
      <c r="G555" s="128"/>
      <c r="H555" s="128"/>
      <c r="I555" s="128"/>
    </row>
    <row r="556" spans="1:9" ht="15" thickBot="1" x14ac:dyDescent="0.35">
      <c r="A556" s="130">
        <v>42925</v>
      </c>
      <c r="B556" s="129">
        <v>237.48973430000001</v>
      </c>
      <c r="C556" s="131">
        <v>-1.2057786839999999E-2</v>
      </c>
      <c r="D556" s="128"/>
      <c r="E556" s="128"/>
      <c r="F556" s="128"/>
      <c r="G556" s="128"/>
      <c r="H556" s="128"/>
      <c r="I556" s="128"/>
    </row>
    <row r="557" spans="1:9" ht="15" thickBot="1" x14ac:dyDescent="0.35">
      <c r="A557" s="130">
        <v>42895</v>
      </c>
      <c r="B557" s="129">
        <v>240.388285</v>
      </c>
      <c r="C557" s="131">
        <v>-9.4554883290000006E-3</v>
      </c>
      <c r="D557" s="128"/>
      <c r="E557" s="128"/>
      <c r="F557" s="128"/>
      <c r="G557" s="128"/>
      <c r="H557" s="128"/>
      <c r="I557" s="128"/>
    </row>
    <row r="558" spans="1:9" ht="15" thickBot="1" x14ac:dyDescent="0.35">
      <c r="A558" s="130">
        <v>42864</v>
      </c>
      <c r="B558" s="129">
        <v>242.68297100000001</v>
      </c>
      <c r="C558" s="131">
        <v>-8.3891996600000008E-3</v>
      </c>
      <c r="D558" s="128"/>
      <c r="E558" s="128"/>
      <c r="F558" s="128"/>
      <c r="G558" s="128"/>
      <c r="H558" s="128"/>
      <c r="I558" s="128"/>
    </row>
    <row r="559" spans="1:9" ht="15" thickBot="1" x14ac:dyDescent="0.35">
      <c r="A559" s="130">
        <v>42834</v>
      </c>
      <c r="B559" s="129">
        <v>244.73611109999999</v>
      </c>
      <c r="C559" s="131">
        <v>-5.1548545120000001E-3</v>
      </c>
      <c r="D559" s="128"/>
      <c r="E559" s="128"/>
      <c r="F559" s="128"/>
      <c r="G559" s="128"/>
      <c r="H559" s="128"/>
      <c r="I559" s="128"/>
    </row>
    <row r="560" spans="1:9" ht="15" thickBot="1" x14ac:dyDescent="0.35">
      <c r="A560" s="130">
        <v>42978</v>
      </c>
      <c r="B560" s="129">
        <v>246.00422710000001</v>
      </c>
      <c r="C560" s="131">
        <v>4.933606125E-3</v>
      </c>
      <c r="D560" s="128"/>
      <c r="E560" s="128"/>
      <c r="F560" s="128"/>
      <c r="G560" s="128"/>
      <c r="H560" s="128"/>
      <c r="I560" s="128"/>
    </row>
    <row r="561" spans="1:9" ht="15" thickBot="1" x14ac:dyDescent="0.35">
      <c r="A561" s="130">
        <v>42977</v>
      </c>
      <c r="B561" s="129">
        <v>244.79649760000001</v>
      </c>
      <c r="C561" s="131">
        <v>-5.8854829579999997E-3</v>
      </c>
      <c r="D561" s="128"/>
      <c r="E561" s="128"/>
      <c r="F561" s="128"/>
      <c r="G561" s="128"/>
      <c r="H561" s="128"/>
      <c r="I561" s="128"/>
    </row>
    <row r="562" spans="1:9" ht="15" thickBot="1" x14ac:dyDescent="0.35">
      <c r="A562" s="130">
        <v>42976</v>
      </c>
      <c r="B562" s="129">
        <v>246.24577289999999</v>
      </c>
      <c r="C562" s="131">
        <v>2.7048093660000001E-3</v>
      </c>
      <c r="D562" s="128"/>
      <c r="E562" s="128"/>
      <c r="F562" s="128"/>
      <c r="G562" s="128"/>
      <c r="H562" s="128"/>
      <c r="I562" s="128"/>
    </row>
    <row r="563" spans="1:9" ht="15" thickBot="1" x14ac:dyDescent="0.35">
      <c r="A563" s="130">
        <v>42975</v>
      </c>
      <c r="B563" s="129">
        <v>245.5815217</v>
      </c>
      <c r="C563" s="131">
        <v>-6.352572634E-3</v>
      </c>
      <c r="D563" s="128"/>
      <c r="E563" s="128"/>
      <c r="F563" s="128"/>
      <c r="G563" s="128"/>
      <c r="H563" s="128"/>
      <c r="I563" s="128"/>
    </row>
    <row r="564" spans="1:9" ht="15" thickBot="1" x14ac:dyDescent="0.35">
      <c r="A564" s="130">
        <v>42974</v>
      </c>
      <c r="B564" s="129">
        <v>247.15156999999999</v>
      </c>
      <c r="C564" s="131">
        <v>-5.3465152620000003E-3</v>
      </c>
      <c r="D564" s="128"/>
      <c r="E564" s="128"/>
      <c r="F564" s="128"/>
      <c r="G564" s="128"/>
      <c r="H564" s="128"/>
      <c r="I564" s="128"/>
    </row>
    <row r="565" spans="1:9" ht="15" thickBot="1" x14ac:dyDescent="0.35">
      <c r="A565" s="130">
        <v>42971</v>
      </c>
      <c r="B565" s="129">
        <v>248.48007250000001</v>
      </c>
      <c r="C565" s="131">
        <v>1.5297952490000001E-2</v>
      </c>
      <c r="D565" s="128"/>
      <c r="E565" s="128"/>
      <c r="F565" s="128"/>
      <c r="G565" s="128"/>
      <c r="H565" s="128"/>
      <c r="I565" s="128"/>
    </row>
    <row r="566" spans="1:9" ht="15" thickBot="1" x14ac:dyDescent="0.35">
      <c r="A566" s="130">
        <v>42970</v>
      </c>
      <c r="B566" s="129">
        <v>244.73611109999999</v>
      </c>
      <c r="C566" s="131">
        <v>7.4077175190000004E-4</v>
      </c>
      <c r="D566" s="128"/>
      <c r="E566" s="128"/>
      <c r="F566" s="128"/>
      <c r="G566" s="128"/>
      <c r="H566" s="128"/>
      <c r="I566" s="128"/>
    </row>
    <row r="567" spans="1:9" ht="15" thickBot="1" x14ac:dyDescent="0.35">
      <c r="A567" s="130">
        <v>42969</v>
      </c>
      <c r="B567" s="129">
        <v>244.5549517</v>
      </c>
      <c r="C567" s="131">
        <v>-1.555727874E-2</v>
      </c>
      <c r="D567" s="128"/>
      <c r="E567" s="128"/>
      <c r="F567" s="128"/>
      <c r="G567" s="128"/>
      <c r="H567" s="128"/>
      <c r="I567" s="128"/>
    </row>
    <row r="568" spans="1:9" ht="15" thickBot="1" x14ac:dyDescent="0.35">
      <c r="A568" s="130">
        <v>42968</v>
      </c>
      <c r="B568" s="129">
        <v>248.41968600000001</v>
      </c>
      <c r="C568" s="131">
        <v>-4.3564230960000004E-3</v>
      </c>
      <c r="D568" s="128"/>
      <c r="E568" s="128"/>
      <c r="F568" s="128"/>
      <c r="G568" s="128"/>
      <c r="H568" s="128"/>
      <c r="I568" s="128"/>
    </row>
    <row r="569" spans="1:9" ht="15" thickBot="1" x14ac:dyDescent="0.35">
      <c r="A569" s="130">
        <v>42967</v>
      </c>
      <c r="B569" s="129">
        <v>249.5066425</v>
      </c>
      <c r="C569" s="131">
        <v>2.1829663099999998E-3</v>
      </c>
      <c r="D569" s="128"/>
      <c r="E569" s="128"/>
      <c r="F569" s="128"/>
      <c r="G569" s="128"/>
      <c r="H569" s="128"/>
      <c r="I569" s="128"/>
    </row>
    <row r="570" spans="1:9" ht="15" thickBot="1" x14ac:dyDescent="0.35">
      <c r="A570" s="130">
        <v>42964</v>
      </c>
      <c r="B570" s="129">
        <v>248.96316429999999</v>
      </c>
      <c r="C570" s="131">
        <v>2.7924395019999999E-2</v>
      </c>
      <c r="D570" s="128"/>
      <c r="E570" s="128"/>
      <c r="F570" s="128"/>
      <c r="G570" s="128"/>
      <c r="H570" s="128"/>
      <c r="I570" s="128"/>
    </row>
    <row r="571" spans="1:9" ht="15" thickBot="1" x14ac:dyDescent="0.35">
      <c r="A571" s="130">
        <v>42963</v>
      </c>
      <c r="B571" s="129">
        <v>242.1998792</v>
      </c>
      <c r="C571" s="131">
        <v>-1.2450727610000001E-3</v>
      </c>
      <c r="D571" s="128"/>
      <c r="E571" s="128"/>
      <c r="F571" s="128"/>
      <c r="G571" s="128"/>
      <c r="H571" s="128"/>
      <c r="I571" s="128"/>
    </row>
    <row r="572" spans="1:9" ht="15" thickBot="1" x14ac:dyDescent="0.35">
      <c r="A572" s="130">
        <v>42960</v>
      </c>
      <c r="B572" s="129">
        <v>242.5018116</v>
      </c>
      <c r="C572" s="131">
        <v>-6.6784901379999999E-3</v>
      </c>
      <c r="D572" s="128"/>
      <c r="E572" s="128"/>
      <c r="F572" s="128"/>
      <c r="G572" s="128"/>
      <c r="H572" s="128"/>
      <c r="I572" s="128"/>
    </row>
    <row r="573" spans="1:9" ht="15" thickBot="1" x14ac:dyDescent="0.35">
      <c r="A573" s="130">
        <v>43016</v>
      </c>
      <c r="B573" s="129">
        <v>244.13224640000001</v>
      </c>
      <c r="C573" s="131">
        <v>-6.8782039719999999E-3</v>
      </c>
      <c r="D573" s="128"/>
      <c r="E573" s="128"/>
      <c r="F573" s="128"/>
      <c r="G573" s="128"/>
      <c r="H573" s="128"/>
      <c r="I573" s="128"/>
    </row>
    <row r="574" spans="1:9" ht="15" thickBot="1" x14ac:dyDescent="0.35">
      <c r="A574" s="130">
        <v>42986</v>
      </c>
      <c r="B574" s="129">
        <v>245.8230676</v>
      </c>
      <c r="C574" s="131">
        <v>-3.6712246910000001E-3</v>
      </c>
      <c r="D574" s="128"/>
      <c r="E574" s="128"/>
      <c r="F574" s="128"/>
      <c r="G574" s="128"/>
      <c r="H574" s="128"/>
      <c r="I574" s="128"/>
    </row>
    <row r="575" spans="1:9" ht="15" thickBot="1" x14ac:dyDescent="0.35">
      <c r="A575" s="130">
        <v>42955</v>
      </c>
      <c r="B575" s="129">
        <v>246.7288647</v>
      </c>
      <c r="C575" s="131">
        <v>2.0225577420000002E-2</v>
      </c>
      <c r="D575" s="128"/>
      <c r="E575" s="128"/>
      <c r="F575" s="128"/>
      <c r="G575" s="128"/>
      <c r="H575" s="128"/>
      <c r="I575" s="128"/>
    </row>
    <row r="576" spans="1:9" ht="15" thickBot="1" x14ac:dyDescent="0.35">
      <c r="A576" s="130">
        <v>42924</v>
      </c>
      <c r="B576" s="129">
        <v>241.8375604</v>
      </c>
      <c r="C576" s="131">
        <v>-1.9936055620000002E-3</v>
      </c>
      <c r="D576" s="128"/>
      <c r="E576" s="128"/>
      <c r="F576" s="128"/>
      <c r="G576" s="128"/>
      <c r="H576" s="128"/>
      <c r="I576" s="128"/>
    </row>
    <row r="577" spans="1:9" ht="15" thickBot="1" x14ac:dyDescent="0.35">
      <c r="A577" s="130">
        <v>42894</v>
      </c>
      <c r="B577" s="129">
        <v>242.32065220000001</v>
      </c>
      <c r="C577" s="131">
        <v>7.4816130939999999E-4</v>
      </c>
      <c r="D577" s="128"/>
      <c r="E577" s="128"/>
      <c r="F577" s="128"/>
      <c r="G577" s="128"/>
      <c r="H577" s="128"/>
      <c r="I577" s="128"/>
    </row>
    <row r="578" spans="1:9" ht="15" thickBot="1" x14ac:dyDescent="0.35">
      <c r="A578" s="130">
        <v>42802</v>
      </c>
      <c r="B578" s="129">
        <v>242.1394928</v>
      </c>
      <c r="C578" s="131">
        <v>1.4985653699999999E-3</v>
      </c>
      <c r="D578" s="128"/>
      <c r="E578" s="128"/>
      <c r="F578" s="128"/>
      <c r="G578" s="128"/>
      <c r="H578" s="128"/>
      <c r="I578" s="128"/>
    </row>
    <row r="579" spans="1:9" ht="15" thickBot="1" x14ac:dyDescent="0.35">
      <c r="A579" s="130">
        <v>42774</v>
      </c>
      <c r="B579" s="129">
        <v>241.77717390000001</v>
      </c>
      <c r="C579" s="131">
        <v>2.4982336000000001E-4</v>
      </c>
      <c r="D579" s="128"/>
      <c r="E579" s="128"/>
      <c r="F579" s="128"/>
      <c r="G579" s="128"/>
      <c r="H579" s="128"/>
      <c r="I579" s="128"/>
    </row>
    <row r="580" spans="1:9" ht="15" thickBot="1" x14ac:dyDescent="0.35">
      <c r="A580" s="130">
        <v>42743</v>
      </c>
      <c r="B580" s="129">
        <v>241.71678739999999</v>
      </c>
      <c r="C580" s="131">
        <v>-4.9939719790000005E-4</v>
      </c>
      <c r="D580" s="128"/>
      <c r="E580" s="128"/>
      <c r="F580" s="128"/>
      <c r="G580" s="128"/>
      <c r="H580" s="128"/>
      <c r="I580" s="128"/>
    </row>
    <row r="581" spans="1:9" ht="15" thickBot="1" x14ac:dyDescent="0.35">
      <c r="A581" s="130">
        <v>42947</v>
      </c>
      <c r="B581" s="129">
        <v>241.8375604</v>
      </c>
      <c r="C581" s="131">
        <v>-6.4502843950000003E-3</v>
      </c>
      <c r="D581" s="128"/>
      <c r="E581" s="128"/>
      <c r="F581" s="128"/>
      <c r="G581" s="128"/>
      <c r="H581" s="128"/>
      <c r="I581" s="128"/>
    </row>
    <row r="582" spans="1:9" ht="15" thickBot="1" x14ac:dyDescent="0.35">
      <c r="A582" s="130">
        <v>42946</v>
      </c>
      <c r="B582" s="129">
        <v>243.4076087</v>
      </c>
      <c r="C582" s="131">
        <v>-4.4457286769999998E-3</v>
      </c>
      <c r="D582" s="128"/>
      <c r="E582" s="128"/>
      <c r="F582" s="128"/>
      <c r="G582" s="128"/>
      <c r="H582" s="128"/>
      <c r="I582" s="128"/>
    </row>
    <row r="583" spans="1:9" ht="15" thickBot="1" x14ac:dyDescent="0.35">
      <c r="A583" s="130">
        <v>42943</v>
      </c>
      <c r="B583" s="129">
        <v>244.49456520000001</v>
      </c>
      <c r="C583" s="131">
        <v>0</v>
      </c>
      <c r="D583" s="128"/>
      <c r="E583" s="128"/>
      <c r="F583" s="128"/>
      <c r="G583" s="128"/>
      <c r="H583" s="128"/>
      <c r="I583" s="128"/>
    </row>
    <row r="584" spans="1:9" ht="15" thickBot="1" x14ac:dyDescent="0.35">
      <c r="A584" s="130">
        <v>42942</v>
      </c>
      <c r="B584" s="129">
        <v>244.49456520000001</v>
      </c>
      <c r="C584" s="131">
        <v>-7.3550503339999997E-3</v>
      </c>
      <c r="D584" s="128"/>
      <c r="E584" s="128"/>
      <c r="F584" s="128"/>
      <c r="G584" s="128"/>
      <c r="H584" s="128"/>
      <c r="I584" s="128"/>
    </row>
    <row r="585" spans="1:9" ht="15" thickBot="1" x14ac:dyDescent="0.35">
      <c r="A585" s="130">
        <v>42941</v>
      </c>
      <c r="B585" s="129">
        <v>246.30615940000001</v>
      </c>
      <c r="C585" s="131">
        <v>-1.4688496170000001E-3</v>
      </c>
      <c r="D585" s="128"/>
      <c r="E585" s="128"/>
      <c r="F585" s="128"/>
      <c r="G585" s="128"/>
      <c r="H585" s="128"/>
      <c r="I585" s="128"/>
    </row>
    <row r="586" spans="1:9" ht="15" thickBot="1" x14ac:dyDescent="0.35">
      <c r="A586" s="130">
        <v>42940</v>
      </c>
      <c r="B586" s="129">
        <v>246.6684783</v>
      </c>
      <c r="C586" s="131">
        <v>-9.4572276130000001E-3</v>
      </c>
      <c r="D586" s="128"/>
      <c r="E586" s="128"/>
      <c r="F586" s="128"/>
      <c r="G586" s="128"/>
      <c r="H586" s="128"/>
      <c r="I586" s="128"/>
    </row>
    <row r="587" spans="1:9" ht="15" thickBot="1" x14ac:dyDescent="0.35">
      <c r="A587" s="130">
        <v>42939</v>
      </c>
      <c r="B587" s="129">
        <v>249.02355069999999</v>
      </c>
      <c r="C587" s="131">
        <v>-4.8475116030000001E-4</v>
      </c>
      <c r="D587" s="128"/>
      <c r="E587" s="128"/>
      <c r="F587" s="128"/>
      <c r="G587" s="128"/>
      <c r="H587" s="128"/>
      <c r="I587" s="128"/>
    </row>
    <row r="588" spans="1:9" ht="15" thickBot="1" x14ac:dyDescent="0.35">
      <c r="A588" s="130">
        <v>42936</v>
      </c>
      <c r="B588" s="129">
        <v>249.1443237</v>
      </c>
      <c r="C588" s="131">
        <v>1.9521452589999998E-2</v>
      </c>
      <c r="D588" s="128"/>
      <c r="E588" s="128"/>
      <c r="F588" s="128"/>
      <c r="G588" s="128"/>
      <c r="H588" s="128"/>
      <c r="I588" s="128"/>
    </row>
    <row r="589" spans="1:9" ht="15" thickBot="1" x14ac:dyDescent="0.35">
      <c r="A589" s="130">
        <v>42935</v>
      </c>
      <c r="B589" s="129">
        <v>244.37379229999999</v>
      </c>
      <c r="C589" s="131">
        <v>3.7203949509999998E-3</v>
      </c>
      <c r="D589" s="128"/>
      <c r="E589" s="128"/>
      <c r="F589" s="128"/>
      <c r="G589" s="128"/>
      <c r="H589" s="128"/>
      <c r="I589" s="128"/>
    </row>
    <row r="590" spans="1:9" ht="15" thickBot="1" x14ac:dyDescent="0.35">
      <c r="A590" s="130">
        <v>42934</v>
      </c>
      <c r="B590" s="129">
        <v>243.46799519999999</v>
      </c>
      <c r="C590" s="131">
        <v>3.9842325039999996E-3</v>
      </c>
      <c r="D590" s="128"/>
      <c r="E590" s="128"/>
      <c r="F590" s="128"/>
      <c r="G590" s="128"/>
      <c r="H590" s="128"/>
      <c r="I590" s="128"/>
    </row>
    <row r="591" spans="1:9" ht="15" thickBot="1" x14ac:dyDescent="0.35">
      <c r="A591" s="130">
        <v>42933</v>
      </c>
      <c r="B591" s="129">
        <v>242.5018116</v>
      </c>
      <c r="C591" s="131">
        <v>-7.1696460699999997E-3</v>
      </c>
      <c r="D591" s="128"/>
      <c r="E591" s="128"/>
      <c r="F591" s="128"/>
      <c r="G591" s="128"/>
      <c r="H591" s="128"/>
      <c r="I591" s="128"/>
    </row>
    <row r="592" spans="1:9" ht="15" thickBot="1" x14ac:dyDescent="0.35">
      <c r="A592" s="130">
        <v>42932</v>
      </c>
      <c r="B592" s="129">
        <v>244.25301930000001</v>
      </c>
      <c r="C592" s="131">
        <v>-1.4376814119999999E-2</v>
      </c>
      <c r="D592" s="128"/>
      <c r="E592" s="128"/>
      <c r="F592" s="128"/>
      <c r="G592" s="128"/>
      <c r="H592" s="128"/>
      <c r="I592" s="128"/>
    </row>
    <row r="593" spans="1:9" ht="15" thickBot="1" x14ac:dyDescent="0.35">
      <c r="A593" s="130">
        <v>42929</v>
      </c>
      <c r="B593" s="129">
        <v>247.81582130000001</v>
      </c>
      <c r="C593" s="131">
        <v>1.9881555740000001E-2</v>
      </c>
      <c r="D593" s="128"/>
      <c r="E593" s="128"/>
      <c r="F593" s="128"/>
      <c r="G593" s="128"/>
      <c r="H593" s="128"/>
      <c r="I593" s="128"/>
    </row>
    <row r="594" spans="1:9" ht="15" thickBot="1" x14ac:dyDescent="0.35">
      <c r="A594" s="130">
        <v>43076</v>
      </c>
      <c r="B594" s="129">
        <v>242.98490340000001</v>
      </c>
      <c r="C594" s="131">
        <v>-4.9679177320000002E-4</v>
      </c>
      <c r="D594" s="128"/>
      <c r="E594" s="128"/>
      <c r="F594" s="128"/>
      <c r="G594" s="128"/>
      <c r="H594" s="128"/>
      <c r="I594" s="128"/>
    </row>
    <row r="595" spans="1:9" ht="15" thickBot="1" x14ac:dyDescent="0.35">
      <c r="A595" s="130">
        <v>43046</v>
      </c>
      <c r="B595" s="129">
        <v>243.1056763</v>
      </c>
      <c r="C595" s="131">
        <v>-1.396090463E-2</v>
      </c>
      <c r="D595" s="128"/>
      <c r="E595" s="128"/>
      <c r="F595" s="128"/>
      <c r="G595" s="128"/>
      <c r="H595" s="128"/>
      <c r="I595" s="128"/>
    </row>
    <row r="596" spans="1:9" ht="15" thickBot="1" x14ac:dyDescent="0.35">
      <c r="A596" s="130">
        <v>43015</v>
      </c>
      <c r="B596" s="129">
        <v>246.54770529999999</v>
      </c>
      <c r="C596" s="131">
        <v>9.8067340499999995E-4</v>
      </c>
      <c r="D596" s="128"/>
      <c r="E596" s="128"/>
      <c r="F596" s="128"/>
      <c r="G596" s="128"/>
      <c r="H596" s="128"/>
      <c r="I596" s="128"/>
    </row>
    <row r="597" spans="1:9" ht="15" thickBot="1" x14ac:dyDescent="0.35">
      <c r="A597" s="130">
        <v>42985</v>
      </c>
      <c r="B597" s="129">
        <v>246.30615940000001</v>
      </c>
      <c r="C597" s="131">
        <v>-1.234917682E-2</v>
      </c>
      <c r="D597" s="128"/>
      <c r="E597" s="128"/>
      <c r="F597" s="128"/>
      <c r="G597" s="128"/>
      <c r="H597" s="128"/>
      <c r="I597" s="128"/>
    </row>
    <row r="598" spans="1:9" ht="15" thickBot="1" x14ac:dyDescent="0.35">
      <c r="A598" s="130">
        <v>42893</v>
      </c>
      <c r="B598" s="129">
        <v>249.38586960000001</v>
      </c>
      <c r="C598" s="131">
        <v>-2.656472222E-3</v>
      </c>
      <c r="D598" s="128"/>
      <c r="E598" s="128"/>
      <c r="F598" s="128"/>
      <c r="G598" s="128"/>
      <c r="H598" s="128"/>
      <c r="I598" s="128"/>
    </row>
    <row r="599" spans="1:9" ht="15" thickBot="1" x14ac:dyDescent="0.35">
      <c r="A599" s="130">
        <v>42862</v>
      </c>
      <c r="B599" s="129">
        <v>250.0501208</v>
      </c>
      <c r="C599" s="131">
        <v>5.3413225940000001E-3</v>
      </c>
      <c r="D599" s="128"/>
      <c r="E599" s="128"/>
      <c r="F599" s="128"/>
      <c r="G599" s="128"/>
      <c r="H599" s="128"/>
      <c r="I599" s="128"/>
    </row>
    <row r="600" spans="1:9" ht="15" thickBot="1" x14ac:dyDescent="0.35">
      <c r="A600" s="130">
        <v>42832</v>
      </c>
      <c r="B600" s="129">
        <v>248.72161840000001</v>
      </c>
      <c r="C600" s="131">
        <v>1.7540262670000001E-2</v>
      </c>
      <c r="D600" s="128"/>
      <c r="E600" s="128"/>
      <c r="F600" s="128"/>
      <c r="G600" s="128"/>
      <c r="H600" s="128"/>
      <c r="I600" s="128"/>
    </row>
    <row r="601" spans="1:9" ht="15" thickBot="1" x14ac:dyDescent="0.35">
      <c r="A601" s="130">
        <v>42801</v>
      </c>
      <c r="B601" s="129">
        <v>244.43417869999999</v>
      </c>
      <c r="C601" s="131">
        <v>-4.4271406560000004E-3</v>
      </c>
      <c r="D601" s="128"/>
      <c r="E601" s="128"/>
      <c r="F601" s="128"/>
      <c r="G601" s="128"/>
      <c r="H601" s="128"/>
      <c r="I601" s="128"/>
    </row>
    <row r="602" spans="1:9" ht="15" thickBot="1" x14ac:dyDescent="0.35">
      <c r="A602" s="130">
        <v>42773</v>
      </c>
      <c r="B602" s="129">
        <v>245.5211353</v>
      </c>
      <c r="C602" s="131">
        <v>-1.1187232619999999E-2</v>
      </c>
      <c r="D602" s="128"/>
      <c r="E602" s="128"/>
      <c r="F602" s="128"/>
      <c r="G602" s="128"/>
      <c r="H602" s="128"/>
      <c r="I602" s="128"/>
    </row>
    <row r="603" spans="1:9" ht="15" thickBot="1" x14ac:dyDescent="0.35">
      <c r="A603" s="130">
        <v>42915</v>
      </c>
      <c r="B603" s="129">
        <v>248.298913</v>
      </c>
      <c r="C603" s="131">
        <v>3.316724544E-2</v>
      </c>
      <c r="D603" s="128"/>
      <c r="E603" s="128"/>
      <c r="F603" s="128"/>
      <c r="G603" s="128"/>
      <c r="H603" s="128"/>
      <c r="I603" s="128"/>
    </row>
    <row r="604" spans="1:9" ht="15" thickBot="1" x14ac:dyDescent="0.35">
      <c r="A604" s="130">
        <v>42914</v>
      </c>
      <c r="B604" s="129">
        <v>240.3278986</v>
      </c>
      <c r="C604" s="131">
        <v>7.595264002E-3</v>
      </c>
      <c r="D604" s="128"/>
      <c r="E604" s="128"/>
      <c r="F604" s="128"/>
      <c r="G604" s="128"/>
      <c r="H604" s="128"/>
      <c r="I604" s="128"/>
    </row>
    <row r="605" spans="1:9" ht="15" thickBot="1" x14ac:dyDescent="0.35">
      <c r="A605" s="130">
        <v>42908</v>
      </c>
      <c r="B605" s="129">
        <v>238.5163043</v>
      </c>
      <c r="C605" s="131">
        <v>2.0295138429999998E-3</v>
      </c>
      <c r="D605" s="128"/>
      <c r="E605" s="128"/>
      <c r="F605" s="128"/>
      <c r="G605" s="128"/>
      <c r="H605" s="128"/>
      <c r="I605" s="128"/>
    </row>
    <row r="606" spans="1:9" ht="15" thickBot="1" x14ac:dyDescent="0.35">
      <c r="A606" s="130">
        <v>42907</v>
      </c>
      <c r="B606" s="129">
        <v>238.03321260000001</v>
      </c>
      <c r="C606" s="131">
        <v>-1.266839182E-3</v>
      </c>
      <c r="D606" s="128"/>
      <c r="E606" s="128"/>
      <c r="F606" s="128"/>
      <c r="G606" s="128"/>
      <c r="H606" s="128"/>
      <c r="I606" s="128"/>
    </row>
    <row r="607" spans="1:9" ht="15" thickBot="1" x14ac:dyDescent="0.35">
      <c r="A607" s="130">
        <v>42906</v>
      </c>
      <c r="B607" s="129">
        <v>238.33514489999999</v>
      </c>
      <c r="C607" s="131">
        <v>8.6893629569999992E-3</v>
      </c>
      <c r="D607" s="128"/>
      <c r="E607" s="128"/>
      <c r="F607" s="128"/>
      <c r="G607" s="128"/>
      <c r="H607" s="128"/>
      <c r="I607" s="128"/>
    </row>
    <row r="608" spans="1:9" ht="15" thickBot="1" x14ac:dyDescent="0.35">
      <c r="A608" s="130">
        <v>42905</v>
      </c>
      <c r="B608" s="129">
        <v>236.28200480000001</v>
      </c>
      <c r="C608" s="131">
        <v>5.9128548519999996E-3</v>
      </c>
      <c r="D608" s="128"/>
      <c r="E608" s="128"/>
      <c r="F608" s="128"/>
      <c r="G608" s="128"/>
      <c r="H608" s="128"/>
      <c r="I608" s="128"/>
    </row>
    <row r="609" spans="1:9" ht="15" thickBot="1" x14ac:dyDescent="0.35">
      <c r="A609" s="130">
        <v>42904</v>
      </c>
      <c r="B609" s="129">
        <v>234.8931159</v>
      </c>
      <c r="C609" s="131">
        <v>-1.2440242420000001E-2</v>
      </c>
      <c r="D609" s="128"/>
      <c r="E609" s="128"/>
      <c r="F609" s="128"/>
      <c r="G609" s="128"/>
      <c r="H609" s="128"/>
      <c r="I609" s="128"/>
    </row>
    <row r="610" spans="1:9" ht="15" thickBot="1" x14ac:dyDescent="0.35">
      <c r="A610" s="130">
        <v>42901</v>
      </c>
      <c r="B610" s="129">
        <v>237.85205310000001</v>
      </c>
      <c r="C610" s="131">
        <v>1.1816595819999999E-2</v>
      </c>
      <c r="D610" s="128"/>
      <c r="E610" s="128"/>
      <c r="F610" s="128"/>
      <c r="G610" s="128"/>
      <c r="H610" s="128"/>
      <c r="I610" s="128"/>
    </row>
    <row r="611" spans="1:9" ht="15" thickBot="1" x14ac:dyDescent="0.35">
      <c r="A611" s="130">
        <v>42900</v>
      </c>
      <c r="B611" s="129">
        <v>235.0742754</v>
      </c>
      <c r="C611" s="131">
        <v>1.2860646029999999E-3</v>
      </c>
      <c r="D611" s="128"/>
      <c r="E611" s="128"/>
      <c r="F611" s="128"/>
      <c r="G611" s="128"/>
      <c r="H611" s="128"/>
      <c r="I611" s="128"/>
    </row>
    <row r="612" spans="1:9" ht="15" thickBot="1" x14ac:dyDescent="0.35">
      <c r="A612" s="130">
        <v>42899</v>
      </c>
      <c r="B612" s="129">
        <v>234.77234300000001</v>
      </c>
      <c r="C612" s="131">
        <v>-5.6268430460000001E-3</v>
      </c>
      <c r="D612" s="128"/>
      <c r="E612" s="128"/>
      <c r="F612" s="128"/>
      <c r="G612" s="128"/>
      <c r="H612" s="128"/>
      <c r="I612" s="128"/>
    </row>
    <row r="613" spans="1:9" ht="15" thickBot="1" x14ac:dyDescent="0.35">
      <c r="A613" s="130">
        <v>43075</v>
      </c>
      <c r="B613" s="129">
        <v>236.1008454</v>
      </c>
      <c r="C613" s="131">
        <v>-1.783547647E-2</v>
      </c>
      <c r="D613" s="128"/>
      <c r="E613" s="128"/>
      <c r="F613" s="128"/>
      <c r="G613" s="128"/>
      <c r="H613" s="128"/>
      <c r="I613" s="128"/>
    </row>
    <row r="614" spans="1:9" ht="15" thickBot="1" x14ac:dyDescent="0.35">
      <c r="A614" s="130">
        <v>43045</v>
      </c>
      <c r="B614" s="129">
        <v>240.388285</v>
      </c>
      <c r="C614" s="131">
        <v>3.108139955E-2</v>
      </c>
      <c r="D614" s="128"/>
      <c r="E614" s="128"/>
      <c r="F614" s="128"/>
      <c r="G614" s="128"/>
      <c r="H614" s="128"/>
      <c r="I614" s="128"/>
    </row>
    <row r="615" spans="1:9" ht="15" thickBot="1" x14ac:dyDescent="0.35">
      <c r="A615" s="130">
        <v>42953</v>
      </c>
      <c r="B615" s="129">
        <v>233.14190819999999</v>
      </c>
      <c r="C615" s="131">
        <v>1.0371211859999999E-3</v>
      </c>
      <c r="D615" s="128"/>
      <c r="E615" s="128"/>
      <c r="F615" s="128"/>
      <c r="G615" s="128"/>
      <c r="H615" s="128"/>
      <c r="I615" s="128"/>
    </row>
    <row r="616" spans="1:9" ht="15" thickBot="1" x14ac:dyDescent="0.35">
      <c r="A616" s="130">
        <v>42922</v>
      </c>
      <c r="B616" s="129">
        <v>232.90036230000001</v>
      </c>
      <c r="C616" s="131">
        <v>-1.4563739419999999E-2</v>
      </c>
      <c r="D616" s="128"/>
      <c r="E616" s="128"/>
      <c r="F616" s="128"/>
      <c r="G616" s="128"/>
      <c r="H616" s="128"/>
      <c r="I616" s="128"/>
    </row>
    <row r="617" spans="1:9" ht="15" thickBot="1" x14ac:dyDescent="0.35">
      <c r="A617" s="130">
        <v>42892</v>
      </c>
      <c r="B617" s="129">
        <v>236.3423913</v>
      </c>
      <c r="C617" s="131">
        <v>1.9271686360000002E-2</v>
      </c>
      <c r="D617" s="128"/>
      <c r="E617" s="128"/>
      <c r="F617" s="128"/>
      <c r="G617" s="128"/>
      <c r="H617" s="128"/>
      <c r="I617" s="128"/>
    </row>
    <row r="618" spans="1:9" ht="15" thickBot="1" x14ac:dyDescent="0.35">
      <c r="A618" s="130">
        <v>42861</v>
      </c>
      <c r="B618" s="129">
        <v>231.87379229999999</v>
      </c>
      <c r="C618" s="131">
        <v>-3.6327496379999998E-3</v>
      </c>
      <c r="D618" s="128"/>
      <c r="E618" s="128"/>
      <c r="F618" s="128"/>
      <c r="G618" s="128"/>
      <c r="H618" s="128"/>
      <c r="I618" s="128"/>
    </row>
    <row r="619" spans="1:9" ht="15" thickBot="1" x14ac:dyDescent="0.35">
      <c r="A619" s="130">
        <v>42831</v>
      </c>
      <c r="B619" s="129">
        <v>232.7192029</v>
      </c>
      <c r="C619" s="131">
        <v>1.039006944E-3</v>
      </c>
      <c r="D619" s="128"/>
      <c r="E619" s="128"/>
      <c r="F619" s="128"/>
      <c r="G619" s="128"/>
      <c r="H619" s="128"/>
      <c r="I619" s="128"/>
    </row>
    <row r="620" spans="1:9" ht="15" thickBot="1" x14ac:dyDescent="0.35">
      <c r="A620" s="130">
        <v>42741</v>
      </c>
      <c r="B620" s="129">
        <v>232.47765699999999</v>
      </c>
      <c r="C620" s="131">
        <v>-4.6537721779999998E-3</v>
      </c>
      <c r="D620" s="128"/>
      <c r="E620" s="128"/>
      <c r="F620" s="128"/>
      <c r="G620" s="128"/>
      <c r="H620" s="128"/>
      <c r="I620" s="128"/>
    </row>
    <row r="621" spans="1:9" ht="15" thickBot="1" x14ac:dyDescent="0.35">
      <c r="A621" s="130">
        <v>42886</v>
      </c>
      <c r="B621" s="129">
        <v>233.56461350000001</v>
      </c>
      <c r="C621" s="131">
        <v>1.8699810050000001E-2</v>
      </c>
      <c r="D621" s="128"/>
      <c r="E621" s="128"/>
      <c r="F621" s="128"/>
      <c r="G621" s="128"/>
      <c r="H621" s="128"/>
      <c r="I621" s="128"/>
    </row>
    <row r="622" spans="1:9" ht="15" thickBot="1" x14ac:dyDescent="0.35">
      <c r="A622" s="130">
        <v>42885</v>
      </c>
      <c r="B622" s="129">
        <v>229.27717390000001</v>
      </c>
      <c r="C622" s="131">
        <v>-7.3205869870000004E-3</v>
      </c>
      <c r="D622" s="128"/>
      <c r="E622" s="128"/>
      <c r="F622" s="128"/>
      <c r="G622" s="128"/>
      <c r="H622" s="128"/>
      <c r="I622" s="128"/>
    </row>
    <row r="623" spans="1:9" ht="15" thickBot="1" x14ac:dyDescent="0.35">
      <c r="A623" s="130">
        <v>42884</v>
      </c>
      <c r="B623" s="129">
        <v>230.96799519999999</v>
      </c>
      <c r="C623" s="131">
        <v>-2.0872306379999999E-3</v>
      </c>
      <c r="D623" s="128"/>
      <c r="E623" s="128"/>
      <c r="F623" s="128"/>
      <c r="G623" s="128"/>
      <c r="H623" s="128"/>
      <c r="I623" s="128"/>
    </row>
    <row r="624" spans="1:9" ht="15" thickBot="1" x14ac:dyDescent="0.35">
      <c r="A624" s="130">
        <v>42883</v>
      </c>
      <c r="B624" s="129">
        <v>231.451087</v>
      </c>
      <c r="C624" s="131">
        <v>-1.7684009529999999E-2</v>
      </c>
      <c r="D624" s="128"/>
      <c r="E624" s="128"/>
      <c r="F624" s="128"/>
      <c r="G624" s="128"/>
      <c r="H624" s="128"/>
      <c r="I624" s="128"/>
    </row>
    <row r="625" spans="1:9" ht="15" thickBot="1" x14ac:dyDescent="0.35">
      <c r="A625" s="130">
        <v>42880</v>
      </c>
      <c r="B625" s="129">
        <v>235.61775359999999</v>
      </c>
      <c r="C625" s="131">
        <v>2.5763506799999999E-2</v>
      </c>
      <c r="D625" s="128"/>
      <c r="E625" s="128"/>
      <c r="F625" s="128"/>
      <c r="G625" s="128"/>
      <c r="H625" s="128"/>
      <c r="I625" s="128"/>
    </row>
    <row r="626" spans="1:9" ht="15" thickBot="1" x14ac:dyDescent="0.35">
      <c r="A626" s="130">
        <v>42879</v>
      </c>
      <c r="B626" s="129">
        <v>229.6998792</v>
      </c>
      <c r="C626" s="131">
        <v>-1.040628775E-2</v>
      </c>
      <c r="D626" s="128"/>
      <c r="E626" s="128"/>
      <c r="F626" s="128"/>
      <c r="G626" s="128"/>
      <c r="H626" s="128"/>
      <c r="I626" s="128"/>
    </row>
    <row r="627" spans="1:9" ht="15" thickBot="1" x14ac:dyDescent="0.35">
      <c r="A627" s="130">
        <v>42878</v>
      </c>
      <c r="B627" s="129">
        <v>232.1153382</v>
      </c>
      <c r="C627" s="131">
        <v>-2.5948211080000002E-3</v>
      </c>
      <c r="D627" s="128"/>
      <c r="E627" s="128"/>
      <c r="F627" s="128"/>
      <c r="G627" s="128"/>
      <c r="H627" s="128"/>
      <c r="I627" s="128"/>
    </row>
    <row r="628" spans="1:9" ht="15" thickBot="1" x14ac:dyDescent="0.35">
      <c r="A628" s="130">
        <v>42877</v>
      </c>
      <c r="B628" s="129">
        <v>232.7192029</v>
      </c>
      <c r="C628" s="131">
        <v>-3.3619271470000001E-3</v>
      </c>
      <c r="D628" s="128"/>
      <c r="E628" s="128"/>
      <c r="F628" s="128"/>
      <c r="G628" s="128"/>
      <c r="H628" s="128"/>
      <c r="I628" s="128"/>
    </row>
    <row r="629" spans="1:9" ht="15" thickBot="1" x14ac:dyDescent="0.35">
      <c r="A629" s="130">
        <v>42876</v>
      </c>
      <c r="B629" s="129">
        <v>233.50422710000001</v>
      </c>
      <c r="C629" s="131">
        <v>-1.9772715060000001E-2</v>
      </c>
      <c r="D629" s="128"/>
      <c r="E629" s="128"/>
      <c r="F629" s="128"/>
      <c r="G629" s="128"/>
      <c r="H629" s="128"/>
      <c r="I629" s="128"/>
    </row>
    <row r="630" spans="1:9" ht="15" thickBot="1" x14ac:dyDescent="0.35">
      <c r="A630" s="130">
        <v>42873</v>
      </c>
      <c r="B630" s="129">
        <v>238.214372</v>
      </c>
      <c r="C630" s="131">
        <v>-5.2368220620000003E-2</v>
      </c>
      <c r="D630" s="128"/>
      <c r="E630" s="128"/>
      <c r="F630" s="128"/>
      <c r="G630" s="128"/>
      <c r="H630" s="128"/>
      <c r="I630" s="128"/>
    </row>
    <row r="631" spans="1:9" ht="15" thickBot="1" x14ac:dyDescent="0.35">
      <c r="A631" s="130">
        <v>42872</v>
      </c>
      <c r="B631" s="129">
        <v>251.37862319999999</v>
      </c>
      <c r="C631" s="131">
        <v>6.1180321240000002E-2</v>
      </c>
      <c r="D631" s="128"/>
      <c r="E631" s="128"/>
      <c r="F631" s="128"/>
      <c r="G631" s="128"/>
      <c r="H631" s="128"/>
      <c r="I631" s="128"/>
    </row>
    <row r="632" spans="1:9" ht="15" thickBot="1" x14ac:dyDescent="0.35">
      <c r="A632" s="130">
        <v>42871</v>
      </c>
      <c r="B632" s="129">
        <v>236.88586960000001</v>
      </c>
      <c r="C632" s="131">
        <v>-7.3383722249999997E-3</v>
      </c>
      <c r="D632" s="128"/>
      <c r="E632" s="128"/>
      <c r="F632" s="128"/>
      <c r="G632" s="128"/>
      <c r="H632" s="128"/>
      <c r="I632" s="128"/>
    </row>
    <row r="633" spans="1:9" ht="15" thickBot="1" x14ac:dyDescent="0.35">
      <c r="A633" s="130">
        <v>42870</v>
      </c>
      <c r="B633" s="129">
        <v>238.63707729999999</v>
      </c>
      <c r="C633" s="131">
        <v>1.9871839740000001E-2</v>
      </c>
      <c r="D633" s="128"/>
      <c r="E633" s="128"/>
      <c r="F633" s="128"/>
      <c r="G633" s="128"/>
      <c r="H633" s="128"/>
      <c r="I633" s="128"/>
    </row>
    <row r="634" spans="1:9" ht="15" thickBot="1" x14ac:dyDescent="0.35">
      <c r="A634" s="130">
        <v>42869</v>
      </c>
      <c r="B634" s="129">
        <v>233.9873188</v>
      </c>
      <c r="C634" s="131">
        <v>4.406622168E-3</v>
      </c>
      <c r="D634" s="128"/>
      <c r="E634" s="128"/>
      <c r="F634" s="128"/>
      <c r="G634" s="128"/>
      <c r="H634" s="128"/>
      <c r="I634" s="128"/>
    </row>
    <row r="635" spans="1:9" ht="15" thickBot="1" x14ac:dyDescent="0.35">
      <c r="A635" s="130">
        <v>43044</v>
      </c>
      <c r="B635" s="129">
        <v>232.9607488</v>
      </c>
      <c r="C635" s="131">
        <v>1.526384093E-2</v>
      </c>
      <c r="D635" s="128"/>
      <c r="E635" s="128"/>
      <c r="F635" s="128"/>
      <c r="G635" s="128"/>
      <c r="H635" s="128"/>
      <c r="I635" s="128"/>
    </row>
    <row r="636" spans="1:9" ht="15" thickBot="1" x14ac:dyDescent="0.35">
      <c r="A636" s="130">
        <v>42983</v>
      </c>
      <c r="B636" s="129">
        <v>229.45833329999999</v>
      </c>
      <c r="C636" s="131">
        <v>5.2912429560000003E-3</v>
      </c>
      <c r="D636" s="128"/>
      <c r="E636" s="128"/>
      <c r="F636" s="128"/>
      <c r="G636" s="128"/>
      <c r="H636" s="128"/>
      <c r="I636" s="128"/>
    </row>
    <row r="637" spans="1:9" ht="15" thickBot="1" x14ac:dyDescent="0.35">
      <c r="A637" s="130">
        <v>42952</v>
      </c>
      <c r="B637" s="129">
        <v>228.25060389999999</v>
      </c>
      <c r="C637" s="131">
        <v>6.390065744E-3</v>
      </c>
      <c r="D637" s="128"/>
      <c r="E637" s="128"/>
      <c r="F637" s="128"/>
      <c r="G637" s="128"/>
      <c r="H637" s="128"/>
      <c r="I637" s="128"/>
    </row>
    <row r="638" spans="1:9" ht="15" thickBot="1" x14ac:dyDescent="0.35">
      <c r="A638" s="130">
        <v>42921</v>
      </c>
      <c r="B638" s="129">
        <v>226.80132850000001</v>
      </c>
      <c r="C638" s="131">
        <v>-1.8603018920000001E-3</v>
      </c>
      <c r="D638" s="128"/>
      <c r="E638" s="128"/>
      <c r="F638" s="128"/>
      <c r="G638" s="128"/>
      <c r="H638" s="128"/>
      <c r="I638" s="128"/>
    </row>
    <row r="639" spans="1:9" ht="15" thickBot="1" x14ac:dyDescent="0.35">
      <c r="A639" s="130">
        <v>42830</v>
      </c>
      <c r="B639" s="129">
        <v>227.2240338</v>
      </c>
      <c r="C639" s="131">
        <v>3.4668235880000002E-3</v>
      </c>
      <c r="D639" s="128"/>
      <c r="E639" s="128"/>
      <c r="F639" s="128"/>
      <c r="G639" s="128"/>
      <c r="H639" s="128"/>
      <c r="I639" s="128"/>
    </row>
    <row r="640" spans="1:9" ht="15" thickBot="1" x14ac:dyDescent="0.35">
      <c r="A640" s="130">
        <v>42799</v>
      </c>
      <c r="B640" s="129">
        <v>226.43900970000001</v>
      </c>
      <c r="C640" s="131">
        <v>5.3364236909999999E-4</v>
      </c>
      <c r="D640" s="128"/>
      <c r="E640" s="128"/>
      <c r="F640" s="128"/>
      <c r="G640" s="128"/>
      <c r="H640" s="128"/>
      <c r="I640" s="128"/>
    </row>
    <row r="641" spans="1:9" ht="15" thickBot="1" x14ac:dyDescent="0.35">
      <c r="A641" s="130">
        <v>42771</v>
      </c>
      <c r="B641" s="129">
        <v>226.3182367</v>
      </c>
      <c r="C641" s="131">
        <v>-1.4722003819999999E-2</v>
      </c>
      <c r="D641" s="128"/>
      <c r="E641" s="128"/>
      <c r="F641" s="128"/>
      <c r="G641" s="128"/>
      <c r="H641" s="128"/>
      <c r="I641" s="128"/>
    </row>
    <row r="642" spans="1:9" ht="15" thickBot="1" x14ac:dyDescent="0.35">
      <c r="A642" s="130">
        <v>42855</v>
      </c>
      <c r="B642" s="129">
        <v>229.6998792</v>
      </c>
      <c r="C642" s="131">
        <v>5.551399165E-3</v>
      </c>
      <c r="D642" s="128"/>
      <c r="E642" s="128"/>
      <c r="F642" s="128"/>
      <c r="G642" s="128"/>
      <c r="H642" s="128"/>
      <c r="I642" s="128"/>
    </row>
    <row r="643" spans="1:9" ht="15" thickBot="1" x14ac:dyDescent="0.35">
      <c r="A643" s="130">
        <v>42852</v>
      </c>
      <c r="B643" s="129">
        <v>228.4317633</v>
      </c>
      <c r="C643" s="131">
        <v>1.6662949069999999E-2</v>
      </c>
      <c r="D643" s="128"/>
      <c r="E643" s="128"/>
      <c r="F643" s="128"/>
      <c r="G643" s="128"/>
      <c r="H643" s="128"/>
      <c r="I643" s="128"/>
    </row>
    <row r="644" spans="1:9" ht="15" thickBot="1" x14ac:dyDescent="0.35">
      <c r="A644" s="130">
        <v>42851</v>
      </c>
      <c r="B644" s="129">
        <v>224.68780190000001</v>
      </c>
      <c r="C644" s="131">
        <v>-3.4816798710000001E-3</v>
      </c>
      <c r="D644" s="128"/>
      <c r="E644" s="128"/>
      <c r="F644" s="128"/>
      <c r="G644" s="128"/>
      <c r="H644" s="128"/>
      <c r="I644" s="128"/>
    </row>
    <row r="645" spans="1:9" ht="15" thickBot="1" x14ac:dyDescent="0.35">
      <c r="A645" s="130">
        <v>42850</v>
      </c>
      <c r="B645" s="129">
        <v>225.47282609999999</v>
      </c>
      <c r="C645" s="131">
        <v>8.644373415E-3</v>
      </c>
      <c r="D645" s="128"/>
      <c r="E645" s="128"/>
      <c r="F645" s="128"/>
      <c r="G645" s="128"/>
      <c r="H645" s="128"/>
      <c r="I645" s="128"/>
    </row>
    <row r="646" spans="1:9" ht="15" thickBot="1" x14ac:dyDescent="0.35">
      <c r="A646" s="130">
        <v>42849</v>
      </c>
      <c r="B646" s="129">
        <v>223.5404589</v>
      </c>
      <c r="C646" s="131">
        <v>-4.3035858059999998E-3</v>
      </c>
      <c r="D646" s="128"/>
      <c r="E646" s="128"/>
      <c r="F646" s="128"/>
      <c r="G646" s="128"/>
      <c r="H646" s="128"/>
      <c r="I646" s="128"/>
    </row>
    <row r="647" spans="1:9" ht="15" thickBot="1" x14ac:dyDescent="0.35">
      <c r="A647" s="130">
        <v>42848</v>
      </c>
      <c r="B647" s="129">
        <v>224.5066425</v>
      </c>
      <c r="C647" s="131">
        <v>-5.8826202650000001E-3</v>
      </c>
      <c r="D647" s="128"/>
      <c r="E647" s="128"/>
      <c r="F647" s="128"/>
      <c r="G647" s="128"/>
      <c r="H647" s="128"/>
      <c r="I647" s="128"/>
    </row>
    <row r="648" spans="1:9" ht="15" thickBot="1" x14ac:dyDescent="0.35">
      <c r="A648" s="130">
        <v>42845</v>
      </c>
      <c r="B648" s="129">
        <v>225.83514489999999</v>
      </c>
      <c r="C648" s="131">
        <v>-1.601781443E-3</v>
      </c>
      <c r="D648" s="128"/>
      <c r="E648" s="128"/>
      <c r="F648" s="128"/>
      <c r="G648" s="128"/>
      <c r="H648" s="128"/>
      <c r="I648" s="128"/>
    </row>
    <row r="649" spans="1:9" ht="15" thickBot="1" x14ac:dyDescent="0.35">
      <c r="A649" s="130">
        <v>42844</v>
      </c>
      <c r="B649" s="129">
        <v>226.19746380000001</v>
      </c>
      <c r="C649" s="131">
        <v>-3.7235724849999999E-3</v>
      </c>
      <c r="D649" s="128"/>
      <c r="E649" s="128"/>
      <c r="F649" s="128"/>
      <c r="G649" s="128"/>
      <c r="H649" s="128"/>
      <c r="I649" s="128"/>
    </row>
    <row r="650" spans="1:9" ht="15" thickBot="1" x14ac:dyDescent="0.35">
      <c r="A650" s="130">
        <v>42843</v>
      </c>
      <c r="B650" s="129">
        <v>227.04287439999999</v>
      </c>
      <c r="C650" s="131">
        <v>6.1549495649999997E-3</v>
      </c>
      <c r="D650" s="128"/>
      <c r="E650" s="128"/>
      <c r="F650" s="128"/>
      <c r="G650" s="128"/>
      <c r="H650" s="128"/>
      <c r="I650" s="128"/>
    </row>
    <row r="651" spans="1:9" ht="15" thickBot="1" x14ac:dyDescent="0.35">
      <c r="A651" s="130">
        <v>42842</v>
      </c>
      <c r="B651" s="129">
        <v>225.6539855</v>
      </c>
      <c r="C651" s="131">
        <v>-1.8697429550000001E-3</v>
      </c>
      <c r="D651" s="128"/>
      <c r="E651" s="128"/>
      <c r="F651" s="128"/>
      <c r="G651" s="128"/>
      <c r="H651" s="128"/>
      <c r="I651" s="128"/>
    </row>
    <row r="652" spans="1:9" ht="15" thickBot="1" x14ac:dyDescent="0.35">
      <c r="A652" s="130">
        <v>42841</v>
      </c>
      <c r="B652" s="129">
        <v>226.07669079999999</v>
      </c>
      <c r="C652" s="131">
        <v>-1.057129972E-2</v>
      </c>
      <c r="D652" s="128"/>
      <c r="E652" s="128"/>
      <c r="F652" s="128"/>
      <c r="G652" s="128"/>
      <c r="H652" s="128"/>
      <c r="I652" s="128"/>
    </row>
    <row r="653" spans="1:9" ht="15" thickBot="1" x14ac:dyDescent="0.35">
      <c r="A653" s="130">
        <v>42838</v>
      </c>
      <c r="B653" s="129">
        <v>228.49214979999999</v>
      </c>
      <c r="C653" s="131">
        <v>-3.4239086549999998E-3</v>
      </c>
      <c r="D653" s="128"/>
      <c r="E653" s="128"/>
      <c r="F653" s="128"/>
      <c r="G653" s="128"/>
      <c r="H653" s="128"/>
      <c r="I653" s="128"/>
    </row>
    <row r="654" spans="1:9" ht="15" thickBot="1" x14ac:dyDescent="0.35">
      <c r="A654" s="130">
        <v>43073</v>
      </c>
      <c r="B654" s="129">
        <v>229.27717390000001</v>
      </c>
      <c r="C654" s="131">
        <v>2.6407310149999998E-3</v>
      </c>
      <c r="D654" s="128"/>
      <c r="E654" s="128"/>
      <c r="F654" s="128"/>
      <c r="G654" s="128"/>
      <c r="H654" s="128"/>
      <c r="I654" s="128"/>
    </row>
    <row r="655" spans="1:9" ht="15" thickBot="1" x14ac:dyDescent="0.35">
      <c r="A655" s="130">
        <v>43043</v>
      </c>
      <c r="B655" s="129">
        <v>228.67330920000001</v>
      </c>
      <c r="C655" s="131">
        <v>3.1789511879999999E-3</v>
      </c>
      <c r="D655" s="128"/>
      <c r="E655" s="128"/>
      <c r="F655" s="128"/>
      <c r="G655" s="128"/>
      <c r="H655" s="128"/>
      <c r="I655" s="128"/>
    </row>
    <row r="656" spans="1:9" ht="15" thickBot="1" x14ac:dyDescent="0.35">
      <c r="A656" s="130">
        <v>43012</v>
      </c>
      <c r="B656" s="129">
        <v>227.94867149999999</v>
      </c>
      <c r="C656" s="131">
        <v>-1.7695292299999998E-2</v>
      </c>
      <c r="D656" s="128"/>
      <c r="E656" s="128"/>
      <c r="F656" s="128"/>
      <c r="G656" s="128"/>
      <c r="H656" s="128"/>
      <c r="I656" s="128"/>
    </row>
    <row r="657" spans="1:9" ht="15" thickBot="1" x14ac:dyDescent="0.35">
      <c r="A657" s="130">
        <v>42982</v>
      </c>
      <c r="B657" s="129">
        <v>232.0549517</v>
      </c>
      <c r="C657" s="131">
        <v>1.3182768669999999E-2</v>
      </c>
      <c r="D657" s="128"/>
      <c r="E657" s="128"/>
      <c r="F657" s="128"/>
      <c r="G657" s="128"/>
      <c r="H657" s="128"/>
      <c r="I657" s="128"/>
    </row>
    <row r="658" spans="1:9" ht="15" thickBot="1" x14ac:dyDescent="0.35">
      <c r="A658" s="130">
        <v>42890</v>
      </c>
      <c r="B658" s="129">
        <v>229.035628</v>
      </c>
      <c r="C658" s="131">
        <v>-1.812142936E-2</v>
      </c>
      <c r="D658" s="128"/>
      <c r="E658" s="128"/>
      <c r="F658" s="128"/>
      <c r="G658" s="128"/>
      <c r="H658" s="128"/>
      <c r="I658" s="128"/>
    </row>
    <row r="659" spans="1:9" ht="15" thickBot="1" x14ac:dyDescent="0.35">
      <c r="A659" s="130">
        <v>42859</v>
      </c>
      <c r="B659" s="129">
        <v>233.2626812</v>
      </c>
      <c r="C659" s="131">
        <v>2.2499689230000001E-2</v>
      </c>
      <c r="D659" s="128"/>
      <c r="E659" s="128"/>
      <c r="F659" s="128"/>
      <c r="G659" s="128"/>
      <c r="H659" s="128"/>
      <c r="I659" s="128"/>
    </row>
    <row r="660" spans="1:9" ht="15" thickBot="1" x14ac:dyDescent="0.35">
      <c r="A660" s="130">
        <v>42829</v>
      </c>
      <c r="B660" s="129">
        <v>228.1298309</v>
      </c>
      <c r="C660" s="131">
        <v>1.205519671E-2</v>
      </c>
      <c r="D660" s="128"/>
      <c r="E660" s="128"/>
      <c r="F660" s="128"/>
      <c r="G660" s="128"/>
      <c r="H660" s="128"/>
      <c r="I660" s="128"/>
    </row>
    <row r="661" spans="1:9" ht="15" thickBot="1" x14ac:dyDescent="0.35">
      <c r="A661" s="130">
        <v>42798</v>
      </c>
      <c r="B661" s="129">
        <v>225.4124396</v>
      </c>
      <c r="C661" s="131">
        <v>2.4168662350000001E-3</v>
      </c>
      <c r="D661" s="128"/>
      <c r="E661" s="128"/>
      <c r="F661" s="128"/>
      <c r="G661" s="128"/>
      <c r="H661" s="128"/>
      <c r="I661" s="128"/>
    </row>
    <row r="662" spans="1:9" ht="15" thickBot="1" x14ac:dyDescent="0.35">
      <c r="A662" s="130">
        <v>42770</v>
      </c>
      <c r="B662" s="129">
        <v>224.86896139999999</v>
      </c>
      <c r="C662" s="131">
        <v>1.0753179860000001E-3</v>
      </c>
      <c r="D662" s="128"/>
      <c r="E662" s="128"/>
      <c r="F662" s="128"/>
      <c r="G662" s="128"/>
      <c r="H662" s="128"/>
      <c r="I662" s="128"/>
    </row>
    <row r="663" spans="1:9" ht="15" thickBot="1" x14ac:dyDescent="0.35">
      <c r="A663" s="130">
        <v>42824</v>
      </c>
      <c r="B663" s="129">
        <v>224.62741550000001</v>
      </c>
      <c r="C663" s="131">
        <v>-3.7495010579999999E-3</v>
      </c>
      <c r="D663" s="128"/>
      <c r="E663" s="128"/>
      <c r="F663" s="128"/>
      <c r="G663" s="128"/>
      <c r="H663" s="128"/>
      <c r="I663" s="128"/>
    </row>
    <row r="664" spans="1:9" ht="15" thickBot="1" x14ac:dyDescent="0.35">
      <c r="A664" s="130">
        <v>42823</v>
      </c>
      <c r="B664" s="129">
        <v>225.47282609999999</v>
      </c>
      <c r="C664" s="131">
        <v>3.4938443179999999E-3</v>
      </c>
      <c r="D664" s="128"/>
      <c r="E664" s="128"/>
      <c r="F664" s="128"/>
      <c r="G664" s="128"/>
      <c r="H664" s="128"/>
      <c r="I664" s="128"/>
    </row>
    <row r="665" spans="1:9" ht="15" thickBot="1" x14ac:dyDescent="0.35">
      <c r="A665" s="130">
        <v>42822</v>
      </c>
      <c r="B665" s="129">
        <v>224.68780190000001</v>
      </c>
      <c r="C665" s="131">
        <v>-2.6868514680000001E-4</v>
      </c>
      <c r="D665" s="128"/>
      <c r="E665" s="128"/>
      <c r="F665" s="128"/>
      <c r="G665" s="128"/>
      <c r="H665" s="128"/>
      <c r="I665" s="128"/>
    </row>
    <row r="666" spans="1:9" ht="15" thickBot="1" x14ac:dyDescent="0.35">
      <c r="A666" s="130">
        <v>42821</v>
      </c>
      <c r="B666" s="129">
        <v>224.7481884</v>
      </c>
      <c r="C666" s="131">
        <v>-1.299448663E-2</v>
      </c>
      <c r="D666" s="128"/>
      <c r="E666" s="128"/>
      <c r="F666" s="128"/>
      <c r="G666" s="128"/>
      <c r="H666" s="128"/>
      <c r="I666" s="128"/>
    </row>
    <row r="667" spans="1:9" ht="15" thickBot="1" x14ac:dyDescent="0.35">
      <c r="A667" s="130">
        <v>42817</v>
      </c>
      <c r="B667" s="129">
        <v>227.70712560000001</v>
      </c>
      <c r="C667" s="131">
        <v>0</v>
      </c>
      <c r="D667" s="128"/>
      <c r="E667" s="128"/>
      <c r="F667" s="128"/>
      <c r="G667" s="128"/>
      <c r="H667" s="128"/>
      <c r="I667" s="128"/>
    </row>
    <row r="668" spans="1:9" ht="15" thickBot="1" x14ac:dyDescent="0.35">
      <c r="A668" s="130">
        <v>42816</v>
      </c>
      <c r="B668" s="129">
        <v>227.70712560000001</v>
      </c>
      <c r="C668" s="131">
        <v>-5.3010628080000003E-4</v>
      </c>
      <c r="D668" s="128"/>
      <c r="E668" s="128"/>
      <c r="F668" s="128"/>
      <c r="G668" s="128"/>
      <c r="H668" s="128"/>
      <c r="I668" s="128"/>
    </row>
    <row r="669" spans="1:9" ht="15" thickBot="1" x14ac:dyDescent="0.35">
      <c r="A669" s="130">
        <v>42815</v>
      </c>
      <c r="B669" s="129">
        <v>227.8278986</v>
      </c>
      <c r="C669" s="131">
        <v>-1.204557383E-2</v>
      </c>
      <c r="D669" s="128"/>
      <c r="E669" s="128"/>
      <c r="F669" s="128"/>
      <c r="G669" s="128"/>
      <c r="H669" s="128"/>
      <c r="I669" s="128"/>
    </row>
    <row r="670" spans="1:9" ht="15" thickBot="1" x14ac:dyDescent="0.35">
      <c r="A670" s="130">
        <v>42814</v>
      </c>
      <c r="B670" s="129">
        <v>230.6056763</v>
      </c>
      <c r="C670" s="131">
        <v>3.4158118190000001E-3</v>
      </c>
      <c r="D670" s="128"/>
      <c r="E670" s="128"/>
      <c r="F670" s="128"/>
      <c r="G670" s="128"/>
      <c r="H670" s="128"/>
      <c r="I670" s="128"/>
    </row>
    <row r="671" spans="1:9" ht="15" thickBot="1" x14ac:dyDescent="0.35">
      <c r="A671" s="130">
        <v>42813</v>
      </c>
      <c r="B671" s="129">
        <v>229.82065220000001</v>
      </c>
      <c r="C671" s="131">
        <v>1.062182867E-2</v>
      </c>
      <c r="D671" s="128"/>
      <c r="E671" s="128"/>
      <c r="F671" s="128"/>
      <c r="G671" s="128"/>
      <c r="H671" s="128"/>
      <c r="I671" s="128"/>
    </row>
    <row r="672" spans="1:9" ht="15" thickBot="1" x14ac:dyDescent="0.35">
      <c r="A672" s="130">
        <v>42810</v>
      </c>
      <c r="B672" s="129">
        <v>227.40519320000001</v>
      </c>
      <c r="C672" s="131">
        <v>7.9727217660000005E-4</v>
      </c>
      <c r="D672" s="128"/>
      <c r="E672" s="128"/>
      <c r="F672" s="128"/>
      <c r="G672" s="128"/>
      <c r="H672" s="128"/>
      <c r="I672" s="128"/>
    </row>
    <row r="673" spans="1:9" ht="15" thickBot="1" x14ac:dyDescent="0.35">
      <c r="A673" s="130">
        <v>42809</v>
      </c>
      <c r="B673" s="129">
        <v>227.2240338</v>
      </c>
      <c r="C673" s="131">
        <v>-1.775072246E-2</v>
      </c>
      <c r="D673" s="128"/>
      <c r="E673" s="128"/>
      <c r="F673" s="128"/>
      <c r="G673" s="128"/>
      <c r="H673" s="128"/>
      <c r="I673" s="128"/>
    </row>
    <row r="674" spans="1:9" ht="15" thickBot="1" x14ac:dyDescent="0.35">
      <c r="A674" s="130">
        <v>42808</v>
      </c>
      <c r="B674" s="129">
        <v>231.33031399999999</v>
      </c>
      <c r="C674" s="131">
        <v>5.7760518959999998E-3</v>
      </c>
      <c r="D674" s="128"/>
      <c r="E674" s="128"/>
      <c r="F674" s="128"/>
      <c r="G674" s="128"/>
      <c r="H674" s="128"/>
      <c r="I674" s="128"/>
    </row>
    <row r="675" spans="1:9" ht="15" thickBot="1" x14ac:dyDescent="0.35">
      <c r="A675" s="130">
        <v>42807</v>
      </c>
      <c r="B675" s="129">
        <v>230.0018116</v>
      </c>
      <c r="C675" s="131">
        <v>9.5419086659999999E-3</v>
      </c>
      <c r="D675" s="128"/>
      <c r="E675" s="128"/>
      <c r="F675" s="128"/>
      <c r="G675" s="128"/>
      <c r="H675" s="128"/>
      <c r="I675" s="128"/>
    </row>
    <row r="676" spans="1:9" ht="15" thickBot="1" x14ac:dyDescent="0.35">
      <c r="A676" s="130">
        <v>43072</v>
      </c>
      <c r="B676" s="129">
        <v>227.8278986</v>
      </c>
      <c r="C676" s="131">
        <v>-2.6498246720000002E-4</v>
      </c>
      <c r="D676" s="128"/>
      <c r="E676" s="128"/>
      <c r="F676" s="128"/>
      <c r="G676" s="128"/>
      <c r="H676" s="128"/>
      <c r="I676" s="128"/>
    </row>
    <row r="677" spans="1:9" ht="15" thickBot="1" x14ac:dyDescent="0.35">
      <c r="A677" s="130">
        <v>42981</v>
      </c>
      <c r="B677" s="129">
        <v>227.888285</v>
      </c>
      <c r="C677" s="131">
        <v>2.3905459189999998E-3</v>
      </c>
      <c r="D677" s="128"/>
      <c r="E677" s="128"/>
      <c r="F677" s="128"/>
      <c r="G677" s="128"/>
      <c r="H677" s="128"/>
      <c r="I677" s="128"/>
    </row>
    <row r="678" spans="1:9" ht="15" thickBot="1" x14ac:dyDescent="0.35">
      <c r="A678" s="130">
        <v>42950</v>
      </c>
      <c r="B678" s="129">
        <v>227.34480679999999</v>
      </c>
      <c r="C678" s="131">
        <v>-1.0613373659999999E-3</v>
      </c>
      <c r="D678" s="128"/>
      <c r="E678" s="128"/>
      <c r="F678" s="128"/>
      <c r="G678" s="128"/>
      <c r="H678" s="128"/>
      <c r="I678" s="128"/>
    </row>
    <row r="679" spans="1:9" ht="15" thickBot="1" x14ac:dyDescent="0.35">
      <c r="A679" s="130">
        <v>42919</v>
      </c>
      <c r="B679" s="129">
        <v>227.58635269999999</v>
      </c>
      <c r="C679" s="131">
        <v>-8.1582593799999995E-3</v>
      </c>
      <c r="D679" s="128"/>
      <c r="E679" s="128"/>
      <c r="F679" s="128"/>
      <c r="G679" s="128"/>
      <c r="H679" s="128"/>
      <c r="I679" s="128"/>
    </row>
    <row r="680" spans="1:9" ht="15" thickBot="1" x14ac:dyDescent="0.35">
      <c r="A680" s="130">
        <v>42889</v>
      </c>
      <c r="B680" s="129">
        <v>229.45833329999999</v>
      </c>
      <c r="C680" s="131">
        <v>8.4929519570000004E-3</v>
      </c>
      <c r="D680" s="128"/>
      <c r="E680" s="128"/>
      <c r="F680" s="128"/>
      <c r="G680" s="128"/>
      <c r="H680" s="128"/>
      <c r="I680" s="128"/>
    </row>
    <row r="681" spans="1:9" ht="15" thickBot="1" x14ac:dyDescent="0.35">
      <c r="A681" s="130">
        <v>42858</v>
      </c>
      <c r="B681" s="129">
        <v>227.5259662</v>
      </c>
      <c r="C681" s="131">
        <v>-1.18022571E-2</v>
      </c>
      <c r="D681" s="128"/>
      <c r="E681" s="128"/>
      <c r="F681" s="128"/>
      <c r="G681" s="128"/>
      <c r="H681" s="128"/>
      <c r="I681" s="128"/>
    </row>
    <row r="682" spans="1:9" ht="15" thickBot="1" x14ac:dyDescent="0.35">
      <c r="A682" s="130">
        <v>42769</v>
      </c>
      <c r="B682" s="129">
        <v>230.2433575</v>
      </c>
      <c r="C682" s="131">
        <v>1.576114769E-3</v>
      </c>
      <c r="D682" s="128"/>
      <c r="E682" s="128"/>
      <c r="F682" s="128"/>
      <c r="G682" s="128"/>
      <c r="H682" s="128"/>
      <c r="I682" s="128"/>
    </row>
    <row r="683" spans="1:9" ht="15" thickBot="1" x14ac:dyDescent="0.35">
      <c r="A683" s="130">
        <v>42738</v>
      </c>
      <c r="B683" s="129">
        <v>229.88103860000001</v>
      </c>
      <c r="C683" s="131">
        <v>-1.065535678E-2</v>
      </c>
      <c r="D683" s="128"/>
      <c r="E683" s="128"/>
      <c r="F683" s="128"/>
      <c r="G683" s="128"/>
      <c r="H683" s="128"/>
      <c r="I683" s="128"/>
    </row>
    <row r="684" spans="1:9" ht="15" thickBot="1" x14ac:dyDescent="0.35">
      <c r="A684" s="130">
        <v>42794</v>
      </c>
      <c r="B684" s="129">
        <v>232.3568841</v>
      </c>
      <c r="C684" s="131">
        <v>3.1283973250000002E-3</v>
      </c>
      <c r="D684" s="128"/>
      <c r="E684" s="128"/>
      <c r="F684" s="128"/>
      <c r="G684" s="128"/>
      <c r="H684" s="128"/>
      <c r="I684" s="128"/>
    </row>
    <row r="685" spans="1:9" ht="15" thickBot="1" x14ac:dyDescent="0.35">
      <c r="A685" s="130">
        <v>42793</v>
      </c>
      <c r="B685" s="129">
        <v>231.63224640000001</v>
      </c>
      <c r="C685" s="131">
        <v>6.296188609E-3</v>
      </c>
      <c r="D685" s="128"/>
      <c r="E685" s="128"/>
      <c r="F685" s="128"/>
      <c r="G685" s="128"/>
      <c r="H685" s="128"/>
      <c r="I685" s="128"/>
    </row>
    <row r="686" spans="1:9" ht="15" thickBot="1" x14ac:dyDescent="0.35">
      <c r="A686" s="130">
        <v>42792</v>
      </c>
      <c r="B686" s="129">
        <v>230.18297100000001</v>
      </c>
      <c r="C686" s="131">
        <v>6.3360813350000003E-3</v>
      </c>
      <c r="D686" s="128"/>
      <c r="E686" s="128"/>
      <c r="F686" s="128"/>
      <c r="G686" s="128"/>
      <c r="H686" s="128"/>
      <c r="I686" s="128"/>
    </row>
    <row r="687" spans="1:9" ht="15" thickBot="1" x14ac:dyDescent="0.35">
      <c r="A687" s="130">
        <v>42789</v>
      </c>
      <c r="B687" s="129">
        <v>228.7336957</v>
      </c>
      <c r="C687" s="131">
        <v>-4.2062864959999998E-3</v>
      </c>
      <c r="D687" s="128"/>
      <c r="E687" s="128"/>
      <c r="F687" s="128"/>
      <c r="G687" s="128"/>
      <c r="H687" s="128"/>
      <c r="I687" s="128"/>
    </row>
    <row r="688" spans="1:9" ht="15" thickBot="1" x14ac:dyDescent="0.35">
      <c r="A688" s="130">
        <v>42788</v>
      </c>
      <c r="B688" s="129">
        <v>229.6998792</v>
      </c>
      <c r="C688" s="131">
        <v>-5.4904403480000004E-3</v>
      </c>
      <c r="D688" s="128"/>
      <c r="E688" s="128"/>
      <c r="F688" s="128"/>
      <c r="G688" s="128"/>
      <c r="H688" s="128"/>
      <c r="I688" s="128"/>
    </row>
    <row r="689" spans="1:9" ht="15" thickBot="1" x14ac:dyDescent="0.35">
      <c r="A689" s="130">
        <v>42786</v>
      </c>
      <c r="B689" s="129">
        <v>230.96799519999999</v>
      </c>
      <c r="C689" s="131">
        <v>3.6737406799999999E-3</v>
      </c>
      <c r="D689" s="128"/>
      <c r="E689" s="128"/>
      <c r="F689" s="128"/>
      <c r="G689" s="128"/>
      <c r="H689" s="128"/>
      <c r="I689" s="128"/>
    </row>
    <row r="690" spans="1:9" ht="15" thickBot="1" x14ac:dyDescent="0.35">
      <c r="A690" s="130">
        <v>42785</v>
      </c>
      <c r="B690" s="129">
        <v>230.12258449999999</v>
      </c>
      <c r="C690" s="131">
        <v>-9.1007664140000007E-3</v>
      </c>
      <c r="D690" s="128"/>
      <c r="E690" s="128"/>
      <c r="F690" s="128"/>
      <c r="G690" s="128"/>
      <c r="H690" s="128"/>
      <c r="I690" s="128"/>
    </row>
    <row r="691" spans="1:9" ht="15" thickBot="1" x14ac:dyDescent="0.35">
      <c r="A691" s="130">
        <v>42782</v>
      </c>
      <c r="B691" s="129">
        <v>232.23611109999999</v>
      </c>
      <c r="C691" s="131">
        <v>-2.0758570590000002E-3</v>
      </c>
      <c r="D691" s="128"/>
      <c r="E691" s="128"/>
      <c r="F691" s="128"/>
      <c r="G691" s="128"/>
      <c r="H691" s="128"/>
      <c r="I691" s="128"/>
    </row>
    <row r="692" spans="1:9" ht="15" thickBot="1" x14ac:dyDescent="0.35">
      <c r="A692" s="130">
        <v>42781</v>
      </c>
      <c r="B692" s="129">
        <v>232.7192029</v>
      </c>
      <c r="C692" s="131">
        <v>1.101832985E-2</v>
      </c>
      <c r="D692" s="128"/>
      <c r="E692" s="128"/>
      <c r="F692" s="128"/>
      <c r="G692" s="128"/>
      <c r="H692" s="128"/>
      <c r="I692" s="128"/>
    </row>
    <row r="693" spans="1:9" ht="15" thickBot="1" x14ac:dyDescent="0.35">
      <c r="A693" s="130">
        <v>42780</v>
      </c>
      <c r="B693" s="129">
        <v>230.18297100000001</v>
      </c>
      <c r="C693" s="131">
        <v>0</v>
      </c>
      <c r="D693" s="128"/>
      <c r="E693" s="128"/>
      <c r="F693" s="128"/>
      <c r="G693" s="128"/>
      <c r="H693" s="128"/>
      <c r="I693" s="128"/>
    </row>
    <row r="694" spans="1:9" ht="15" thickBot="1" x14ac:dyDescent="0.35">
      <c r="A694" s="130">
        <v>42779</v>
      </c>
      <c r="B694" s="129">
        <v>230.18297100000001</v>
      </c>
      <c r="C694" s="131">
        <v>1.5765284650000001E-3</v>
      </c>
      <c r="D694" s="128"/>
      <c r="E694" s="128"/>
      <c r="F694" s="128"/>
      <c r="G694" s="128"/>
      <c r="H694" s="128"/>
      <c r="I694" s="128"/>
    </row>
    <row r="695" spans="1:9" ht="15" thickBot="1" x14ac:dyDescent="0.35">
      <c r="A695" s="130">
        <v>43071</v>
      </c>
      <c r="B695" s="129">
        <v>229.82065220000001</v>
      </c>
      <c r="C695" s="131">
        <v>-1.0915243200000001E-2</v>
      </c>
      <c r="D695" s="128"/>
      <c r="E695" s="128"/>
      <c r="F695" s="128"/>
      <c r="G695" s="128"/>
      <c r="H695" s="128"/>
      <c r="I695" s="128"/>
    </row>
    <row r="696" spans="1:9" ht="15" thickBot="1" x14ac:dyDescent="0.35">
      <c r="A696" s="130">
        <v>42980</v>
      </c>
      <c r="B696" s="129">
        <v>232.3568841</v>
      </c>
      <c r="C696" s="131">
        <v>4.6999478560000004E-3</v>
      </c>
      <c r="D696" s="128"/>
      <c r="E696" s="128"/>
      <c r="F696" s="128"/>
      <c r="G696" s="128"/>
      <c r="H696" s="128"/>
      <c r="I696" s="128"/>
    </row>
    <row r="697" spans="1:9" ht="15" thickBot="1" x14ac:dyDescent="0.35">
      <c r="A697" s="130">
        <v>42949</v>
      </c>
      <c r="B697" s="129">
        <v>231.26992749999999</v>
      </c>
      <c r="C697" s="131">
        <v>-1.314151893E-2</v>
      </c>
      <c r="D697" s="128"/>
      <c r="E697" s="128"/>
      <c r="F697" s="128"/>
      <c r="G697" s="128"/>
      <c r="H697" s="128"/>
      <c r="I697" s="128"/>
    </row>
    <row r="698" spans="1:9" ht="15" thickBot="1" x14ac:dyDescent="0.35">
      <c r="A698" s="130">
        <v>42918</v>
      </c>
      <c r="B698" s="129">
        <v>234.34963769999999</v>
      </c>
      <c r="C698" s="131">
        <v>-1.8463110200000001E-2</v>
      </c>
      <c r="D698" s="128"/>
      <c r="E698" s="128"/>
      <c r="F698" s="128"/>
      <c r="G698" s="128"/>
      <c r="H698" s="128"/>
      <c r="I698" s="128"/>
    </row>
    <row r="699" spans="1:9" ht="15" thickBot="1" x14ac:dyDescent="0.35">
      <c r="A699" s="130">
        <v>42888</v>
      </c>
      <c r="B699" s="129">
        <v>238.75785020000001</v>
      </c>
      <c r="C699" s="131">
        <v>-1.3965679700000001E-2</v>
      </c>
      <c r="D699" s="128"/>
      <c r="E699" s="128"/>
      <c r="F699" s="128"/>
      <c r="G699" s="128"/>
      <c r="H699" s="128"/>
      <c r="I699" s="128"/>
    </row>
    <row r="700" spans="1:9" ht="15" thickBot="1" x14ac:dyDescent="0.35">
      <c r="A700" s="130">
        <v>42857</v>
      </c>
      <c r="B700" s="129">
        <v>242.1394928</v>
      </c>
      <c r="C700" s="131">
        <v>1.03305008E-2</v>
      </c>
      <c r="D700" s="128"/>
      <c r="E700" s="128"/>
      <c r="F700" s="128"/>
      <c r="G700" s="128"/>
      <c r="H700" s="128"/>
      <c r="I700" s="128"/>
    </row>
    <row r="701" spans="1:9" ht="15" thickBot="1" x14ac:dyDescent="0.35">
      <c r="A701" s="130">
        <v>42768</v>
      </c>
      <c r="B701" s="129">
        <v>239.66364730000001</v>
      </c>
      <c r="C701" s="131">
        <v>4.50257118E-2</v>
      </c>
      <c r="D701" s="128"/>
      <c r="E701" s="128"/>
      <c r="F701" s="128"/>
      <c r="G701" s="128"/>
      <c r="H701" s="128"/>
      <c r="I701" s="128"/>
    </row>
    <row r="702" spans="1:9" ht="15" thickBot="1" x14ac:dyDescent="0.35">
      <c r="A702" s="130">
        <v>42737</v>
      </c>
      <c r="B702" s="129">
        <v>229.3375604</v>
      </c>
      <c r="C702" s="131">
        <v>1.037556915E-2</v>
      </c>
      <c r="D702" s="128"/>
      <c r="E702" s="128"/>
      <c r="F702" s="128"/>
      <c r="G702" s="128"/>
      <c r="H702" s="128"/>
      <c r="I702" s="128"/>
    </row>
    <row r="703" spans="1:9" ht="15" thickBot="1" x14ac:dyDescent="0.35">
      <c r="A703" s="130">
        <v>42766</v>
      </c>
      <c r="B703" s="129">
        <v>226.9824879</v>
      </c>
      <c r="C703" s="131">
        <v>-1.260891598E-2</v>
      </c>
      <c r="D703" s="128"/>
      <c r="E703" s="128"/>
      <c r="F703" s="128"/>
      <c r="G703" s="128"/>
      <c r="H703" s="128"/>
      <c r="I703" s="128"/>
    </row>
    <row r="704" spans="1:9" ht="15" thickBot="1" x14ac:dyDescent="0.35">
      <c r="A704" s="130">
        <v>42765</v>
      </c>
      <c r="B704" s="129">
        <v>229.88103860000001</v>
      </c>
      <c r="C704" s="131">
        <v>-3.9248213499999997E-3</v>
      </c>
      <c r="D704" s="128"/>
      <c r="E704" s="128"/>
      <c r="F704" s="128"/>
      <c r="G704" s="128"/>
      <c r="H704" s="128"/>
      <c r="I704" s="128"/>
    </row>
    <row r="705" spans="1:9" ht="15" thickBot="1" x14ac:dyDescent="0.35">
      <c r="A705" s="130">
        <v>42764</v>
      </c>
      <c r="B705" s="129">
        <v>230.78683570000001</v>
      </c>
      <c r="C705" s="131">
        <v>6.3193979110000003E-3</v>
      </c>
      <c r="D705" s="128"/>
      <c r="E705" s="128"/>
      <c r="F705" s="128"/>
      <c r="G705" s="128"/>
      <c r="H705" s="128"/>
      <c r="I705" s="128"/>
    </row>
    <row r="706" spans="1:9" ht="15" thickBot="1" x14ac:dyDescent="0.35">
      <c r="A706" s="130">
        <v>42761</v>
      </c>
      <c r="B706" s="129">
        <v>229.3375604</v>
      </c>
      <c r="C706" s="131">
        <v>1.4694763330000001E-2</v>
      </c>
      <c r="D706" s="128"/>
      <c r="E706" s="128"/>
      <c r="F706" s="128"/>
      <c r="G706" s="128"/>
      <c r="H706" s="128"/>
      <c r="I706" s="128"/>
    </row>
    <row r="707" spans="1:9" ht="15" thickBot="1" x14ac:dyDescent="0.35">
      <c r="A707" s="130">
        <v>42760</v>
      </c>
      <c r="B707" s="129">
        <v>226.0163043</v>
      </c>
      <c r="C707" s="131">
        <v>-1.6004996179999999E-3</v>
      </c>
      <c r="D707" s="128"/>
      <c r="E707" s="128"/>
      <c r="F707" s="128"/>
      <c r="G707" s="128"/>
      <c r="H707" s="128"/>
      <c r="I707" s="128"/>
    </row>
    <row r="708" spans="1:9" ht="15" thickBot="1" x14ac:dyDescent="0.35">
      <c r="A708" s="130">
        <v>42759</v>
      </c>
      <c r="B708" s="129">
        <v>226.37862319999999</v>
      </c>
      <c r="C708" s="131">
        <v>-5.3066868279999999E-3</v>
      </c>
      <c r="D708" s="128"/>
      <c r="E708" s="128"/>
      <c r="F708" s="128"/>
      <c r="G708" s="128"/>
      <c r="H708" s="128"/>
      <c r="I708" s="128"/>
    </row>
    <row r="709" spans="1:9" ht="15" thickBot="1" x14ac:dyDescent="0.35">
      <c r="A709" s="130">
        <v>42758</v>
      </c>
      <c r="B709" s="129">
        <v>227.58635269999999</v>
      </c>
      <c r="C709" s="131">
        <v>-6.589646718E-3</v>
      </c>
      <c r="D709" s="128"/>
      <c r="E709" s="128"/>
      <c r="F709" s="128"/>
      <c r="G709" s="128"/>
      <c r="H709" s="128"/>
      <c r="I709" s="128"/>
    </row>
    <row r="710" spans="1:9" ht="15" thickBot="1" x14ac:dyDescent="0.35">
      <c r="A710" s="130">
        <v>42757</v>
      </c>
      <c r="B710" s="129">
        <v>229.0960145</v>
      </c>
      <c r="C710" s="131">
        <v>6.0994529539999997E-3</v>
      </c>
      <c r="D710" s="128"/>
      <c r="E710" s="128"/>
      <c r="F710" s="128"/>
      <c r="G710" s="128"/>
      <c r="H710" s="128"/>
      <c r="I710" s="128"/>
    </row>
    <row r="711" spans="1:9" ht="15" thickBot="1" x14ac:dyDescent="0.35">
      <c r="A711" s="130">
        <v>42754</v>
      </c>
      <c r="B711" s="129">
        <v>227.70712560000001</v>
      </c>
      <c r="C711" s="131">
        <v>-1.023667738E-2</v>
      </c>
      <c r="D711" s="128"/>
      <c r="E711" s="128"/>
      <c r="F711" s="128"/>
      <c r="G711" s="128"/>
      <c r="H711" s="128"/>
      <c r="I711" s="128"/>
    </row>
    <row r="712" spans="1:9" ht="15" thickBot="1" x14ac:dyDescent="0.35">
      <c r="A712" s="130">
        <v>42753</v>
      </c>
      <c r="B712" s="129">
        <v>230.06219809999999</v>
      </c>
      <c r="C712" s="131">
        <v>1.168401153E-2</v>
      </c>
      <c r="D712" s="128"/>
      <c r="E712" s="128"/>
      <c r="F712" s="128"/>
      <c r="G712" s="128"/>
      <c r="H712" s="128"/>
      <c r="I712" s="128"/>
    </row>
    <row r="713" spans="1:9" ht="15" thickBot="1" x14ac:dyDescent="0.35">
      <c r="A713" s="130">
        <v>42752</v>
      </c>
      <c r="B713" s="129">
        <v>227.40519320000001</v>
      </c>
      <c r="C713" s="131">
        <v>-1.3259681670000001E-3</v>
      </c>
      <c r="D713" s="128"/>
      <c r="E713" s="128"/>
      <c r="F713" s="128"/>
      <c r="G713" s="128"/>
      <c r="H713" s="128"/>
      <c r="I713" s="128"/>
    </row>
    <row r="714" spans="1:9" ht="15" thickBot="1" x14ac:dyDescent="0.35">
      <c r="A714" s="130">
        <v>42751</v>
      </c>
      <c r="B714" s="129">
        <v>227.70712560000001</v>
      </c>
      <c r="C714" s="131">
        <v>-7.8930128300000006E-3</v>
      </c>
      <c r="D714" s="128"/>
      <c r="E714" s="128"/>
      <c r="F714" s="128"/>
      <c r="G714" s="128"/>
      <c r="H714" s="128"/>
      <c r="I714" s="128"/>
    </row>
    <row r="715" spans="1:9" ht="15" thickBot="1" x14ac:dyDescent="0.35">
      <c r="A715" s="130">
        <v>42750</v>
      </c>
      <c r="B715" s="129">
        <v>229.51871980000001</v>
      </c>
      <c r="C715" s="131">
        <v>-2.363319249E-2</v>
      </c>
      <c r="D715" s="128"/>
      <c r="E715" s="128"/>
      <c r="F715" s="128"/>
      <c r="G715" s="128"/>
      <c r="H715" s="128"/>
      <c r="I715" s="128"/>
    </row>
    <row r="716" spans="1:9" ht="15" thickBot="1" x14ac:dyDescent="0.35">
      <c r="A716" s="130">
        <v>43070</v>
      </c>
      <c r="B716" s="129">
        <v>235.0742754</v>
      </c>
      <c r="C716" s="131">
        <v>-6.1274037860000003E-3</v>
      </c>
      <c r="D716" s="128"/>
      <c r="E716" s="128"/>
      <c r="F716" s="128"/>
      <c r="G716" s="128"/>
      <c r="H716" s="128"/>
      <c r="I716" s="128"/>
    </row>
    <row r="717" spans="1:9" ht="15" thickBot="1" x14ac:dyDescent="0.35">
      <c r="A717" s="130">
        <v>43040</v>
      </c>
      <c r="B717" s="129">
        <v>236.52355069999999</v>
      </c>
      <c r="C717" s="131">
        <v>-1.210644583E-2</v>
      </c>
      <c r="D717" s="128"/>
      <c r="E717" s="128"/>
      <c r="F717" s="128"/>
      <c r="G717" s="128"/>
      <c r="H717" s="128"/>
      <c r="I717" s="128"/>
    </row>
    <row r="718" spans="1:9" ht="15" thickBot="1" x14ac:dyDescent="0.35">
      <c r="A718" s="130">
        <v>43009</v>
      </c>
      <c r="B718" s="129">
        <v>239.4221014</v>
      </c>
      <c r="C718" s="131">
        <v>1.0706555879999999E-2</v>
      </c>
      <c r="D718" s="128"/>
      <c r="E718" s="128"/>
      <c r="F718" s="128"/>
      <c r="G718" s="128"/>
      <c r="H718" s="128"/>
      <c r="I718" s="128"/>
    </row>
    <row r="719" spans="1:9" ht="15" thickBot="1" x14ac:dyDescent="0.35">
      <c r="A719" s="130">
        <v>42979</v>
      </c>
      <c r="B719" s="129">
        <v>236.88586960000001</v>
      </c>
      <c r="C719" s="131">
        <v>1.1082959999999999E-2</v>
      </c>
      <c r="D719" s="128"/>
      <c r="E719" s="128"/>
      <c r="F719" s="128"/>
      <c r="G719" s="128"/>
      <c r="H719" s="128"/>
      <c r="I719" s="128"/>
    </row>
    <row r="720" spans="1:9" ht="15" thickBot="1" x14ac:dyDescent="0.35">
      <c r="A720" s="130">
        <v>42948</v>
      </c>
      <c r="B720" s="129">
        <v>234.2892512</v>
      </c>
      <c r="C720" s="131">
        <v>-4.8732568689999999E-3</v>
      </c>
      <c r="D720" s="128"/>
      <c r="E720" s="128"/>
      <c r="F720" s="128"/>
      <c r="G720" s="128"/>
      <c r="H720" s="128"/>
      <c r="I720" s="128"/>
    </row>
    <row r="721" spans="1:9" ht="15" thickBot="1" x14ac:dyDescent="0.35">
      <c r="A721" s="130">
        <v>42856</v>
      </c>
      <c r="B721" s="129">
        <v>235.4365942</v>
      </c>
      <c r="C721" s="131">
        <v>3.3396680769999999E-2</v>
      </c>
      <c r="D721" s="128"/>
      <c r="E721" s="128"/>
      <c r="F721" s="128"/>
      <c r="G721" s="128"/>
      <c r="H721" s="128"/>
      <c r="I721" s="128"/>
    </row>
    <row r="722" spans="1:9" ht="15" thickBot="1" x14ac:dyDescent="0.35">
      <c r="A722" s="130">
        <v>42826</v>
      </c>
      <c r="B722" s="129">
        <v>227.8278986</v>
      </c>
      <c r="C722" s="131">
        <v>2.9241091520000001E-3</v>
      </c>
      <c r="D722" s="128"/>
      <c r="E722" s="128"/>
      <c r="F722" s="128"/>
      <c r="G722" s="128"/>
      <c r="H722" s="128"/>
      <c r="I722" s="128"/>
    </row>
    <row r="723" spans="1:9" ht="15" thickBot="1" x14ac:dyDescent="0.35">
      <c r="A723" s="130">
        <v>42795</v>
      </c>
      <c r="B723" s="129">
        <v>227.16364730000001</v>
      </c>
      <c r="C723" s="131">
        <v>6.151656674E-3</v>
      </c>
      <c r="D723" s="128"/>
      <c r="E723" s="128"/>
      <c r="F723" s="128"/>
      <c r="G723" s="128"/>
      <c r="H723" s="128"/>
      <c r="I723" s="128"/>
    </row>
    <row r="724" spans="1:9" ht="15" thickBot="1" x14ac:dyDescent="0.35">
      <c r="A724" s="130">
        <v>42767</v>
      </c>
      <c r="B724" s="129">
        <v>225.77475849999999</v>
      </c>
      <c r="C724" s="131">
        <v>7.5454819349999999E-3</v>
      </c>
      <c r="D724" s="128"/>
      <c r="E724" s="128"/>
      <c r="F724" s="128"/>
      <c r="G724" s="128"/>
      <c r="H724" s="128"/>
      <c r="I724" s="128"/>
    </row>
    <row r="725" spans="1:9" ht="15" thickBot="1" x14ac:dyDescent="0.35">
      <c r="A725" s="130">
        <v>42736</v>
      </c>
      <c r="B725" s="129">
        <v>224.08393720000001</v>
      </c>
      <c r="C725" s="131">
        <v>7.8765177940000007E-3</v>
      </c>
      <c r="D725" s="128"/>
      <c r="E725" s="128"/>
      <c r="F725" s="128"/>
      <c r="G725" s="128"/>
      <c r="H725" s="128"/>
      <c r="I725" s="128"/>
    </row>
    <row r="726" spans="1:9" ht="15" thickBot="1" x14ac:dyDescent="0.35">
      <c r="A726" s="130">
        <v>42733</v>
      </c>
      <c r="B726" s="129">
        <v>222.3327295</v>
      </c>
      <c r="C726" s="131">
        <v>3.8169711230000001E-3</v>
      </c>
      <c r="D726" s="128"/>
      <c r="E726" s="128"/>
      <c r="F726" s="128"/>
      <c r="G726" s="128"/>
      <c r="H726" s="128"/>
      <c r="I726" s="128"/>
    </row>
    <row r="727" spans="1:9" ht="15" thickBot="1" x14ac:dyDescent="0.35">
      <c r="A727" s="130">
        <v>42732</v>
      </c>
      <c r="B727" s="129">
        <v>221.4873188</v>
      </c>
      <c r="C727" s="131">
        <v>2.7338611779999999E-3</v>
      </c>
      <c r="D727" s="128"/>
      <c r="E727" s="128"/>
      <c r="F727" s="128"/>
      <c r="G727" s="128"/>
      <c r="H727" s="128"/>
      <c r="I727" s="128"/>
    </row>
    <row r="728" spans="1:9" ht="15" thickBot="1" x14ac:dyDescent="0.35">
      <c r="A728" s="130">
        <v>42731</v>
      </c>
      <c r="B728" s="129">
        <v>220.88345409999999</v>
      </c>
      <c r="C728" s="131">
        <v>7.4363162939999998E-3</v>
      </c>
      <c r="D728" s="128"/>
      <c r="E728" s="128"/>
      <c r="F728" s="128"/>
      <c r="G728" s="128"/>
      <c r="H728" s="128"/>
      <c r="I728" s="128"/>
    </row>
    <row r="729" spans="1:9" ht="15" thickBot="1" x14ac:dyDescent="0.35">
      <c r="A729" s="130">
        <v>42730</v>
      </c>
      <c r="B729" s="129">
        <v>219.25301930000001</v>
      </c>
      <c r="C729" s="131">
        <v>-1.411957644E-2</v>
      </c>
      <c r="D729" s="128"/>
      <c r="E729" s="128"/>
      <c r="F729" s="128"/>
      <c r="G729" s="128"/>
      <c r="H729" s="128"/>
      <c r="I729" s="128"/>
    </row>
    <row r="730" spans="1:9" ht="15" thickBot="1" x14ac:dyDescent="0.35">
      <c r="A730" s="130">
        <v>42726</v>
      </c>
      <c r="B730" s="129">
        <v>222.3931159</v>
      </c>
      <c r="C730" s="131">
        <v>4.0896115629999999E-3</v>
      </c>
      <c r="D730" s="128"/>
      <c r="E730" s="128"/>
      <c r="F730" s="128"/>
      <c r="G730" s="128"/>
      <c r="H730" s="128"/>
      <c r="I730" s="128"/>
    </row>
    <row r="731" spans="1:9" ht="15" thickBot="1" x14ac:dyDescent="0.35">
      <c r="A731" s="130">
        <v>42725</v>
      </c>
      <c r="B731" s="129">
        <v>221.4873188</v>
      </c>
      <c r="C731" s="131">
        <v>1.0917537400000001E-3</v>
      </c>
      <c r="D731" s="128"/>
      <c r="E731" s="128"/>
      <c r="F731" s="128"/>
      <c r="G731" s="128"/>
      <c r="H731" s="128"/>
      <c r="I731" s="128"/>
    </row>
    <row r="732" spans="1:9" ht="15" thickBot="1" x14ac:dyDescent="0.35">
      <c r="A732" s="130">
        <v>42724</v>
      </c>
      <c r="B732" s="129">
        <v>221.24577289999999</v>
      </c>
      <c r="C732" s="131">
        <v>-2.9933361609999999E-3</v>
      </c>
      <c r="D732" s="128"/>
      <c r="E732" s="128"/>
      <c r="F732" s="128"/>
      <c r="G732" s="128"/>
      <c r="H732" s="128"/>
      <c r="I732" s="128"/>
    </row>
    <row r="733" spans="1:9" ht="15" thickBot="1" x14ac:dyDescent="0.35">
      <c r="A733" s="130">
        <v>42723</v>
      </c>
      <c r="B733" s="129">
        <v>221.91002420000001</v>
      </c>
      <c r="C733" s="131">
        <v>-1.4745980210000001E-2</v>
      </c>
      <c r="D733" s="128"/>
      <c r="E733" s="128"/>
      <c r="F733" s="128"/>
      <c r="G733" s="128"/>
      <c r="H733" s="128"/>
      <c r="I733" s="128"/>
    </row>
    <row r="734" spans="1:9" ht="15" thickBot="1" x14ac:dyDescent="0.35">
      <c r="A734" s="130">
        <v>42722</v>
      </c>
      <c r="B734" s="129">
        <v>225.23128019999999</v>
      </c>
      <c r="C734" s="131">
        <v>-6.1287082499999999E-3</v>
      </c>
      <c r="D734" s="128"/>
      <c r="E734" s="128"/>
      <c r="F734" s="128"/>
      <c r="G734" s="128"/>
      <c r="H734" s="128"/>
      <c r="I734" s="128"/>
    </row>
    <row r="735" spans="1:9" ht="15" thickBot="1" x14ac:dyDescent="0.35">
      <c r="A735" s="130">
        <v>42719</v>
      </c>
      <c r="B735" s="129">
        <v>226.6201691</v>
      </c>
      <c r="C735" s="131">
        <v>1.2956059949999999E-2</v>
      </c>
      <c r="D735" s="128"/>
      <c r="E735" s="128"/>
      <c r="F735" s="128"/>
      <c r="G735" s="128"/>
      <c r="H735" s="128"/>
      <c r="I735" s="128"/>
    </row>
    <row r="736" spans="1:9" ht="15" thickBot="1" x14ac:dyDescent="0.35">
      <c r="A736" s="130">
        <v>42718</v>
      </c>
      <c r="B736" s="129">
        <v>223.72161840000001</v>
      </c>
      <c r="C736" s="131">
        <v>-1.3053334870000001E-2</v>
      </c>
      <c r="D736" s="128"/>
      <c r="E736" s="128"/>
      <c r="F736" s="128"/>
      <c r="G736" s="128"/>
      <c r="H736" s="128"/>
      <c r="I736" s="128"/>
    </row>
    <row r="737" spans="1:9" ht="15" thickBot="1" x14ac:dyDescent="0.35">
      <c r="A737" s="130">
        <v>42716</v>
      </c>
      <c r="B737" s="129">
        <v>226.68055559999999</v>
      </c>
      <c r="C737" s="131">
        <v>-2.3918165299999998E-3</v>
      </c>
      <c r="D737" s="128"/>
      <c r="E737" s="128"/>
      <c r="F737" s="128"/>
      <c r="G737" s="128"/>
      <c r="H737" s="128"/>
      <c r="I737" s="128"/>
    </row>
    <row r="738" spans="1:9" ht="15" thickBot="1" x14ac:dyDescent="0.35">
      <c r="A738" s="130">
        <v>42686</v>
      </c>
      <c r="B738" s="129">
        <v>227.2240338</v>
      </c>
      <c r="C738" s="131">
        <v>5.3435503409999998E-3</v>
      </c>
      <c r="D738" s="128"/>
      <c r="E738" s="128"/>
      <c r="F738" s="128"/>
      <c r="G738" s="128"/>
      <c r="H738" s="128"/>
      <c r="I738" s="128"/>
    </row>
    <row r="739" spans="1:9" ht="15" thickBot="1" x14ac:dyDescent="0.35">
      <c r="A739" s="130">
        <v>42594</v>
      </c>
      <c r="B739" s="129">
        <v>226.0163043</v>
      </c>
      <c r="C739" s="131">
        <v>-7.688575881E-3</v>
      </c>
      <c r="D739" s="128"/>
      <c r="E739" s="128"/>
      <c r="F739" s="128"/>
      <c r="G739" s="128"/>
      <c r="H739" s="128"/>
      <c r="I739" s="128"/>
    </row>
    <row r="740" spans="1:9" ht="15" thickBot="1" x14ac:dyDescent="0.35">
      <c r="A740" s="130">
        <v>42563</v>
      </c>
      <c r="B740" s="129">
        <v>227.7675121</v>
      </c>
      <c r="C740" s="131">
        <v>-1.023399075E-2</v>
      </c>
      <c r="D740" s="128"/>
      <c r="E740" s="128"/>
      <c r="F740" s="128"/>
      <c r="G740" s="128"/>
      <c r="H740" s="128"/>
      <c r="I740" s="128"/>
    </row>
    <row r="741" spans="1:9" ht="15" thickBot="1" x14ac:dyDescent="0.35">
      <c r="A741" s="130">
        <v>42533</v>
      </c>
      <c r="B741" s="129">
        <v>230.12258449999999</v>
      </c>
      <c r="C741" s="131">
        <v>-3.5435592100000003E-2</v>
      </c>
      <c r="D741" s="128"/>
      <c r="E741" s="128"/>
      <c r="F741" s="128"/>
      <c r="G741" s="128"/>
      <c r="H741" s="128"/>
      <c r="I741" s="128"/>
    </row>
    <row r="742" spans="1:9" ht="15" thickBot="1" x14ac:dyDescent="0.35">
      <c r="A742" s="130">
        <v>42502</v>
      </c>
      <c r="B742" s="129">
        <v>238.57669079999999</v>
      </c>
      <c r="C742" s="131">
        <v>5.1919282740000003E-2</v>
      </c>
      <c r="D742" s="128"/>
      <c r="E742" s="128"/>
      <c r="F742" s="128"/>
      <c r="G742" s="128"/>
      <c r="H742" s="128"/>
      <c r="I742" s="128"/>
    </row>
    <row r="743" spans="1:9" ht="15" thickBot="1" x14ac:dyDescent="0.35">
      <c r="A743" s="130">
        <v>42472</v>
      </c>
      <c r="B743" s="129">
        <v>226.80132850000001</v>
      </c>
      <c r="C743" s="131">
        <v>-2.8454432910000001E-2</v>
      </c>
      <c r="D743" s="128"/>
      <c r="E743" s="128"/>
      <c r="F743" s="128"/>
      <c r="G743" s="128"/>
      <c r="H743" s="128"/>
      <c r="I743" s="128"/>
    </row>
    <row r="744" spans="1:9" ht="15" thickBot="1" x14ac:dyDescent="0.35">
      <c r="A744" s="130">
        <v>42381</v>
      </c>
      <c r="B744" s="129">
        <v>233.44384059999999</v>
      </c>
      <c r="C744" s="131">
        <v>-1.076658955E-3</v>
      </c>
      <c r="D744" s="128"/>
      <c r="E744" s="128"/>
      <c r="F744" s="128"/>
      <c r="G744" s="128"/>
      <c r="H744" s="128"/>
      <c r="I744" s="128"/>
    </row>
    <row r="745" spans="1:9" ht="15" thickBot="1" x14ac:dyDescent="0.35">
      <c r="A745" s="130">
        <v>42703</v>
      </c>
      <c r="B745" s="129">
        <v>233.6954509</v>
      </c>
      <c r="C745" s="131">
        <v>6.5019565000000003E-3</v>
      </c>
      <c r="D745" s="128"/>
      <c r="E745" s="128"/>
      <c r="F745" s="128"/>
      <c r="G745" s="128"/>
      <c r="H745" s="128"/>
      <c r="I745" s="128"/>
    </row>
    <row r="746" spans="1:9" ht="15" thickBot="1" x14ac:dyDescent="0.35">
      <c r="A746" s="130">
        <v>42702</v>
      </c>
      <c r="B746" s="129">
        <v>232.185789</v>
      </c>
      <c r="C746" s="131">
        <v>1.8318267860000001E-2</v>
      </c>
      <c r="D746" s="128"/>
      <c r="E746" s="128"/>
      <c r="F746" s="128"/>
      <c r="G746" s="128"/>
      <c r="H746" s="128"/>
      <c r="I746" s="128"/>
    </row>
    <row r="747" spans="1:9" ht="15" thickBot="1" x14ac:dyDescent="0.35">
      <c r="A747" s="130">
        <v>42701</v>
      </c>
      <c r="B747" s="129">
        <v>228.00905800000001</v>
      </c>
      <c r="C747" s="131">
        <v>4.4009257199999999E-2</v>
      </c>
      <c r="D747" s="128"/>
      <c r="E747" s="128"/>
      <c r="F747" s="128"/>
      <c r="G747" s="128"/>
      <c r="H747" s="128"/>
      <c r="I747" s="128"/>
    </row>
    <row r="748" spans="1:9" ht="15" thickBot="1" x14ac:dyDescent="0.35">
      <c r="A748" s="130">
        <v>42698</v>
      </c>
      <c r="B748" s="129">
        <v>218.39754429999999</v>
      </c>
      <c r="C748" s="131">
        <v>-1.8099563910000002E-2</v>
      </c>
      <c r="D748" s="128"/>
      <c r="E748" s="128"/>
      <c r="F748" s="128"/>
      <c r="G748" s="128"/>
      <c r="H748" s="128"/>
      <c r="I748" s="128"/>
    </row>
    <row r="749" spans="1:9" ht="15" thickBot="1" x14ac:dyDescent="0.35">
      <c r="A749" s="130">
        <v>42697</v>
      </c>
      <c r="B749" s="129">
        <v>222.42330920000001</v>
      </c>
      <c r="C749" s="131">
        <v>-1.0521612390000001E-2</v>
      </c>
      <c r="D749" s="128"/>
      <c r="E749" s="128"/>
      <c r="F749" s="128"/>
      <c r="G749" s="128"/>
      <c r="H749" s="128"/>
      <c r="I749" s="128"/>
    </row>
    <row r="750" spans="1:9" ht="15" thickBot="1" x14ac:dyDescent="0.35">
      <c r="A750" s="130">
        <v>42696</v>
      </c>
      <c r="B750" s="129">
        <v>224.78844609999999</v>
      </c>
      <c r="C750" s="131">
        <v>-1.341382524E-3</v>
      </c>
      <c r="D750" s="128"/>
      <c r="E750" s="128"/>
      <c r="F750" s="128"/>
      <c r="G750" s="128"/>
      <c r="H750" s="128"/>
      <c r="I750" s="128"/>
    </row>
    <row r="751" spans="1:9" ht="15" thickBot="1" x14ac:dyDescent="0.35">
      <c r="A751" s="130">
        <v>42695</v>
      </c>
      <c r="B751" s="129">
        <v>225.09037839999999</v>
      </c>
      <c r="C751" s="131">
        <v>-2.6755879610000002E-3</v>
      </c>
      <c r="D751" s="128"/>
      <c r="E751" s="128"/>
      <c r="F751" s="128"/>
      <c r="G751" s="128"/>
      <c r="H751" s="128"/>
      <c r="I751" s="128"/>
    </row>
    <row r="752" spans="1:9" ht="15" thickBot="1" x14ac:dyDescent="0.35">
      <c r="A752" s="130">
        <v>42694</v>
      </c>
      <c r="B752" s="129">
        <v>225.69424319999999</v>
      </c>
      <c r="C752" s="131">
        <v>5.9532303270000003E-2</v>
      </c>
      <c r="D752" s="128"/>
      <c r="E752" s="128"/>
      <c r="F752" s="128"/>
      <c r="G752" s="128"/>
      <c r="H752" s="128"/>
      <c r="I752" s="128"/>
    </row>
    <row r="753" spans="1:9" ht="15" thickBot="1" x14ac:dyDescent="0.35">
      <c r="A753" s="130">
        <v>42691</v>
      </c>
      <c r="B753" s="129">
        <v>213.01308370000001</v>
      </c>
      <c r="C753" s="131">
        <v>-8.8972224460000006E-3</v>
      </c>
      <c r="D753" s="128"/>
      <c r="E753" s="128"/>
      <c r="F753" s="128"/>
      <c r="G753" s="128"/>
      <c r="H753" s="128"/>
      <c r="I753" s="128"/>
    </row>
    <row r="754" spans="1:9" ht="15" thickBot="1" x14ac:dyDescent="0.35">
      <c r="A754" s="130">
        <v>42690</v>
      </c>
      <c r="B754" s="129">
        <v>214.92532209999999</v>
      </c>
      <c r="C754" s="131">
        <v>-3.6544133970000003E-2</v>
      </c>
      <c r="D754" s="128"/>
      <c r="E754" s="128"/>
      <c r="F754" s="128"/>
      <c r="G754" s="128"/>
      <c r="H754" s="128"/>
      <c r="I754" s="128"/>
    </row>
    <row r="755" spans="1:9" ht="15" thickBot="1" x14ac:dyDescent="0.35">
      <c r="A755" s="130">
        <v>42689</v>
      </c>
      <c r="B755" s="129">
        <v>223.077496</v>
      </c>
      <c r="C755" s="131">
        <v>1.534586839E-2</v>
      </c>
      <c r="D755" s="128"/>
      <c r="E755" s="128"/>
      <c r="F755" s="128"/>
      <c r="G755" s="128"/>
      <c r="H755" s="128"/>
      <c r="I755" s="128"/>
    </row>
    <row r="756" spans="1:9" ht="15" thickBot="1" x14ac:dyDescent="0.35">
      <c r="A756" s="130">
        <v>42688</v>
      </c>
      <c r="B756" s="129">
        <v>219.7059179</v>
      </c>
      <c r="C756" s="131">
        <v>-7.0272632279999997E-2</v>
      </c>
      <c r="D756" s="128"/>
      <c r="E756" s="128"/>
      <c r="F756" s="128"/>
      <c r="G756" s="128"/>
      <c r="H756" s="128"/>
      <c r="I756" s="128"/>
    </row>
    <row r="757" spans="1:9" ht="15" thickBot="1" x14ac:dyDescent="0.35">
      <c r="A757" s="130">
        <v>42687</v>
      </c>
      <c r="B757" s="129">
        <v>236.31219809999999</v>
      </c>
      <c r="C757" s="131">
        <v>-2.1666684459999998E-2</v>
      </c>
      <c r="D757" s="128"/>
      <c r="E757" s="128"/>
      <c r="F757" s="128"/>
      <c r="G757" s="128"/>
      <c r="H757" s="128"/>
      <c r="I757" s="128"/>
    </row>
    <row r="758" spans="1:9" ht="15" thickBot="1" x14ac:dyDescent="0.35">
      <c r="A758" s="130">
        <v>42654</v>
      </c>
      <c r="B758" s="129">
        <v>241.54569240000001</v>
      </c>
      <c r="C758" s="131">
        <v>8.0594399430000005E-2</v>
      </c>
      <c r="D758" s="128"/>
      <c r="E758" s="128"/>
      <c r="F758" s="128"/>
      <c r="G758" s="128"/>
      <c r="H758" s="128"/>
      <c r="I758" s="128"/>
    </row>
    <row r="759" spans="1:9" ht="15" thickBot="1" x14ac:dyDescent="0.35">
      <c r="A759" s="130">
        <v>42624</v>
      </c>
      <c r="B759" s="129">
        <v>223.5303945</v>
      </c>
      <c r="C759" s="131">
        <v>7.8679046670000002E-2</v>
      </c>
      <c r="D759" s="128"/>
      <c r="E759" s="128"/>
      <c r="F759" s="128"/>
      <c r="G759" s="128"/>
      <c r="H759" s="128"/>
      <c r="I759" s="128"/>
    </row>
    <row r="760" spans="1:9" ht="15" thickBot="1" x14ac:dyDescent="0.35">
      <c r="A760" s="130">
        <v>42593</v>
      </c>
      <c r="B760" s="129">
        <v>207.22604670000001</v>
      </c>
      <c r="C760" s="131">
        <v>-1.175907057E-2</v>
      </c>
      <c r="D760" s="128"/>
      <c r="E760" s="128"/>
      <c r="F760" s="128"/>
      <c r="G760" s="128"/>
      <c r="H760" s="128"/>
      <c r="I760" s="128"/>
    </row>
    <row r="761" spans="1:9" ht="15" thickBot="1" x14ac:dyDescent="0.35">
      <c r="A761" s="130">
        <v>42562</v>
      </c>
      <c r="B761" s="129">
        <v>209.6918277</v>
      </c>
      <c r="C761" s="131">
        <v>6.9558593069999994E-2</v>
      </c>
      <c r="D761" s="128"/>
      <c r="E761" s="128"/>
      <c r="F761" s="128"/>
      <c r="G761" s="128"/>
      <c r="H761" s="128"/>
      <c r="I761" s="128"/>
    </row>
    <row r="762" spans="1:9" ht="15" thickBot="1" x14ac:dyDescent="0.35">
      <c r="A762" s="130">
        <v>42532</v>
      </c>
      <c r="B762" s="129">
        <v>196.0545491</v>
      </c>
      <c r="C762" s="131">
        <v>3.5344177679999998E-2</v>
      </c>
      <c r="D762" s="128"/>
      <c r="E762" s="128"/>
      <c r="F762" s="128"/>
      <c r="G762" s="128"/>
      <c r="H762" s="128"/>
      <c r="I762" s="128"/>
    </row>
    <row r="763" spans="1:9" ht="15" thickBot="1" x14ac:dyDescent="0.35">
      <c r="A763" s="130">
        <v>42440</v>
      </c>
      <c r="B763" s="129">
        <v>189.361715</v>
      </c>
      <c r="C763" s="131">
        <v>2.3667054999999999E-2</v>
      </c>
      <c r="D763" s="128"/>
      <c r="E763" s="128"/>
      <c r="F763" s="128"/>
      <c r="G763" s="128"/>
      <c r="H763" s="128"/>
      <c r="I763" s="128"/>
    </row>
    <row r="764" spans="1:9" ht="15" thickBot="1" x14ac:dyDescent="0.35">
      <c r="A764" s="130">
        <v>42411</v>
      </c>
      <c r="B764" s="129">
        <v>184.9836957</v>
      </c>
      <c r="C764" s="131">
        <v>-1.894851212E-2</v>
      </c>
      <c r="D764" s="128"/>
      <c r="E764" s="128"/>
      <c r="F764" s="128"/>
      <c r="G764" s="128"/>
      <c r="H764" s="128"/>
      <c r="I764" s="128"/>
    </row>
    <row r="765" spans="1:9" ht="15" thickBot="1" x14ac:dyDescent="0.35">
      <c r="A765" s="130">
        <v>42380</v>
      </c>
      <c r="B765" s="129">
        <v>188.55656200000001</v>
      </c>
      <c r="C765" s="131">
        <v>4.577175059E-2</v>
      </c>
      <c r="D765" s="128"/>
      <c r="E765" s="128"/>
      <c r="F765" s="128"/>
      <c r="G765" s="128"/>
      <c r="H765" s="128"/>
      <c r="I765" s="128"/>
    </row>
    <row r="766" spans="1:9" ht="15" thickBot="1" x14ac:dyDescent="0.35">
      <c r="A766" s="130">
        <v>42674</v>
      </c>
      <c r="B766" s="129">
        <v>180.30374399999999</v>
      </c>
      <c r="C766" s="131">
        <v>2.237764799E-3</v>
      </c>
      <c r="D766" s="128"/>
      <c r="E766" s="128"/>
      <c r="F766" s="128"/>
      <c r="G766" s="128"/>
      <c r="H766" s="128"/>
      <c r="I766" s="128"/>
    </row>
    <row r="767" spans="1:9" ht="15" thickBot="1" x14ac:dyDescent="0.35">
      <c r="A767" s="130">
        <v>42673</v>
      </c>
      <c r="B767" s="129">
        <v>179.90116750000001</v>
      </c>
      <c r="C767" s="131">
        <v>-1.7587268489999999E-2</v>
      </c>
      <c r="D767" s="128"/>
      <c r="E767" s="128"/>
      <c r="F767" s="128"/>
      <c r="G767" s="128"/>
      <c r="H767" s="128"/>
      <c r="I767" s="128"/>
    </row>
    <row r="768" spans="1:9" ht="15" thickBot="1" x14ac:dyDescent="0.35">
      <c r="A768" s="130">
        <v>42670</v>
      </c>
      <c r="B768" s="129">
        <v>183.12177940000001</v>
      </c>
      <c r="C768" s="131">
        <v>-4.6498954600000001E-3</v>
      </c>
      <c r="D768" s="128"/>
      <c r="E768" s="128"/>
      <c r="F768" s="128"/>
      <c r="G768" s="128"/>
      <c r="H768" s="128"/>
      <c r="I768" s="128"/>
    </row>
    <row r="769" spans="1:9" ht="15" thickBot="1" x14ac:dyDescent="0.35">
      <c r="A769" s="130">
        <v>42669</v>
      </c>
      <c r="B769" s="129">
        <v>183.97725439999999</v>
      </c>
      <c r="C769" s="131">
        <v>-1.69400561E-2</v>
      </c>
      <c r="D769" s="128"/>
      <c r="E769" s="128"/>
      <c r="F769" s="128"/>
      <c r="G769" s="128"/>
      <c r="H769" s="128"/>
      <c r="I769" s="128"/>
    </row>
    <row r="770" spans="1:9" ht="15" thickBot="1" x14ac:dyDescent="0.35">
      <c r="A770" s="130">
        <v>42668</v>
      </c>
      <c r="B770" s="129">
        <v>187.14754429999999</v>
      </c>
      <c r="C770" s="131">
        <v>2.2546079140000001E-2</v>
      </c>
      <c r="D770" s="128"/>
      <c r="E770" s="128"/>
      <c r="F770" s="128"/>
      <c r="G770" s="128"/>
      <c r="H770" s="128"/>
      <c r="I770" s="128"/>
    </row>
    <row r="771" spans="1:9" ht="15" thickBot="1" x14ac:dyDescent="0.35">
      <c r="A771" s="130">
        <v>42667</v>
      </c>
      <c r="B771" s="129">
        <v>183.0211353</v>
      </c>
      <c r="C771" s="131">
        <v>0</v>
      </c>
      <c r="D771" s="128"/>
      <c r="E771" s="128"/>
      <c r="F771" s="128"/>
      <c r="G771" s="128"/>
      <c r="H771" s="128"/>
      <c r="I771" s="128"/>
    </row>
    <row r="772" spans="1:9" ht="15" thickBot="1" x14ac:dyDescent="0.35">
      <c r="A772" s="130">
        <v>42666</v>
      </c>
      <c r="B772" s="129">
        <v>183.0211353</v>
      </c>
      <c r="C772" s="131">
        <v>-1.0609369610000001E-2</v>
      </c>
      <c r="D772" s="128"/>
      <c r="E772" s="128"/>
      <c r="F772" s="128"/>
      <c r="G772" s="128"/>
      <c r="H772" s="128"/>
      <c r="I772" s="128"/>
    </row>
    <row r="773" spans="1:9" ht="15" thickBot="1" x14ac:dyDescent="0.35">
      <c r="A773" s="130">
        <v>42663</v>
      </c>
      <c r="B773" s="129">
        <v>184.9836957</v>
      </c>
      <c r="C773" s="131">
        <v>-1.0869574610000001E-3</v>
      </c>
      <c r="D773" s="128"/>
      <c r="E773" s="128"/>
      <c r="F773" s="128"/>
      <c r="G773" s="128"/>
      <c r="H773" s="128"/>
      <c r="I773" s="128"/>
    </row>
    <row r="774" spans="1:9" ht="15" thickBot="1" x14ac:dyDescent="0.35">
      <c r="A774" s="130">
        <v>42662</v>
      </c>
      <c r="B774" s="129">
        <v>185.18498389999999</v>
      </c>
      <c r="C774" s="131">
        <v>-9.9542750940000008E-3</v>
      </c>
      <c r="D774" s="128"/>
      <c r="E774" s="128"/>
      <c r="F774" s="128"/>
      <c r="G774" s="128"/>
      <c r="H774" s="128"/>
      <c r="I774" s="128"/>
    </row>
    <row r="775" spans="1:9" ht="15" thickBot="1" x14ac:dyDescent="0.35">
      <c r="A775" s="130">
        <v>42661</v>
      </c>
      <c r="B775" s="129">
        <v>187.04690020000001</v>
      </c>
      <c r="C775" s="131">
        <v>4.0518686769999996E-3</v>
      </c>
      <c r="D775" s="128"/>
      <c r="E775" s="128"/>
      <c r="F775" s="128"/>
      <c r="G775" s="128"/>
      <c r="H775" s="128"/>
      <c r="I775" s="128"/>
    </row>
    <row r="776" spans="1:9" ht="15" thickBot="1" x14ac:dyDescent="0.35">
      <c r="A776" s="130">
        <v>42660</v>
      </c>
      <c r="B776" s="129">
        <v>186.29206919999999</v>
      </c>
      <c r="C776" s="131">
        <v>-5.0769283259999999E-2</v>
      </c>
      <c r="D776" s="128"/>
      <c r="E776" s="128"/>
      <c r="F776" s="128"/>
      <c r="G776" s="128"/>
      <c r="H776" s="128"/>
      <c r="I776" s="128"/>
    </row>
    <row r="777" spans="1:9" ht="15" thickBot="1" x14ac:dyDescent="0.35">
      <c r="A777" s="130">
        <v>42659</v>
      </c>
      <c r="B777" s="129">
        <v>196.25583739999999</v>
      </c>
      <c r="C777" s="131">
        <v>6.7114163710000002E-3</v>
      </c>
      <c r="D777" s="128"/>
      <c r="E777" s="128"/>
      <c r="F777" s="128"/>
      <c r="G777" s="128"/>
      <c r="H777" s="128"/>
      <c r="I777" s="128"/>
    </row>
    <row r="778" spans="1:9" ht="15" thickBot="1" x14ac:dyDescent="0.35">
      <c r="A778" s="130">
        <v>42656</v>
      </c>
      <c r="B778" s="129">
        <v>194.94746380000001</v>
      </c>
      <c r="C778" s="131">
        <v>1.4136140429999999E-2</v>
      </c>
      <c r="D778" s="128"/>
      <c r="E778" s="128"/>
      <c r="F778" s="128"/>
      <c r="G778" s="128"/>
      <c r="H778" s="128"/>
      <c r="I778" s="128"/>
    </row>
    <row r="779" spans="1:9" ht="15" thickBot="1" x14ac:dyDescent="0.35">
      <c r="A779" s="130">
        <v>42653</v>
      </c>
      <c r="B779" s="129">
        <v>192.23007250000001</v>
      </c>
      <c r="C779" s="131">
        <v>5.2341655889999998E-2</v>
      </c>
      <c r="D779" s="128"/>
      <c r="E779" s="128"/>
      <c r="F779" s="128"/>
      <c r="G779" s="128"/>
      <c r="H779" s="128"/>
      <c r="I779" s="128"/>
    </row>
    <row r="780" spans="1:9" ht="15" thickBot="1" x14ac:dyDescent="0.35">
      <c r="A780" s="130">
        <v>42623</v>
      </c>
      <c r="B780" s="129">
        <v>182.66888080000001</v>
      </c>
      <c r="C780" s="131">
        <v>-1.143792112E-2</v>
      </c>
      <c r="D780" s="128"/>
      <c r="E780" s="128"/>
      <c r="F780" s="128"/>
      <c r="G780" s="128"/>
      <c r="H780" s="128"/>
      <c r="I780" s="128"/>
    </row>
    <row r="781" spans="1:9" ht="15" thickBot="1" x14ac:dyDescent="0.35">
      <c r="A781" s="130">
        <v>42531</v>
      </c>
      <c r="B781" s="129">
        <v>184.78240740000001</v>
      </c>
      <c r="C781" s="131">
        <v>1.2686169460000001E-2</v>
      </c>
      <c r="D781" s="128"/>
      <c r="E781" s="128"/>
      <c r="F781" s="128"/>
      <c r="G781" s="128"/>
      <c r="H781" s="128"/>
      <c r="I781" s="128"/>
    </row>
    <row r="782" spans="1:9" ht="15" thickBot="1" x14ac:dyDescent="0.35">
      <c r="A782" s="130">
        <v>42500</v>
      </c>
      <c r="B782" s="129">
        <v>182.46759259999999</v>
      </c>
      <c r="C782" s="131">
        <v>1.6540528719999999E-2</v>
      </c>
      <c r="D782" s="128"/>
      <c r="E782" s="128"/>
      <c r="F782" s="128"/>
      <c r="G782" s="128"/>
      <c r="H782" s="128"/>
      <c r="I782" s="128"/>
    </row>
    <row r="783" spans="1:9" ht="15" thickBot="1" x14ac:dyDescent="0.35">
      <c r="A783" s="130">
        <v>42470</v>
      </c>
      <c r="B783" s="129">
        <v>179.498591</v>
      </c>
      <c r="C783" s="131">
        <v>-3.8803598750000001E-2</v>
      </c>
      <c r="D783" s="128"/>
      <c r="E783" s="128"/>
      <c r="F783" s="128"/>
      <c r="G783" s="128"/>
      <c r="H783" s="128"/>
      <c r="I783" s="128"/>
    </row>
    <row r="784" spans="1:9" ht="15" thickBot="1" x14ac:dyDescent="0.35">
      <c r="A784" s="130">
        <v>42439</v>
      </c>
      <c r="B784" s="129">
        <v>186.74496780000001</v>
      </c>
      <c r="C784" s="131">
        <v>-1.9291775319999999E-2</v>
      </c>
      <c r="D784" s="128"/>
      <c r="E784" s="128"/>
      <c r="F784" s="128"/>
      <c r="G784" s="128"/>
      <c r="H784" s="128"/>
      <c r="I784" s="128"/>
    </row>
    <row r="785" spans="1:9" ht="15" thickBot="1" x14ac:dyDescent="0.35">
      <c r="A785" s="130">
        <v>42410</v>
      </c>
      <c r="B785" s="129">
        <v>190.4184783</v>
      </c>
      <c r="C785" s="131">
        <v>-1.0977533330000001E-2</v>
      </c>
      <c r="D785" s="128"/>
      <c r="E785" s="128"/>
      <c r="F785" s="128"/>
      <c r="G785" s="128"/>
      <c r="H785" s="128"/>
      <c r="I785" s="128"/>
    </row>
    <row r="786" spans="1:9" ht="15" thickBot="1" x14ac:dyDescent="0.35">
      <c r="A786" s="130">
        <v>42642</v>
      </c>
      <c r="B786" s="129">
        <v>192.53200480000001</v>
      </c>
      <c r="C786" s="131">
        <v>-8.8082993840000005E-3</v>
      </c>
      <c r="D786" s="128"/>
      <c r="E786" s="128"/>
      <c r="F786" s="128"/>
      <c r="G786" s="128"/>
      <c r="H786" s="128"/>
      <c r="I786" s="128"/>
    </row>
    <row r="787" spans="1:9" ht="15" thickBot="1" x14ac:dyDescent="0.35">
      <c r="A787" s="130">
        <v>42641</v>
      </c>
      <c r="B787" s="129">
        <v>194.2429549</v>
      </c>
      <c r="C787" s="131">
        <v>7.7780747680000002E-4</v>
      </c>
      <c r="D787" s="128"/>
      <c r="E787" s="128"/>
      <c r="F787" s="128"/>
      <c r="G787" s="128"/>
      <c r="H787" s="128"/>
      <c r="I787" s="128"/>
    </row>
    <row r="788" spans="1:9" ht="15" thickBot="1" x14ac:dyDescent="0.35">
      <c r="A788" s="130">
        <v>42640</v>
      </c>
      <c r="B788" s="129">
        <v>194.0919887</v>
      </c>
      <c r="C788" s="131">
        <v>-5.1586335159999998E-3</v>
      </c>
      <c r="D788" s="128"/>
      <c r="E788" s="128"/>
      <c r="F788" s="128"/>
      <c r="G788" s="128"/>
      <c r="H788" s="128"/>
      <c r="I788" s="128"/>
    </row>
    <row r="789" spans="1:9" ht="15" thickBot="1" x14ac:dyDescent="0.35">
      <c r="A789" s="130">
        <v>42639</v>
      </c>
      <c r="B789" s="129">
        <v>195.09843000000001</v>
      </c>
      <c r="C789" s="131">
        <v>2.84532124E-3</v>
      </c>
      <c r="D789" s="128"/>
      <c r="E789" s="128"/>
      <c r="F789" s="128"/>
      <c r="G789" s="128"/>
      <c r="H789" s="128"/>
      <c r="I789" s="128"/>
    </row>
    <row r="790" spans="1:9" ht="15" thickBot="1" x14ac:dyDescent="0.35">
      <c r="A790" s="130">
        <v>42638</v>
      </c>
      <c r="B790" s="129">
        <v>194.5448873</v>
      </c>
      <c r="C790" s="131">
        <v>-2.5799819609999999E-3</v>
      </c>
      <c r="D790" s="128"/>
      <c r="E790" s="128"/>
      <c r="F790" s="128"/>
      <c r="G790" s="128"/>
      <c r="H790" s="128"/>
      <c r="I790" s="128"/>
    </row>
    <row r="791" spans="1:9" ht="15" thickBot="1" x14ac:dyDescent="0.35">
      <c r="A791" s="130">
        <v>42637</v>
      </c>
      <c r="B791" s="129">
        <v>195.04810789999999</v>
      </c>
      <c r="C791" s="131">
        <v>-1.021451479E-2</v>
      </c>
      <c r="D791" s="128"/>
      <c r="E791" s="128"/>
      <c r="F791" s="128"/>
      <c r="G791" s="128"/>
      <c r="H791" s="128"/>
      <c r="I791" s="128"/>
    </row>
    <row r="792" spans="1:9" ht="15" thickBot="1" x14ac:dyDescent="0.35">
      <c r="A792" s="130">
        <v>42635</v>
      </c>
      <c r="B792" s="129">
        <v>197.06099029999999</v>
      </c>
      <c r="C792" s="131">
        <v>1.188631712E-2</v>
      </c>
      <c r="D792" s="128"/>
      <c r="E792" s="128"/>
      <c r="F792" s="128"/>
      <c r="G792" s="128"/>
      <c r="H792" s="128"/>
      <c r="I792" s="128"/>
    </row>
    <row r="793" spans="1:9" ht="15" thickBot="1" x14ac:dyDescent="0.35">
      <c r="A793" s="130">
        <v>42634</v>
      </c>
      <c r="B793" s="129">
        <v>194.74617549999999</v>
      </c>
      <c r="C793" s="131">
        <v>4.6729020420000003E-3</v>
      </c>
      <c r="D793" s="128"/>
      <c r="E793" s="128"/>
      <c r="F793" s="128"/>
      <c r="G793" s="128"/>
      <c r="H793" s="128"/>
      <c r="I793" s="128"/>
    </row>
    <row r="794" spans="1:9" ht="15" thickBot="1" x14ac:dyDescent="0.35">
      <c r="A794" s="130">
        <v>42633</v>
      </c>
      <c r="B794" s="129">
        <v>193.84037839999999</v>
      </c>
      <c r="C794" s="131">
        <v>-1.8848720530000002E-2</v>
      </c>
      <c r="D794" s="128"/>
      <c r="E794" s="128"/>
      <c r="F794" s="128"/>
      <c r="G794" s="128"/>
      <c r="H794" s="128"/>
      <c r="I794" s="128"/>
    </row>
    <row r="795" spans="1:9" ht="15" thickBot="1" x14ac:dyDescent="0.35">
      <c r="A795" s="130">
        <v>42632</v>
      </c>
      <c r="B795" s="129">
        <v>197.564211</v>
      </c>
      <c r="C795" s="131">
        <v>-1.0584687739999999E-2</v>
      </c>
      <c r="D795" s="128"/>
      <c r="E795" s="128"/>
      <c r="F795" s="128"/>
      <c r="G795" s="128"/>
      <c r="H795" s="128"/>
      <c r="I795" s="128"/>
    </row>
    <row r="796" spans="1:9" ht="15" thickBot="1" x14ac:dyDescent="0.35">
      <c r="A796" s="130">
        <v>42631</v>
      </c>
      <c r="B796" s="129">
        <v>199.67773750000001</v>
      </c>
      <c r="C796" s="131">
        <v>2.5207960480000001E-4</v>
      </c>
      <c r="D796" s="128"/>
      <c r="E796" s="128"/>
      <c r="F796" s="128"/>
      <c r="G796" s="128"/>
      <c r="H796" s="128"/>
      <c r="I796" s="128"/>
    </row>
    <row r="797" spans="1:9" ht="15" thickBot="1" x14ac:dyDescent="0.35">
      <c r="A797" s="130">
        <v>42591</v>
      </c>
      <c r="B797" s="129">
        <v>199.62741550000001</v>
      </c>
      <c r="C797" s="131">
        <v>-8.0020082160000006E-3</v>
      </c>
      <c r="D797" s="128"/>
      <c r="E797" s="128"/>
      <c r="F797" s="128"/>
      <c r="G797" s="128"/>
      <c r="H797" s="128"/>
      <c r="I797" s="128"/>
    </row>
    <row r="798" spans="1:9" ht="15" thickBot="1" x14ac:dyDescent="0.35">
      <c r="A798" s="130">
        <v>42560</v>
      </c>
      <c r="B798" s="129">
        <v>201.2377214</v>
      </c>
      <c r="C798" s="131">
        <v>-1.356686111E-2</v>
      </c>
      <c r="D798" s="128"/>
      <c r="E798" s="128"/>
      <c r="F798" s="128"/>
      <c r="G798" s="128"/>
      <c r="H798" s="128"/>
      <c r="I798" s="128"/>
    </row>
    <row r="799" spans="1:9" ht="15" thickBot="1" x14ac:dyDescent="0.35">
      <c r="A799" s="130">
        <v>42530</v>
      </c>
      <c r="B799" s="129">
        <v>204.00543479999999</v>
      </c>
      <c r="C799" s="131">
        <v>2.736951579E-2</v>
      </c>
      <c r="D799" s="128"/>
      <c r="E799" s="128"/>
      <c r="F799" s="128"/>
      <c r="G799" s="128"/>
      <c r="H799" s="128"/>
      <c r="I799" s="128"/>
    </row>
    <row r="800" spans="1:9" ht="15" thickBot="1" x14ac:dyDescent="0.35">
      <c r="A800" s="130">
        <v>42499</v>
      </c>
      <c r="B800" s="129">
        <v>198.57065220000001</v>
      </c>
      <c r="C800" s="131">
        <v>-1.1523057559999999E-2</v>
      </c>
      <c r="D800" s="128"/>
      <c r="E800" s="128"/>
      <c r="F800" s="128"/>
      <c r="G800" s="128"/>
      <c r="H800" s="128"/>
      <c r="I800" s="128"/>
    </row>
    <row r="801" spans="1:9" ht="15" thickBot="1" x14ac:dyDescent="0.35">
      <c r="A801" s="130">
        <v>42469</v>
      </c>
      <c r="B801" s="129">
        <v>200.88546700000001</v>
      </c>
      <c r="C801" s="131">
        <v>-7.7056999459999996E-3</v>
      </c>
      <c r="D801" s="128"/>
      <c r="E801" s="128"/>
      <c r="F801" s="128"/>
      <c r="G801" s="128"/>
      <c r="H801" s="128"/>
      <c r="I801" s="128"/>
    </row>
    <row r="802" spans="1:9" ht="15" thickBot="1" x14ac:dyDescent="0.35">
      <c r="A802" s="130">
        <v>42378</v>
      </c>
      <c r="B802" s="129">
        <v>202.4454509</v>
      </c>
      <c r="C802" s="131">
        <v>3.7425186159999999E-3</v>
      </c>
      <c r="D802" s="128"/>
      <c r="E802" s="128"/>
      <c r="F802" s="128"/>
      <c r="G802" s="128"/>
      <c r="H802" s="128"/>
      <c r="I802" s="128"/>
    </row>
    <row r="803" spans="1:9" ht="15" thickBot="1" x14ac:dyDescent="0.35">
      <c r="A803" s="130">
        <v>42613</v>
      </c>
      <c r="B803" s="129">
        <v>201.69062</v>
      </c>
      <c r="C803" s="131">
        <v>-2.124544188E-2</v>
      </c>
      <c r="D803" s="128"/>
      <c r="E803" s="128"/>
      <c r="F803" s="128"/>
      <c r="G803" s="128"/>
      <c r="H803" s="128"/>
      <c r="I803" s="128"/>
    </row>
    <row r="804" spans="1:9" ht="15" thickBot="1" x14ac:dyDescent="0.35">
      <c r="A804" s="130">
        <v>42612</v>
      </c>
      <c r="B804" s="129">
        <v>206.0686393</v>
      </c>
      <c r="C804" s="131">
        <v>-1.8926707000000001E-2</v>
      </c>
      <c r="D804" s="128"/>
      <c r="E804" s="128"/>
      <c r="F804" s="128"/>
      <c r="G804" s="128"/>
      <c r="H804" s="128"/>
      <c r="I804" s="128"/>
    </row>
    <row r="805" spans="1:9" ht="15" thickBot="1" x14ac:dyDescent="0.35">
      <c r="A805" s="130">
        <v>42611</v>
      </c>
      <c r="B805" s="129">
        <v>210.0440821</v>
      </c>
      <c r="C805" s="131">
        <v>-4.3976220089999997E-2</v>
      </c>
      <c r="D805" s="128"/>
      <c r="E805" s="128"/>
      <c r="F805" s="128"/>
      <c r="G805" s="128"/>
      <c r="H805" s="128"/>
      <c r="I805" s="128"/>
    </row>
    <row r="806" spans="1:9" ht="15" thickBot="1" x14ac:dyDescent="0.35">
      <c r="A806" s="130">
        <v>42610</v>
      </c>
      <c r="B806" s="129">
        <v>219.7059179</v>
      </c>
      <c r="C806" s="131">
        <v>3.4352081960000003E-2</v>
      </c>
      <c r="D806" s="128"/>
      <c r="E806" s="128"/>
      <c r="F806" s="128"/>
      <c r="G806" s="128"/>
      <c r="H806" s="128"/>
      <c r="I806" s="128"/>
    </row>
    <row r="807" spans="1:9" ht="15" thickBot="1" x14ac:dyDescent="0.35">
      <c r="A807" s="130">
        <v>42606</v>
      </c>
      <c r="B807" s="129">
        <v>212.40921900000001</v>
      </c>
      <c r="C807" s="131">
        <v>2.4763315899999999E-2</v>
      </c>
      <c r="D807" s="128"/>
      <c r="E807" s="128"/>
      <c r="F807" s="128"/>
      <c r="G807" s="128"/>
      <c r="H807" s="128"/>
      <c r="I807" s="128"/>
    </row>
    <row r="808" spans="1:9" ht="15" thickBot="1" x14ac:dyDescent="0.35">
      <c r="A808" s="130">
        <v>42605</v>
      </c>
      <c r="B808" s="129">
        <v>207.2763688</v>
      </c>
      <c r="C808" s="131">
        <v>1.503205063E-2</v>
      </c>
      <c r="D808" s="128"/>
      <c r="E808" s="128"/>
      <c r="F808" s="128"/>
      <c r="G808" s="128"/>
      <c r="H808" s="128"/>
      <c r="I808" s="128"/>
    </row>
    <row r="809" spans="1:9" ht="15" thickBot="1" x14ac:dyDescent="0.35">
      <c r="A809" s="130">
        <v>42604</v>
      </c>
      <c r="B809" s="129">
        <v>204.20672300000001</v>
      </c>
      <c r="C809" s="131">
        <v>1.348652694E-2</v>
      </c>
      <c r="D809" s="128"/>
      <c r="E809" s="128"/>
      <c r="F809" s="128"/>
      <c r="G809" s="128"/>
      <c r="H809" s="128"/>
      <c r="I809" s="128"/>
    </row>
    <row r="810" spans="1:9" ht="15" thickBot="1" x14ac:dyDescent="0.35">
      <c r="A810" s="130">
        <v>42603</v>
      </c>
      <c r="B810" s="129">
        <v>201.48933170000001</v>
      </c>
      <c r="C810" s="131">
        <v>-4.1876086950000002E-2</v>
      </c>
      <c r="D810" s="128"/>
      <c r="E810" s="128"/>
      <c r="F810" s="128"/>
      <c r="G810" s="128"/>
      <c r="H810" s="128"/>
      <c r="I810" s="128"/>
    </row>
    <row r="811" spans="1:9" ht="15" thickBot="1" x14ac:dyDescent="0.35">
      <c r="A811" s="130">
        <v>42600</v>
      </c>
      <c r="B811" s="129">
        <v>210.29569240000001</v>
      </c>
      <c r="C811" s="131">
        <v>-1.947444353E-2</v>
      </c>
      <c r="D811" s="128"/>
      <c r="E811" s="128"/>
      <c r="F811" s="128"/>
      <c r="G811" s="128"/>
      <c r="H811" s="128"/>
      <c r="I811" s="128"/>
    </row>
    <row r="812" spans="1:9" ht="15" thickBot="1" x14ac:dyDescent="0.35">
      <c r="A812" s="130">
        <v>42599</v>
      </c>
      <c r="B812" s="129">
        <v>214.47242349999999</v>
      </c>
      <c r="C812" s="131">
        <v>-2.1130014690000001E-2</v>
      </c>
      <c r="D812" s="128"/>
      <c r="E812" s="128"/>
      <c r="F812" s="128"/>
      <c r="G812" s="128"/>
      <c r="H812" s="128"/>
      <c r="I812" s="128"/>
    </row>
    <row r="813" spans="1:9" ht="15" thickBot="1" x14ac:dyDescent="0.35">
      <c r="A813" s="130">
        <v>42598</v>
      </c>
      <c r="B813" s="129">
        <v>219.10205310000001</v>
      </c>
      <c r="C813" s="131">
        <v>8.8044566079999997E-3</v>
      </c>
      <c r="D813" s="128"/>
      <c r="E813" s="128"/>
      <c r="F813" s="128"/>
      <c r="G813" s="128"/>
      <c r="H813" s="128"/>
      <c r="I813" s="128"/>
    </row>
    <row r="814" spans="1:9" ht="15" thickBot="1" x14ac:dyDescent="0.35">
      <c r="A814" s="130">
        <v>42596</v>
      </c>
      <c r="B814" s="129">
        <v>217.18981479999999</v>
      </c>
      <c r="C814" s="131">
        <v>1.148348863E-2</v>
      </c>
      <c r="D814" s="128"/>
      <c r="E814" s="128"/>
      <c r="F814" s="128"/>
      <c r="G814" s="128"/>
      <c r="H814" s="128"/>
      <c r="I814" s="128"/>
    </row>
    <row r="815" spans="1:9" ht="15" thickBot="1" x14ac:dyDescent="0.35">
      <c r="A815" s="130">
        <v>42682</v>
      </c>
      <c r="B815" s="129">
        <v>214.7240338</v>
      </c>
      <c r="C815" s="131">
        <v>-4.2629609610000001E-2</v>
      </c>
      <c r="D815" s="128"/>
      <c r="E815" s="128"/>
      <c r="F815" s="128"/>
      <c r="G815" s="128"/>
      <c r="H815" s="128"/>
      <c r="I815" s="128"/>
    </row>
    <row r="816" spans="1:9" ht="15" thickBot="1" x14ac:dyDescent="0.35">
      <c r="A816" s="130">
        <v>42651</v>
      </c>
      <c r="B816" s="129">
        <v>224.2852254</v>
      </c>
      <c r="C816" s="131">
        <v>2.1076766029999999E-2</v>
      </c>
      <c r="D816" s="128"/>
      <c r="E816" s="128"/>
      <c r="F816" s="128"/>
      <c r="G816" s="128"/>
      <c r="H816" s="128"/>
      <c r="I816" s="128"/>
    </row>
    <row r="817" spans="1:9" ht="15" thickBot="1" x14ac:dyDescent="0.35">
      <c r="A817" s="130">
        <v>42621</v>
      </c>
      <c r="B817" s="129">
        <v>219.65559579999999</v>
      </c>
      <c r="C817" s="131">
        <v>6.8282005320000005E-2</v>
      </c>
      <c r="D817" s="128"/>
      <c r="E817" s="128"/>
      <c r="F817" s="128"/>
      <c r="G817" s="128"/>
      <c r="H817" s="128"/>
      <c r="I817" s="128"/>
    </row>
    <row r="818" spans="1:9" ht="15" thickBot="1" x14ac:dyDescent="0.35">
      <c r="A818" s="130">
        <v>42590</v>
      </c>
      <c r="B818" s="129">
        <v>205.6157407</v>
      </c>
      <c r="C818" s="131">
        <v>-1.826046949E-2</v>
      </c>
      <c r="D818" s="128"/>
      <c r="E818" s="128"/>
      <c r="F818" s="128"/>
      <c r="G818" s="128"/>
      <c r="H818" s="128"/>
      <c r="I818" s="128"/>
    </row>
    <row r="819" spans="1:9" ht="15" thickBot="1" x14ac:dyDescent="0.35">
      <c r="A819" s="130">
        <v>42559</v>
      </c>
      <c r="B819" s="129">
        <v>209.44021739999999</v>
      </c>
      <c r="C819" s="131">
        <v>3.7129366599999998E-2</v>
      </c>
      <c r="D819" s="128"/>
      <c r="E819" s="128"/>
      <c r="F819" s="128"/>
      <c r="G819" s="128"/>
      <c r="H819" s="128"/>
      <c r="I819" s="128"/>
    </row>
    <row r="820" spans="1:9" ht="15" thickBot="1" x14ac:dyDescent="0.35">
      <c r="A820" s="130">
        <v>42468</v>
      </c>
      <c r="B820" s="129">
        <v>201.94223030000001</v>
      </c>
      <c r="C820" s="131">
        <v>-2.3838505329999999E-2</v>
      </c>
      <c r="D820" s="128"/>
      <c r="E820" s="128"/>
      <c r="F820" s="128"/>
      <c r="G820" s="128"/>
      <c r="H820" s="128"/>
      <c r="I820" s="128"/>
    </row>
    <row r="821" spans="1:9" ht="15" thickBot="1" x14ac:dyDescent="0.35">
      <c r="A821" s="130">
        <v>42437</v>
      </c>
      <c r="B821" s="129">
        <v>206.87379229999999</v>
      </c>
      <c r="C821" s="131">
        <v>7.0294267849999995E-2</v>
      </c>
      <c r="D821" s="128"/>
      <c r="E821" s="128"/>
      <c r="F821" s="128"/>
      <c r="G821" s="128"/>
      <c r="H821" s="128"/>
      <c r="I821" s="128"/>
    </row>
    <row r="822" spans="1:9" ht="15" thickBot="1" x14ac:dyDescent="0.35">
      <c r="A822" s="130">
        <v>42408</v>
      </c>
      <c r="B822" s="129">
        <v>193.28683570000001</v>
      </c>
      <c r="C822" s="131">
        <v>1.613758304E-2</v>
      </c>
      <c r="D822" s="128"/>
      <c r="E822" s="128"/>
      <c r="F822" s="128"/>
      <c r="G822" s="128"/>
      <c r="H822" s="128"/>
      <c r="I822" s="128"/>
    </row>
    <row r="823" spans="1:9" ht="15" thickBot="1" x14ac:dyDescent="0.35">
      <c r="A823" s="130">
        <v>42377</v>
      </c>
      <c r="B823" s="129">
        <v>190.21718999999999</v>
      </c>
      <c r="C823" s="131">
        <v>-4.1339123980000003E-2</v>
      </c>
      <c r="D823" s="128"/>
      <c r="E823" s="128"/>
      <c r="F823" s="128"/>
      <c r="G823" s="128"/>
      <c r="H823" s="128"/>
      <c r="I823" s="128"/>
    </row>
    <row r="824" spans="1:9" ht="15" thickBot="1" x14ac:dyDescent="0.35">
      <c r="A824" s="130">
        <v>42582</v>
      </c>
      <c r="B824" s="129">
        <v>198.41968600000001</v>
      </c>
      <c r="C824" s="131">
        <v>1.1025652170000001E-2</v>
      </c>
      <c r="D824" s="128"/>
      <c r="E824" s="128"/>
      <c r="F824" s="128"/>
      <c r="G824" s="128"/>
      <c r="H824" s="128"/>
      <c r="I824" s="128"/>
    </row>
    <row r="825" spans="1:9" ht="15" thickBot="1" x14ac:dyDescent="0.35">
      <c r="A825" s="130">
        <v>42579</v>
      </c>
      <c r="B825" s="129">
        <v>196.25583739999999</v>
      </c>
      <c r="C825" s="131">
        <v>6.0647333069999997E-2</v>
      </c>
      <c r="D825" s="128"/>
      <c r="E825" s="128"/>
      <c r="F825" s="128"/>
      <c r="G825" s="128"/>
      <c r="H825" s="128"/>
      <c r="I825" s="128"/>
    </row>
    <row r="826" spans="1:9" ht="15" thickBot="1" x14ac:dyDescent="0.35">
      <c r="A826" s="130">
        <v>42578</v>
      </c>
      <c r="B826" s="129">
        <v>185.03401769999999</v>
      </c>
      <c r="C826" s="131">
        <v>7.3972680950000003E-3</v>
      </c>
      <c r="D826" s="128"/>
      <c r="E826" s="128"/>
      <c r="F826" s="128"/>
      <c r="G826" s="128"/>
      <c r="H826" s="128"/>
      <c r="I826" s="128"/>
    </row>
    <row r="827" spans="1:9" ht="15" thickBot="1" x14ac:dyDescent="0.35">
      <c r="A827" s="130">
        <v>42577</v>
      </c>
      <c r="B827" s="129">
        <v>183.67532209999999</v>
      </c>
      <c r="C827" s="131">
        <v>-5.1785280650000001E-3</v>
      </c>
      <c r="D827" s="128"/>
      <c r="E827" s="128"/>
      <c r="F827" s="128"/>
      <c r="G827" s="128"/>
      <c r="H827" s="128"/>
      <c r="I827" s="128"/>
    </row>
    <row r="828" spans="1:9" ht="15" thickBot="1" x14ac:dyDescent="0.35">
      <c r="A828" s="130">
        <v>42576</v>
      </c>
      <c r="B828" s="129">
        <v>184.63144120000001</v>
      </c>
      <c r="C828" s="131">
        <v>-1.051781077E-2</v>
      </c>
      <c r="D828" s="128"/>
      <c r="E828" s="128"/>
      <c r="F828" s="128"/>
      <c r="G828" s="128"/>
      <c r="H828" s="128"/>
      <c r="I828" s="128"/>
    </row>
    <row r="829" spans="1:9" ht="15" thickBot="1" x14ac:dyDescent="0.35">
      <c r="A829" s="130">
        <v>42575</v>
      </c>
      <c r="B829" s="129">
        <v>186.59400160000001</v>
      </c>
      <c r="C829" s="131">
        <v>2.71468445E-2</v>
      </c>
      <c r="D829" s="128"/>
      <c r="E829" s="128"/>
      <c r="F829" s="128"/>
      <c r="G829" s="128"/>
      <c r="H829" s="128"/>
      <c r="I829" s="128"/>
    </row>
    <row r="830" spans="1:9" ht="15" thickBot="1" x14ac:dyDescent="0.35">
      <c r="A830" s="130">
        <v>42572</v>
      </c>
      <c r="B830" s="129">
        <v>181.6624396</v>
      </c>
      <c r="C830" s="131">
        <v>3.083955545E-2</v>
      </c>
      <c r="D830" s="128"/>
      <c r="E830" s="128"/>
      <c r="F830" s="128"/>
      <c r="G830" s="128"/>
      <c r="H830" s="128"/>
      <c r="I830" s="128"/>
    </row>
    <row r="831" spans="1:9" ht="15" thickBot="1" x14ac:dyDescent="0.35">
      <c r="A831" s="130">
        <v>42571</v>
      </c>
      <c r="B831" s="129">
        <v>176.22765699999999</v>
      </c>
      <c r="C831" s="131">
        <v>2.576584396E-3</v>
      </c>
      <c r="D831" s="128"/>
      <c r="E831" s="128"/>
      <c r="F831" s="128"/>
      <c r="G831" s="128"/>
      <c r="H831" s="128"/>
      <c r="I831" s="128"/>
    </row>
    <row r="832" spans="1:9" ht="15" thickBot="1" x14ac:dyDescent="0.35">
      <c r="A832" s="130">
        <v>42570</v>
      </c>
      <c r="B832" s="129">
        <v>175.77475849999999</v>
      </c>
      <c r="C832" s="131">
        <v>2.2955550610000001E-3</v>
      </c>
      <c r="D832" s="128"/>
      <c r="E832" s="128"/>
      <c r="F832" s="128"/>
      <c r="G832" s="128"/>
      <c r="H832" s="128"/>
      <c r="I832" s="128"/>
    </row>
    <row r="833" spans="1:9" ht="15" thickBot="1" x14ac:dyDescent="0.35">
      <c r="A833" s="130">
        <v>42569</v>
      </c>
      <c r="B833" s="129">
        <v>175.37218200000001</v>
      </c>
      <c r="C833" s="131">
        <v>-1.4423093119999999E-2</v>
      </c>
      <c r="D833" s="128"/>
      <c r="E833" s="128"/>
      <c r="F833" s="128"/>
      <c r="G833" s="128"/>
      <c r="H833" s="128"/>
      <c r="I833" s="128"/>
    </row>
    <row r="834" spans="1:9" ht="15" thickBot="1" x14ac:dyDescent="0.35">
      <c r="A834" s="130">
        <v>42568</v>
      </c>
      <c r="B834" s="129">
        <v>177.93860710000001</v>
      </c>
      <c r="C834" s="131">
        <v>-8.4769813979999995E-4</v>
      </c>
      <c r="D834" s="128"/>
      <c r="E834" s="128"/>
      <c r="F834" s="128"/>
      <c r="G834" s="128"/>
      <c r="H834" s="128"/>
      <c r="I834" s="128"/>
    </row>
    <row r="835" spans="1:9" ht="15" thickBot="1" x14ac:dyDescent="0.35">
      <c r="A835" s="130">
        <v>42567</v>
      </c>
      <c r="B835" s="129">
        <v>178.08957330000001</v>
      </c>
      <c r="C835" s="131">
        <v>3.4023291510000002E-3</v>
      </c>
      <c r="D835" s="128"/>
      <c r="E835" s="128"/>
      <c r="F835" s="128"/>
      <c r="G835" s="128"/>
      <c r="H835" s="128"/>
      <c r="I835" s="128"/>
    </row>
    <row r="836" spans="1:9" ht="15" thickBot="1" x14ac:dyDescent="0.35">
      <c r="A836" s="130">
        <v>42565</v>
      </c>
      <c r="B836" s="129">
        <v>177.48570849999999</v>
      </c>
      <c r="C836" s="131">
        <v>1.7893238589999999E-2</v>
      </c>
      <c r="D836" s="128"/>
      <c r="E836" s="128"/>
      <c r="F836" s="128"/>
      <c r="G836" s="128"/>
      <c r="H836" s="128"/>
      <c r="I836" s="128"/>
    </row>
    <row r="837" spans="1:9" ht="15" thickBot="1" x14ac:dyDescent="0.35">
      <c r="A837" s="130">
        <v>42564</v>
      </c>
      <c r="B837" s="129">
        <v>174.3657407</v>
      </c>
      <c r="C837" s="131">
        <v>-3.737784659E-3</v>
      </c>
      <c r="D837" s="128"/>
      <c r="E837" s="128"/>
      <c r="F837" s="128"/>
      <c r="G837" s="128"/>
      <c r="H837" s="128"/>
      <c r="I837" s="128"/>
    </row>
    <row r="838" spans="1:9" ht="15" thickBot="1" x14ac:dyDescent="0.35">
      <c r="A838" s="130">
        <v>42711</v>
      </c>
      <c r="B838" s="129">
        <v>175.01992749999999</v>
      </c>
      <c r="C838" s="131">
        <v>-1.7221606029999999E-3</v>
      </c>
      <c r="D838" s="128"/>
      <c r="E838" s="128"/>
      <c r="F838" s="128"/>
      <c r="G838" s="128"/>
      <c r="H838" s="128"/>
      <c r="I838" s="128"/>
    </row>
    <row r="839" spans="1:9" ht="15" thickBot="1" x14ac:dyDescent="0.35">
      <c r="A839" s="130">
        <v>42681</v>
      </c>
      <c r="B839" s="129">
        <v>175.32185989999999</v>
      </c>
      <c r="C839" s="131">
        <v>-9.9460184609999995E-3</v>
      </c>
      <c r="D839" s="128"/>
      <c r="E839" s="128"/>
      <c r="F839" s="128"/>
      <c r="G839" s="128"/>
      <c r="H839" s="128"/>
      <c r="I839" s="128"/>
    </row>
    <row r="840" spans="1:9" ht="15" thickBot="1" x14ac:dyDescent="0.35">
      <c r="A840" s="130">
        <v>42650</v>
      </c>
      <c r="B840" s="129">
        <v>177.08313200000001</v>
      </c>
      <c r="C840" s="131">
        <v>1.353688152E-2</v>
      </c>
      <c r="D840" s="128"/>
      <c r="E840" s="128"/>
      <c r="F840" s="128"/>
      <c r="G840" s="128"/>
      <c r="H840" s="128"/>
      <c r="I840" s="128"/>
    </row>
    <row r="841" spans="1:9" ht="15" thickBot="1" x14ac:dyDescent="0.35">
      <c r="A841" s="130">
        <v>42551</v>
      </c>
      <c r="B841" s="129">
        <v>174.71799519999999</v>
      </c>
      <c r="C841" s="131">
        <v>-8.8495676429999996E-3</v>
      </c>
      <c r="D841" s="128"/>
      <c r="E841" s="128"/>
      <c r="F841" s="128"/>
      <c r="G841" s="128"/>
      <c r="H841" s="128"/>
      <c r="I841" s="128"/>
    </row>
    <row r="842" spans="1:9" ht="15" thickBot="1" x14ac:dyDescent="0.35">
      <c r="A842" s="130">
        <v>42550</v>
      </c>
      <c r="B842" s="129">
        <v>176.27797910000001</v>
      </c>
      <c r="C842" s="131">
        <v>2.6670605890000001E-2</v>
      </c>
      <c r="D842" s="128"/>
      <c r="E842" s="128"/>
      <c r="F842" s="128"/>
      <c r="G842" s="128"/>
      <c r="H842" s="128"/>
      <c r="I842" s="128"/>
    </row>
    <row r="843" spans="1:9" ht="15" thickBot="1" x14ac:dyDescent="0.35">
      <c r="A843" s="130">
        <v>42549</v>
      </c>
      <c r="B843" s="129">
        <v>171.69867149999999</v>
      </c>
      <c r="C843" s="131">
        <v>-2.922271027E-3</v>
      </c>
      <c r="D843" s="128"/>
      <c r="E843" s="128"/>
      <c r="F843" s="128"/>
      <c r="G843" s="128"/>
      <c r="H843" s="128"/>
      <c r="I843" s="128"/>
    </row>
    <row r="844" spans="1:9" ht="15" thickBot="1" x14ac:dyDescent="0.35">
      <c r="A844" s="130">
        <v>42548</v>
      </c>
      <c r="B844" s="129">
        <v>172.20189210000001</v>
      </c>
      <c r="C844" s="131">
        <v>7.6560750310000003E-3</v>
      </c>
      <c r="D844" s="128"/>
      <c r="E844" s="128"/>
      <c r="F844" s="128"/>
      <c r="G844" s="128"/>
      <c r="H844" s="128"/>
      <c r="I844" s="128"/>
    </row>
    <row r="845" spans="1:9" ht="15" thickBot="1" x14ac:dyDescent="0.35">
      <c r="A845" s="130">
        <v>42547</v>
      </c>
      <c r="B845" s="129">
        <v>170.8935185</v>
      </c>
      <c r="C845" s="131">
        <v>-2.6431751979999999E-3</v>
      </c>
      <c r="D845" s="128"/>
      <c r="E845" s="128"/>
      <c r="F845" s="128"/>
      <c r="G845" s="128"/>
      <c r="H845" s="128"/>
      <c r="I845" s="128"/>
    </row>
    <row r="846" spans="1:9" ht="15" thickBot="1" x14ac:dyDescent="0.35">
      <c r="A846" s="130">
        <v>42544</v>
      </c>
      <c r="B846" s="129">
        <v>171.3464171</v>
      </c>
      <c r="C846" s="131">
        <v>2.9377260470000001E-4</v>
      </c>
      <c r="D846" s="128"/>
      <c r="E846" s="128"/>
      <c r="F846" s="128"/>
      <c r="G846" s="128"/>
      <c r="H846" s="128"/>
      <c r="I846" s="128"/>
    </row>
    <row r="847" spans="1:9" ht="15" thickBot="1" x14ac:dyDescent="0.35">
      <c r="A847" s="130">
        <v>42543</v>
      </c>
      <c r="B847" s="129">
        <v>171.29609500000001</v>
      </c>
      <c r="C847" s="131">
        <v>3.83368193E-3</v>
      </c>
      <c r="D847" s="128"/>
      <c r="E847" s="128"/>
      <c r="F847" s="128"/>
      <c r="G847" s="128"/>
      <c r="H847" s="128"/>
      <c r="I847" s="128"/>
    </row>
    <row r="848" spans="1:9" ht="15" thickBot="1" x14ac:dyDescent="0.35">
      <c r="A848" s="130">
        <v>42542</v>
      </c>
      <c r="B848" s="129">
        <v>170.64190819999999</v>
      </c>
      <c r="C848" s="131">
        <v>1.4766703449999999E-3</v>
      </c>
      <c r="D848" s="128"/>
      <c r="E848" s="128"/>
      <c r="F848" s="128"/>
      <c r="G848" s="128"/>
      <c r="H848" s="128"/>
      <c r="I848" s="128"/>
    </row>
    <row r="849" spans="1:9" ht="15" thickBot="1" x14ac:dyDescent="0.35">
      <c r="A849" s="130">
        <v>42541</v>
      </c>
      <c r="B849" s="129">
        <v>170.39029790000001</v>
      </c>
      <c r="C849" s="131">
        <v>-4.7031214660000001E-3</v>
      </c>
      <c r="D849" s="128"/>
      <c r="E849" s="128"/>
      <c r="F849" s="128"/>
      <c r="G849" s="128"/>
      <c r="H849" s="128"/>
      <c r="I849" s="128"/>
    </row>
    <row r="850" spans="1:9" ht="15" thickBot="1" x14ac:dyDescent="0.35">
      <c r="A850" s="130">
        <v>42540</v>
      </c>
      <c r="B850" s="129">
        <v>171.1954509</v>
      </c>
      <c r="C850" s="131">
        <v>5.3191552150000003E-3</v>
      </c>
      <c r="D850" s="128"/>
      <c r="E850" s="128"/>
      <c r="F850" s="128"/>
      <c r="G850" s="128"/>
      <c r="H850" s="128"/>
      <c r="I850" s="128"/>
    </row>
    <row r="851" spans="1:9" ht="15" thickBot="1" x14ac:dyDescent="0.35">
      <c r="A851" s="130">
        <v>42537</v>
      </c>
      <c r="B851" s="129">
        <v>170.2896538</v>
      </c>
      <c r="C851" s="131">
        <v>-3.533572866E-3</v>
      </c>
      <c r="D851" s="128"/>
      <c r="E851" s="128"/>
      <c r="F851" s="128"/>
      <c r="G851" s="128"/>
      <c r="H851" s="128"/>
      <c r="I851" s="128"/>
    </row>
    <row r="852" spans="1:9" ht="15" thickBot="1" x14ac:dyDescent="0.35">
      <c r="A852" s="130">
        <v>42536</v>
      </c>
      <c r="B852" s="129">
        <v>170.8935185</v>
      </c>
      <c r="C852" s="131">
        <v>-2.3501790860000001E-3</v>
      </c>
      <c r="D852" s="128"/>
      <c r="E852" s="128"/>
      <c r="F852" s="128"/>
      <c r="G852" s="128"/>
      <c r="H852" s="128"/>
      <c r="I852" s="128"/>
    </row>
    <row r="853" spans="1:9" ht="15" thickBot="1" x14ac:dyDescent="0.35">
      <c r="A853" s="130">
        <v>42535</v>
      </c>
      <c r="B853" s="129">
        <v>171.29609500000001</v>
      </c>
      <c r="C853" s="131">
        <v>2.9463793600000001E-3</v>
      </c>
      <c r="D853" s="128"/>
      <c r="E853" s="128"/>
      <c r="F853" s="128"/>
      <c r="G853" s="128"/>
      <c r="H853" s="128"/>
      <c r="I853" s="128"/>
    </row>
    <row r="854" spans="1:9" ht="15" thickBot="1" x14ac:dyDescent="0.35">
      <c r="A854" s="130">
        <v>42534</v>
      </c>
      <c r="B854" s="129">
        <v>170.79287439999999</v>
      </c>
      <c r="C854" s="131">
        <v>-9.9183314049999995E-3</v>
      </c>
      <c r="D854" s="128"/>
      <c r="E854" s="128"/>
      <c r="F854" s="128"/>
      <c r="G854" s="128"/>
      <c r="H854" s="128"/>
      <c r="I854" s="128"/>
    </row>
    <row r="855" spans="1:9" ht="15" thickBot="1" x14ac:dyDescent="0.35">
      <c r="A855" s="130">
        <v>42710</v>
      </c>
      <c r="B855" s="129">
        <v>172.50382450000001</v>
      </c>
      <c r="C855" s="131">
        <v>-6.6647425410000004E-3</v>
      </c>
      <c r="D855" s="128"/>
      <c r="E855" s="128"/>
      <c r="F855" s="128"/>
      <c r="G855" s="128"/>
      <c r="H855" s="128"/>
      <c r="I855" s="128"/>
    </row>
    <row r="856" spans="1:9" ht="15" thickBot="1" x14ac:dyDescent="0.35">
      <c r="A856" s="130">
        <v>42619</v>
      </c>
      <c r="B856" s="129">
        <v>173.66123189999999</v>
      </c>
      <c r="C856" s="131">
        <v>1.0541740000000001E-2</v>
      </c>
      <c r="D856" s="128"/>
      <c r="E856" s="128"/>
      <c r="F856" s="128"/>
      <c r="G856" s="128"/>
      <c r="H856" s="128"/>
      <c r="I856" s="128"/>
    </row>
    <row r="857" spans="1:9" ht="15" thickBot="1" x14ac:dyDescent="0.35">
      <c r="A857" s="130">
        <v>42588</v>
      </c>
      <c r="B857" s="129">
        <v>171.84963769999999</v>
      </c>
      <c r="C857" s="131">
        <v>3.5263048530000001E-3</v>
      </c>
      <c r="D857" s="128"/>
      <c r="E857" s="128"/>
      <c r="F857" s="128"/>
      <c r="G857" s="128"/>
      <c r="H857" s="128"/>
      <c r="I857" s="128"/>
    </row>
    <row r="858" spans="1:9" ht="15" thickBot="1" x14ac:dyDescent="0.35">
      <c r="A858" s="130">
        <v>42557</v>
      </c>
      <c r="B858" s="129">
        <v>171.24577289999999</v>
      </c>
      <c r="C858" s="131">
        <v>-7.8717295739999995E-3</v>
      </c>
      <c r="D858" s="128"/>
      <c r="E858" s="128"/>
      <c r="F858" s="128"/>
      <c r="G858" s="128"/>
      <c r="H858" s="128"/>
      <c r="I858" s="128"/>
    </row>
    <row r="859" spans="1:9" ht="15" thickBot="1" x14ac:dyDescent="0.35">
      <c r="A859" s="130">
        <v>42527</v>
      </c>
      <c r="B859" s="129">
        <v>172.60446859999999</v>
      </c>
      <c r="C859" s="131">
        <v>-1.0386624779999999E-2</v>
      </c>
      <c r="D859" s="128"/>
      <c r="E859" s="128"/>
      <c r="F859" s="128"/>
      <c r="G859" s="128"/>
      <c r="H859" s="128"/>
      <c r="I859" s="128"/>
    </row>
    <row r="860" spans="1:9" ht="15" thickBot="1" x14ac:dyDescent="0.35">
      <c r="A860" s="130">
        <v>42496</v>
      </c>
      <c r="B860" s="129">
        <v>174.41606279999999</v>
      </c>
      <c r="C860" s="131">
        <v>-9.9971548609999999E-3</v>
      </c>
      <c r="D860" s="128"/>
      <c r="E860" s="128"/>
      <c r="F860" s="128"/>
      <c r="G860" s="128"/>
      <c r="H860" s="128"/>
      <c r="I860" s="128"/>
    </row>
    <row r="861" spans="1:9" ht="15" thickBot="1" x14ac:dyDescent="0.35">
      <c r="A861" s="130">
        <v>42406</v>
      </c>
      <c r="B861" s="129">
        <v>176.17733490000001</v>
      </c>
      <c r="C861" s="131">
        <v>8.9337278969999993E-3</v>
      </c>
      <c r="D861" s="128"/>
      <c r="E861" s="128"/>
      <c r="F861" s="128"/>
      <c r="G861" s="128"/>
      <c r="H861" s="128"/>
      <c r="I861" s="128"/>
    </row>
    <row r="862" spans="1:9" ht="15" thickBot="1" x14ac:dyDescent="0.35">
      <c r="A862" s="130">
        <v>42375</v>
      </c>
      <c r="B862" s="129">
        <v>174.61735100000001</v>
      </c>
      <c r="C862" s="131">
        <v>-1.8942628159999999E-2</v>
      </c>
      <c r="D862" s="128"/>
      <c r="E862" s="128"/>
      <c r="F862" s="128"/>
      <c r="G862" s="128"/>
      <c r="H862" s="128"/>
      <c r="I862" s="128"/>
    </row>
    <row r="863" spans="1:9" ht="15" thickBot="1" x14ac:dyDescent="0.35">
      <c r="A863" s="130">
        <v>42521</v>
      </c>
      <c r="B863" s="129">
        <v>177.98892910000001</v>
      </c>
      <c r="C863" s="131">
        <v>1.521241676E-2</v>
      </c>
      <c r="D863" s="128"/>
      <c r="E863" s="128"/>
      <c r="F863" s="128"/>
      <c r="G863" s="128"/>
      <c r="H863" s="128"/>
      <c r="I863" s="128"/>
    </row>
    <row r="864" spans="1:9" ht="15" thickBot="1" x14ac:dyDescent="0.35">
      <c r="A864" s="130">
        <v>42520</v>
      </c>
      <c r="B864" s="129">
        <v>175.32185989999999</v>
      </c>
      <c r="C864" s="131">
        <v>-4.0022918430000004E-3</v>
      </c>
      <c r="D864" s="128"/>
      <c r="E864" s="128"/>
      <c r="F864" s="128"/>
      <c r="G864" s="128"/>
      <c r="H864" s="128"/>
      <c r="I864" s="128"/>
    </row>
    <row r="865" spans="1:9" ht="15" thickBot="1" x14ac:dyDescent="0.35">
      <c r="A865" s="130">
        <v>42519</v>
      </c>
      <c r="B865" s="129">
        <v>176.0263688</v>
      </c>
      <c r="C865" s="131">
        <v>2.866976268E-3</v>
      </c>
      <c r="D865" s="128"/>
      <c r="E865" s="128"/>
      <c r="F865" s="128"/>
      <c r="G865" s="128"/>
      <c r="H865" s="128"/>
      <c r="I865" s="128"/>
    </row>
    <row r="866" spans="1:9" ht="15" thickBot="1" x14ac:dyDescent="0.35">
      <c r="A866" s="130">
        <v>42516</v>
      </c>
      <c r="B866" s="129">
        <v>175.52314809999999</v>
      </c>
      <c r="C866" s="131">
        <v>-2.858780212E-3</v>
      </c>
      <c r="D866" s="128"/>
      <c r="E866" s="128"/>
      <c r="F866" s="128"/>
      <c r="G866" s="128"/>
      <c r="H866" s="128"/>
      <c r="I866" s="128"/>
    </row>
    <row r="867" spans="1:9" ht="15" thickBot="1" x14ac:dyDescent="0.35">
      <c r="A867" s="130">
        <v>42515</v>
      </c>
      <c r="B867" s="129">
        <v>176.0263688</v>
      </c>
      <c r="C867" s="131">
        <v>-4.8364206389999997E-3</v>
      </c>
      <c r="D867" s="128"/>
      <c r="E867" s="128"/>
      <c r="F867" s="128"/>
      <c r="G867" s="128"/>
      <c r="H867" s="128"/>
      <c r="I867" s="128"/>
    </row>
    <row r="868" spans="1:9" ht="15" thickBot="1" x14ac:dyDescent="0.35">
      <c r="A868" s="130">
        <v>42514</v>
      </c>
      <c r="B868" s="129">
        <v>176.88184380000001</v>
      </c>
      <c r="C868" s="131">
        <v>1.5015899629999999E-2</v>
      </c>
      <c r="D868" s="128"/>
      <c r="E868" s="128"/>
      <c r="F868" s="128"/>
      <c r="G868" s="128"/>
      <c r="H868" s="128"/>
      <c r="I868" s="128"/>
    </row>
    <row r="869" spans="1:9" ht="15" thickBot="1" x14ac:dyDescent="0.35">
      <c r="A869" s="130">
        <v>42512</v>
      </c>
      <c r="B869" s="129">
        <v>174.26509659999999</v>
      </c>
      <c r="C869" s="131">
        <v>-9.7226306200000005E-3</v>
      </c>
      <c r="D869" s="128"/>
      <c r="E869" s="128"/>
      <c r="F869" s="128"/>
      <c r="G869" s="128"/>
      <c r="H869" s="128"/>
      <c r="I869" s="128"/>
    </row>
    <row r="870" spans="1:9" ht="15" thickBot="1" x14ac:dyDescent="0.35">
      <c r="A870" s="130">
        <v>42509</v>
      </c>
      <c r="B870" s="129">
        <v>175.97604670000001</v>
      </c>
      <c r="C870" s="131">
        <v>-2.5670305939999999E-3</v>
      </c>
      <c r="D870" s="128"/>
      <c r="E870" s="128"/>
      <c r="F870" s="128"/>
      <c r="G870" s="128"/>
      <c r="H870" s="128"/>
      <c r="I870" s="128"/>
    </row>
    <row r="871" spans="1:9" ht="15" thickBot="1" x14ac:dyDescent="0.35">
      <c r="A871" s="130">
        <v>42508</v>
      </c>
      <c r="B871" s="129">
        <v>176.42894519999999</v>
      </c>
      <c r="C871" s="131">
        <v>6.0258313939999999E-3</v>
      </c>
      <c r="D871" s="128"/>
      <c r="E871" s="128"/>
      <c r="F871" s="128"/>
      <c r="G871" s="128"/>
      <c r="H871" s="128"/>
      <c r="I871" s="128"/>
    </row>
    <row r="872" spans="1:9" ht="15" thickBot="1" x14ac:dyDescent="0.35">
      <c r="A872" s="130">
        <v>42507</v>
      </c>
      <c r="B872" s="129">
        <v>175.37218200000001</v>
      </c>
      <c r="C872" s="131">
        <v>-2.298853143E-2</v>
      </c>
      <c r="D872" s="128"/>
      <c r="E872" s="128"/>
      <c r="F872" s="128"/>
      <c r="G872" s="128"/>
      <c r="H872" s="128"/>
      <c r="I872" s="128"/>
    </row>
    <row r="873" spans="1:9" ht="15" thickBot="1" x14ac:dyDescent="0.35">
      <c r="A873" s="130">
        <v>42506</v>
      </c>
      <c r="B873" s="129">
        <v>179.498591</v>
      </c>
      <c r="C873" s="131">
        <v>2.294238367E-2</v>
      </c>
      <c r="D873" s="128"/>
      <c r="E873" s="128"/>
      <c r="F873" s="128"/>
      <c r="G873" s="128"/>
      <c r="H873" s="128"/>
      <c r="I873" s="128"/>
    </row>
    <row r="874" spans="1:9" ht="15" thickBot="1" x14ac:dyDescent="0.35">
      <c r="A874" s="130">
        <v>42505</v>
      </c>
      <c r="B874" s="129">
        <v>175.47282609999999</v>
      </c>
      <c r="C874" s="131">
        <v>-2.0034365920000002E-3</v>
      </c>
      <c r="D874" s="128"/>
      <c r="E874" s="128"/>
      <c r="F874" s="128"/>
      <c r="G874" s="128"/>
      <c r="H874" s="128"/>
      <c r="I874" s="128"/>
    </row>
    <row r="875" spans="1:9" ht="15" thickBot="1" x14ac:dyDescent="0.35">
      <c r="A875" s="130">
        <v>42709</v>
      </c>
      <c r="B875" s="129">
        <v>175.82508050000001</v>
      </c>
      <c r="C875" s="131">
        <v>5.4676318330000003E-3</v>
      </c>
      <c r="D875" s="128"/>
      <c r="E875" s="128"/>
      <c r="F875" s="128"/>
      <c r="G875" s="128"/>
      <c r="H875" s="128"/>
      <c r="I875" s="128"/>
    </row>
    <row r="876" spans="1:9" ht="15" thickBot="1" x14ac:dyDescent="0.35">
      <c r="A876" s="130">
        <v>42679</v>
      </c>
      <c r="B876" s="129">
        <v>174.86896139999999</v>
      </c>
      <c r="C876" s="131">
        <v>-5.7224670710000003E-3</v>
      </c>
      <c r="D876" s="128"/>
      <c r="E876" s="128"/>
      <c r="F876" s="128"/>
      <c r="G876" s="128"/>
      <c r="H876" s="128"/>
      <c r="I876" s="128"/>
    </row>
    <row r="877" spans="1:9" ht="15" thickBot="1" x14ac:dyDescent="0.35">
      <c r="A877" s="130">
        <v>42648</v>
      </c>
      <c r="B877" s="129">
        <v>175.8754026</v>
      </c>
      <c r="C877" s="131">
        <v>6.0449120540000002E-3</v>
      </c>
      <c r="D877" s="128"/>
      <c r="E877" s="128"/>
      <c r="F877" s="128"/>
      <c r="G877" s="128"/>
      <c r="H877" s="128"/>
      <c r="I877" s="128"/>
    </row>
    <row r="878" spans="1:9" ht="15" thickBot="1" x14ac:dyDescent="0.35">
      <c r="A878" s="130">
        <v>42618</v>
      </c>
      <c r="B878" s="129">
        <v>174.8186393</v>
      </c>
      <c r="C878" s="131">
        <v>5.7603740180000001E-4</v>
      </c>
      <c r="D878" s="128"/>
      <c r="E878" s="128"/>
      <c r="F878" s="128"/>
      <c r="G878" s="128"/>
      <c r="H878" s="128"/>
      <c r="I878" s="128"/>
    </row>
    <row r="879" spans="1:9" ht="15" thickBot="1" x14ac:dyDescent="0.35">
      <c r="A879" s="130">
        <v>42587</v>
      </c>
      <c r="B879" s="129">
        <v>174.71799519999999</v>
      </c>
      <c r="C879" s="131">
        <v>-1.0826223019999999E-2</v>
      </c>
      <c r="D879" s="128"/>
      <c r="E879" s="128"/>
      <c r="F879" s="128"/>
      <c r="G879" s="128"/>
      <c r="H879" s="128"/>
      <c r="I879" s="128"/>
    </row>
    <row r="880" spans="1:9" ht="15" thickBot="1" x14ac:dyDescent="0.35">
      <c r="A880" s="130">
        <v>42495</v>
      </c>
      <c r="B880" s="129">
        <v>176.6302335</v>
      </c>
      <c r="C880" s="131">
        <v>-6.7911793390000004E-3</v>
      </c>
      <c r="D880" s="128"/>
      <c r="E880" s="128"/>
      <c r="F880" s="128"/>
      <c r="G880" s="128"/>
      <c r="H880" s="128"/>
      <c r="I880" s="128"/>
    </row>
    <row r="881" spans="1:9" ht="15" thickBot="1" x14ac:dyDescent="0.35">
      <c r="A881" s="130">
        <v>42465</v>
      </c>
      <c r="B881" s="129">
        <v>177.837963</v>
      </c>
      <c r="C881" s="131">
        <v>-1.7241398519999999E-2</v>
      </c>
      <c r="D881" s="128"/>
      <c r="E881" s="128"/>
      <c r="F881" s="128"/>
      <c r="G881" s="128"/>
      <c r="H881" s="128"/>
      <c r="I881" s="128"/>
    </row>
    <row r="882" spans="1:9" ht="15" thickBot="1" x14ac:dyDescent="0.35">
      <c r="A882" s="130">
        <v>42434</v>
      </c>
      <c r="B882" s="129">
        <v>180.95793080000001</v>
      </c>
      <c r="C882" s="131">
        <v>-4.4296833199999998E-3</v>
      </c>
      <c r="D882" s="128"/>
      <c r="E882" s="128"/>
      <c r="F882" s="128"/>
      <c r="G882" s="128"/>
      <c r="H882" s="128"/>
      <c r="I882" s="128"/>
    </row>
    <row r="883" spans="1:9" ht="15" thickBot="1" x14ac:dyDescent="0.35">
      <c r="A883" s="130">
        <v>42405</v>
      </c>
      <c r="B883" s="129">
        <v>181.76308370000001</v>
      </c>
      <c r="C883" s="131">
        <v>-4.6844915740000001E-3</v>
      </c>
      <c r="D883" s="128"/>
      <c r="E883" s="128"/>
      <c r="F883" s="128"/>
      <c r="G883" s="128"/>
      <c r="H883" s="128"/>
      <c r="I883" s="128"/>
    </row>
    <row r="884" spans="1:9" ht="15" thickBot="1" x14ac:dyDescent="0.35">
      <c r="A884" s="130">
        <v>42488</v>
      </c>
      <c r="B884" s="129">
        <v>182.61855879999999</v>
      </c>
      <c r="C884" s="131">
        <v>-1.4929440400000001E-2</v>
      </c>
      <c r="D884" s="128"/>
      <c r="E884" s="128"/>
      <c r="F884" s="128"/>
      <c r="G884" s="128"/>
      <c r="H884" s="128"/>
      <c r="I884" s="128"/>
    </row>
    <row r="885" spans="1:9" ht="15" thickBot="1" x14ac:dyDescent="0.35">
      <c r="A885" s="130">
        <v>42487</v>
      </c>
      <c r="B885" s="129">
        <v>185.38627210000001</v>
      </c>
      <c r="C885" s="131">
        <v>-7.6460342589999994E-2</v>
      </c>
      <c r="D885" s="128"/>
      <c r="E885" s="128"/>
      <c r="F885" s="128"/>
      <c r="G885" s="128"/>
      <c r="H885" s="128"/>
      <c r="I885" s="128"/>
    </row>
    <row r="886" spans="1:9" ht="15" thickBot="1" x14ac:dyDescent="0.35">
      <c r="A886" s="130">
        <v>42486</v>
      </c>
      <c r="B886" s="129">
        <v>200.73450080000001</v>
      </c>
      <c r="C886" s="131">
        <v>6.0622239139999999E-2</v>
      </c>
      <c r="D886" s="128"/>
      <c r="E886" s="128"/>
      <c r="F886" s="128"/>
      <c r="G886" s="128"/>
      <c r="H886" s="128"/>
      <c r="I886" s="128"/>
    </row>
    <row r="887" spans="1:9" ht="15" thickBot="1" x14ac:dyDescent="0.35">
      <c r="A887" s="130">
        <v>42485</v>
      </c>
      <c r="B887" s="129">
        <v>189.26107089999999</v>
      </c>
      <c r="C887" s="131">
        <v>-1.7502630620000001E-2</v>
      </c>
      <c r="D887" s="128"/>
      <c r="E887" s="128"/>
      <c r="F887" s="128"/>
      <c r="G887" s="128"/>
      <c r="H887" s="128"/>
      <c r="I887" s="128"/>
    </row>
    <row r="888" spans="1:9" ht="15" thickBot="1" x14ac:dyDescent="0.35">
      <c r="A888" s="130">
        <v>42484</v>
      </c>
      <c r="B888" s="129">
        <v>192.63264899999999</v>
      </c>
      <c r="C888" s="131">
        <v>4.1632698580000002E-2</v>
      </c>
      <c r="D888" s="128"/>
      <c r="E888" s="128"/>
      <c r="F888" s="128"/>
      <c r="G888" s="128"/>
      <c r="H888" s="128"/>
      <c r="I888" s="128"/>
    </row>
    <row r="889" spans="1:9" ht="15" thickBot="1" x14ac:dyDescent="0.35">
      <c r="A889" s="130">
        <v>42481</v>
      </c>
      <c r="B889" s="129">
        <v>184.93337360000001</v>
      </c>
      <c r="C889" s="131">
        <v>8.9534645290000006E-2</v>
      </c>
      <c r="D889" s="128"/>
      <c r="E889" s="128"/>
      <c r="F889" s="128"/>
      <c r="G889" s="128"/>
      <c r="H889" s="128"/>
      <c r="I889" s="128"/>
    </row>
    <row r="890" spans="1:9" ht="15" thickBot="1" x14ac:dyDescent="0.35">
      <c r="A890" s="130">
        <v>42480</v>
      </c>
      <c r="B890" s="129">
        <v>169.73611109999999</v>
      </c>
      <c r="C890" s="131">
        <v>1.8725483250000001E-2</v>
      </c>
      <c r="D890" s="128"/>
      <c r="E890" s="128"/>
      <c r="F890" s="128"/>
      <c r="G890" s="128"/>
      <c r="H890" s="128"/>
      <c r="I890" s="128"/>
    </row>
    <row r="891" spans="1:9" ht="15" thickBot="1" x14ac:dyDescent="0.35">
      <c r="A891" s="130">
        <v>42479</v>
      </c>
      <c r="B891" s="129">
        <v>166.6161433</v>
      </c>
      <c r="C891" s="131">
        <v>-1.3702727E-2</v>
      </c>
      <c r="D891" s="128"/>
      <c r="E891" s="128"/>
      <c r="F891" s="128"/>
      <c r="G891" s="128"/>
      <c r="H891" s="128"/>
      <c r="I891" s="128"/>
    </row>
    <row r="892" spans="1:9" ht="15" thickBot="1" x14ac:dyDescent="0.35">
      <c r="A892" s="130">
        <v>42478</v>
      </c>
      <c r="B892" s="129">
        <v>168.9309581</v>
      </c>
      <c r="C892" s="131">
        <v>-1.9854038009999998E-2</v>
      </c>
      <c r="D892" s="128"/>
      <c r="E892" s="128"/>
      <c r="F892" s="128"/>
      <c r="G892" s="128"/>
      <c r="H892" s="128"/>
      <c r="I892" s="128"/>
    </row>
    <row r="893" spans="1:9" ht="15" thickBot="1" x14ac:dyDescent="0.35">
      <c r="A893" s="130">
        <v>42477</v>
      </c>
      <c r="B893" s="129">
        <v>172.35285830000001</v>
      </c>
      <c r="C893" s="131">
        <v>-3.4939458999999999E-2</v>
      </c>
      <c r="D893" s="128"/>
      <c r="E893" s="128"/>
      <c r="F893" s="128"/>
      <c r="G893" s="128"/>
      <c r="H893" s="128"/>
      <c r="I893" s="128"/>
    </row>
    <row r="894" spans="1:9" ht="15" thickBot="1" x14ac:dyDescent="0.35">
      <c r="A894" s="130">
        <v>42473</v>
      </c>
      <c r="B894" s="129">
        <v>178.5927939</v>
      </c>
      <c r="C894" s="131">
        <v>6.2376030689999997E-3</v>
      </c>
      <c r="D894" s="128"/>
      <c r="E894" s="128"/>
      <c r="F894" s="128"/>
      <c r="G894" s="128"/>
      <c r="H894" s="128"/>
      <c r="I894" s="128"/>
    </row>
    <row r="895" spans="1:9" ht="15" thickBot="1" x14ac:dyDescent="0.35">
      <c r="A895" s="130">
        <v>42708</v>
      </c>
      <c r="B895" s="129">
        <v>177.48570849999999</v>
      </c>
      <c r="C895" s="131">
        <v>8.2904607410000004E-3</v>
      </c>
      <c r="D895" s="128"/>
      <c r="E895" s="128"/>
      <c r="F895" s="128"/>
      <c r="G895" s="128"/>
      <c r="H895" s="128"/>
      <c r="I895" s="128"/>
    </row>
    <row r="896" spans="1:9" ht="15" thickBot="1" x14ac:dyDescent="0.35">
      <c r="A896" s="130">
        <v>42678</v>
      </c>
      <c r="B896" s="129">
        <v>176.0263688</v>
      </c>
      <c r="C896" s="131">
        <v>7.1983962550000004E-3</v>
      </c>
      <c r="D896" s="128"/>
      <c r="E896" s="128"/>
      <c r="F896" s="128"/>
      <c r="G896" s="128"/>
      <c r="H896" s="128"/>
      <c r="I896" s="128"/>
    </row>
    <row r="897" spans="1:9" ht="15" thickBot="1" x14ac:dyDescent="0.35">
      <c r="A897" s="130">
        <v>42647</v>
      </c>
      <c r="B897" s="129">
        <v>174.76831720000001</v>
      </c>
      <c r="C897" s="131">
        <v>-1.9480541909999999E-2</v>
      </c>
      <c r="D897" s="128"/>
      <c r="E897" s="128"/>
      <c r="F897" s="128"/>
      <c r="G897" s="128"/>
      <c r="H897" s="128"/>
      <c r="I897" s="128"/>
    </row>
    <row r="898" spans="1:9" ht="15" thickBot="1" x14ac:dyDescent="0.35">
      <c r="A898" s="130">
        <v>42555</v>
      </c>
      <c r="B898" s="129">
        <v>178.24053950000001</v>
      </c>
      <c r="C898" s="131">
        <v>1.3157910280000001E-2</v>
      </c>
      <c r="D898" s="128"/>
      <c r="E898" s="128"/>
      <c r="F898" s="128"/>
      <c r="G898" s="128"/>
      <c r="H898" s="128"/>
      <c r="I898" s="128"/>
    </row>
    <row r="899" spans="1:9" ht="15" thickBot="1" x14ac:dyDescent="0.35">
      <c r="A899" s="130">
        <v>42525</v>
      </c>
      <c r="B899" s="129">
        <v>175.9257246</v>
      </c>
      <c r="C899" s="131">
        <v>-5.1223734960000001E-3</v>
      </c>
      <c r="D899" s="128"/>
      <c r="E899" s="128"/>
      <c r="F899" s="128"/>
      <c r="G899" s="128"/>
      <c r="H899" s="128"/>
      <c r="I899" s="128"/>
    </row>
    <row r="900" spans="1:9" ht="15" thickBot="1" x14ac:dyDescent="0.35">
      <c r="A900" s="130">
        <v>42494</v>
      </c>
      <c r="B900" s="129">
        <v>176.8315217</v>
      </c>
      <c r="C900" s="131">
        <v>-2.554644109E-3</v>
      </c>
      <c r="D900" s="128"/>
      <c r="E900" s="128"/>
      <c r="F900" s="128"/>
      <c r="G900" s="128"/>
      <c r="H900" s="128"/>
      <c r="I900" s="128"/>
    </row>
    <row r="901" spans="1:9" ht="15" thickBot="1" x14ac:dyDescent="0.35">
      <c r="A901" s="130">
        <v>42464</v>
      </c>
      <c r="B901" s="129">
        <v>177.28442029999999</v>
      </c>
      <c r="C901" s="131">
        <v>-2.4910074590000001E-2</v>
      </c>
      <c r="D901" s="128"/>
      <c r="E901" s="128"/>
      <c r="F901" s="128"/>
      <c r="G901" s="128"/>
      <c r="H901" s="128"/>
      <c r="I901" s="128"/>
    </row>
    <row r="902" spans="1:9" ht="15" thickBot="1" x14ac:dyDescent="0.35">
      <c r="A902" s="130">
        <v>42433</v>
      </c>
      <c r="B902" s="129">
        <v>181.8134058</v>
      </c>
      <c r="C902" s="131">
        <v>2.2354297879999999E-2</v>
      </c>
      <c r="D902" s="128"/>
      <c r="E902" s="128"/>
      <c r="F902" s="128"/>
      <c r="G902" s="128"/>
      <c r="H902" s="128"/>
      <c r="I902" s="128"/>
    </row>
    <row r="903" spans="1:9" ht="15" thickBot="1" x14ac:dyDescent="0.35">
      <c r="A903" s="130">
        <v>42460</v>
      </c>
      <c r="B903" s="129">
        <v>177.837963</v>
      </c>
      <c r="C903" s="131">
        <v>-1.9150728879999999E-2</v>
      </c>
      <c r="D903" s="128"/>
      <c r="E903" s="128"/>
      <c r="F903" s="128"/>
      <c r="G903" s="128"/>
      <c r="H903" s="128"/>
      <c r="I903" s="128"/>
    </row>
    <row r="904" spans="1:9" ht="15" thickBot="1" x14ac:dyDescent="0.35">
      <c r="A904" s="130">
        <v>42459</v>
      </c>
      <c r="B904" s="129">
        <v>181.31018520000001</v>
      </c>
      <c r="C904" s="131">
        <v>-3.2491979019999999E-2</v>
      </c>
      <c r="D904" s="128"/>
      <c r="E904" s="128"/>
      <c r="F904" s="128"/>
      <c r="G904" s="128"/>
      <c r="H904" s="128"/>
      <c r="I904" s="128"/>
    </row>
    <row r="905" spans="1:9" ht="15" thickBot="1" x14ac:dyDescent="0.35">
      <c r="A905" s="130">
        <v>42458</v>
      </c>
      <c r="B905" s="129">
        <v>187.3991546</v>
      </c>
      <c r="C905" s="131">
        <v>8.9526143229999994E-2</v>
      </c>
      <c r="D905" s="128"/>
      <c r="E905" s="128"/>
      <c r="F905" s="128"/>
      <c r="G905" s="128"/>
      <c r="H905" s="128"/>
      <c r="I905" s="128"/>
    </row>
    <row r="906" spans="1:9" ht="15" thickBot="1" x14ac:dyDescent="0.35">
      <c r="A906" s="130">
        <v>42457</v>
      </c>
      <c r="B906" s="129">
        <v>172.00060389999999</v>
      </c>
      <c r="C906" s="131">
        <v>-5.8173422900000002E-3</v>
      </c>
      <c r="D906" s="128"/>
      <c r="E906" s="128"/>
      <c r="F906" s="128"/>
      <c r="G906" s="128"/>
      <c r="H906" s="128"/>
      <c r="I906" s="128"/>
    </row>
    <row r="907" spans="1:9" ht="15" thickBot="1" x14ac:dyDescent="0.35">
      <c r="A907" s="130">
        <v>42456</v>
      </c>
      <c r="B907" s="129">
        <v>173.0070451</v>
      </c>
      <c r="C907" s="131">
        <v>7.9155768449999993E-3</v>
      </c>
      <c r="D907" s="128"/>
      <c r="E907" s="128"/>
      <c r="F907" s="128"/>
      <c r="G907" s="128"/>
      <c r="H907" s="128"/>
      <c r="I907" s="128"/>
    </row>
    <row r="908" spans="1:9" ht="15" thickBot="1" x14ac:dyDescent="0.35">
      <c r="A908" s="130">
        <v>42453</v>
      </c>
      <c r="B908" s="129">
        <v>171.6483494</v>
      </c>
      <c r="C908" s="131">
        <v>1.487654219E-2</v>
      </c>
      <c r="D908" s="128"/>
      <c r="E908" s="128"/>
      <c r="F908" s="128"/>
      <c r="G908" s="128"/>
      <c r="H908" s="128"/>
      <c r="I908" s="128"/>
    </row>
    <row r="909" spans="1:9" ht="15" thickBot="1" x14ac:dyDescent="0.35">
      <c r="A909" s="130">
        <v>42452</v>
      </c>
      <c r="B909" s="129">
        <v>169.13224640000001</v>
      </c>
      <c r="C909" s="131">
        <v>1.387633641E-2</v>
      </c>
      <c r="D909" s="128"/>
      <c r="E909" s="128"/>
      <c r="F909" s="128"/>
      <c r="G909" s="128"/>
      <c r="H909" s="128"/>
      <c r="I909" s="128"/>
    </row>
    <row r="910" spans="1:9" ht="15" thickBot="1" x14ac:dyDescent="0.35">
      <c r="A910" s="130">
        <v>42451</v>
      </c>
      <c r="B910" s="129">
        <v>166.81743159999999</v>
      </c>
      <c r="C910" s="131">
        <v>5.7645703279999997E-3</v>
      </c>
      <c r="D910" s="128"/>
      <c r="E910" s="128"/>
      <c r="F910" s="128"/>
      <c r="G910" s="128"/>
      <c r="H910" s="128"/>
      <c r="I910" s="128"/>
    </row>
    <row r="911" spans="1:9" ht="15" thickBot="1" x14ac:dyDescent="0.35">
      <c r="A911" s="130">
        <v>42450</v>
      </c>
      <c r="B911" s="129">
        <v>165.8613124</v>
      </c>
      <c r="C911" s="131">
        <v>7.3349724840000002E-3</v>
      </c>
      <c r="D911" s="128"/>
      <c r="E911" s="128"/>
      <c r="F911" s="128"/>
      <c r="G911" s="128"/>
      <c r="H911" s="128"/>
      <c r="I911" s="128"/>
    </row>
    <row r="912" spans="1:9" ht="15" thickBot="1" x14ac:dyDescent="0.35">
      <c r="A912" s="130">
        <v>42449</v>
      </c>
      <c r="B912" s="129">
        <v>164.6535829</v>
      </c>
      <c r="C912" s="131">
        <v>-2.328361005E-2</v>
      </c>
      <c r="D912" s="128"/>
      <c r="E912" s="128"/>
      <c r="F912" s="128"/>
      <c r="G912" s="128"/>
      <c r="H912" s="128"/>
      <c r="I912" s="128"/>
    </row>
    <row r="913" spans="1:9" ht="15" thickBot="1" x14ac:dyDescent="0.35">
      <c r="A913" s="130">
        <v>42445</v>
      </c>
      <c r="B913" s="129">
        <v>168.57870370000001</v>
      </c>
      <c r="C913" s="131">
        <v>-2.984189689E-4</v>
      </c>
      <c r="D913" s="128"/>
      <c r="E913" s="128"/>
      <c r="F913" s="128"/>
      <c r="G913" s="128"/>
      <c r="H913" s="128"/>
      <c r="I913" s="128"/>
    </row>
    <row r="914" spans="1:9" ht="15" thickBot="1" x14ac:dyDescent="0.35">
      <c r="A914" s="130">
        <v>42444</v>
      </c>
      <c r="B914" s="129">
        <v>168.62902579999999</v>
      </c>
      <c r="C914" s="131">
        <v>8.9605851560000001E-4</v>
      </c>
      <c r="D914" s="128"/>
      <c r="E914" s="128"/>
      <c r="F914" s="128"/>
      <c r="G914" s="128"/>
      <c r="H914" s="128"/>
      <c r="I914" s="128"/>
    </row>
    <row r="915" spans="1:9" ht="15" thickBot="1" x14ac:dyDescent="0.35">
      <c r="A915" s="130">
        <v>42443</v>
      </c>
      <c r="B915" s="129">
        <v>168.47805959999999</v>
      </c>
      <c r="C915" s="131">
        <v>-4.4603085000000002E-3</v>
      </c>
      <c r="D915" s="128"/>
      <c r="E915" s="128"/>
      <c r="F915" s="128"/>
      <c r="G915" s="128"/>
      <c r="H915" s="128"/>
      <c r="I915" s="128"/>
    </row>
    <row r="916" spans="1:9" ht="15" thickBot="1" x14ac:dyDescent="0.35">
      <c r="A916" s="130">
        <v>42442</v>
      </c>
      <c r="B916" s="129">
        <v>169.2328905</v>
      </c>
      <c r="C916" s="131">
        <v>3.2816269880000001E-3</v>
      </c>
      <c r="D916" s="128"/>
      <c r="E916" s="128"/>
      <c r="F916" s="128"/>
      <c r="G916" s="128"/>
      <c r="H916" s="128"/>
      <c r="I916" s="128"/>
    </row>
    <row r="917" spans="1:9" ht="15" thickBot="1" x14ac:dyDescent="0.35">
      <c r="A917" s="130">
        <v>42646</v>
      </c>
      <c r="B917" s="129">
        <v>168.67934779999999</v>
      </c>
      <c r="C917" s="131">
        <v>-2.083956463E-3</v>
      </c>
      <c r="D917" s="128"/>
      <c r="E917" s="128"/>
      <c r="F917" s="128"/>
      <c r="G917" s="128"/>
      <c r="H917" s="128"/>
      <c r="I917" s="128"/>
    </row>
    <row r="918" spans="1:9" ht="15" thickBot="1" x14ac:dyDescent="0.35">
      <c r="A918" s="130">
        <v>42616</v>
      </c>
      <c r="B918" s="129">
        <v>169.0316023</v>
      </c>
      <c r="C918" s="131">
        <v>-1.118635391E-2</v>
      </c>
      <c r="D918" s="128"/>
      <c r="E918" s="128"/>
      <c r="F918" s="128"/>
      <c r="G918" s="128"/>
      <c r="H918" s="128"/>
      <c r="I918" s="128"/>
    </row>
    <row r="919" spans="1:9" ht="15" thickBot="1" x14ac:dyDescent="0.35">
      <c r="A919" s="130">
        <v>42585</v>
      </c>
      <c r="B919" s="129">
        <v>170.94384059999999</v>
      </c>
      <c r="C919" s="131">
        <v>2.0120144289999999E-2</v>
      </c>
      <c r="D919" s="128"/>
      <c r="E919" s="128"/>
      <c r="F919" s="128"/>
      <c r="G919" s="128"/>
      <c r="H919" s="128"/>
      <c r="I919" s="128"/>
    </row>
    <row r="920" spans="1:9" ht="15" thickBot="1" x14ac:dyDescent="0.35">
      <c r="A920" s="130">
        <v>42554</v>
      </c>
      <c r="B920" s="129">
        <v>167.57226249999999</v>
      </c>
      <c r="C920" s="131">
        <v>5.4347891630000004E-3</v>
      </c>
      <c r="D920" s="128"/>
      <c r="E920" s="128"/>
      <c r="F920" s="128"/>
      <c r="G920" s="128"/>
      <c r="H920" s="128"/>
      <c r="I920" s="128"/>
    </row>
    <row r="921" spans="1:9" ht="15" thickBot="1" x14ac:dyDescent="0.35">
      <c r="A921" s="130">
        <v>42524</v>
      </c>
      <c r="B921" s="129">
        <v>166.66646539999999</v>
      </c>
      <c r="C921" s="131">
        <v>3.0202415570000001E-4</v>
      </c>
      <c r="D921" s="128"/>
      <c r="E921" s="128"/>
      <c r="F921" s="128"/>
      <c r="G921" s="128"/>
      <c r="H921" s="128"/>
      <c r="I921" s="128"/>
    </row>
    <row r="922" spans="1:9" ht="15" thickBot="1" x14ac:dyDescent="0.35">
      <c r="A922" s="130">
        <v>42432</v>
      </c>
      <c r="B922" s="129">
        <v>166.6161433</v>
      </c>
      <c r="C922" s="131">
        <v>1.1301174069999999E-2</v>
      </c>
      <c r="D922" s="128"/>
      <c r="E922" s="128"/>
      <c r="F922" s="128"/>
      <c r="G922" s="128"/>
      <c r="H922" s="128"/>
      <c r="I922" s="128"/>
    </row>
    <row r="923" spans="1:9" ht="15" thickBot="1" x14ac:dyDescent="0.35">
      <c r="A923" s="130">
        <v>42403</v>
      </c>
      <c r="B923" s="129">
        <v>164.75422710000001</v>
      </c>
      <c r="C923" s="131">
        <v>-1.5248569620000001E-3</v>
      </c>
      <c r="D923" s="128"/>
      <c r="E923" s="128"/>
      <c r="F923" s="128"/>
      <c r="G923" s="128"/>
      <c r="H923" s="128"/>
      <c r="I923" s="128"/>
    </row>
    <row r="924" spans="1:9" ht="15" thickBot="1" x14ac:dyDescent="0.35">
      <c r="A924" s="130">
        <v>42372</v>
      </c>
      <c r="B924" s="129">
        <v>165.00583739999999</v>
      </c>
      <c r="C924" s="131">
        <v>-1.9144503810000001E-2</v>
      </c>
      <c r="D924" s="128"/>
      <c r="E924" s="128"/>
      <c r="F924" s="128"/>
      <c r="G924" s="128"/>
      <c r="H924" s="128"/>
      <c r="I924" s="128"/>
    </row>
    <row r="925" spans="1:9" ht="15" thickBot="1" x14ac:dyDescent="0.35">
      <c r="A925" s="130">
        <v>42429</v>
      </c>
      <c r="B925" s="129">
        <v>168.22644930000001</v>
      </c>
      <c r="C925" s="131">
        <v>-1.1951012519999999E-3</v>
      </c>
      <c r="D925" s="128"/>
      <c r="E925" s="128"/>
      <c r="F925" s="128"/>
      <c r="G925" s="128"/>
      <c r="H925" s="128"/>
      <c r="I925" s="128"/>
    </row>
    <row r="926" spans="1:9" ht="15" thickBot="1" x14ac:dyDescent="0.35">
      <c r="A926" s="130">
        <v>42428</v>
      </c>
      <c r="B926" s="129">
        <v>168.42773750000001</v>
      </c>
      <c r="C926" s="131">
        <v>-1.616697982E-2</v>
      </c>
      <c r="D926" s="128"/>
      <c r="E926" s="128"/>
      <c r="F926" s="128"/>
      <c r="G926" s="128"/>
      <c r="H926" s="128"/>
      <c r="I926" s="128"/>
    </row>
    <row r="927" spans="1:9" ht="15" thickBot="1" x14ac:dyDescent="0.35">
      <c r="A927" s="130">
        <v>42425</v>
      </c>
      <c r="B927" s="129">
        <v>171.1954509</v>
      </c>
      <c r="C927" s="131">
        <v>-8.1632747480000004E-3</v>
      </c>
      <c r="D927" s="128"/>
      <c r="E927" s="128"/>
      <c r="F927" s="128"/>
      <c r="G927" s="128"/>
      <c r="H927" s="128"/>
      <c r="I927" s="128"/>
    </row>
    <row r="928" spans="1:9" ht="15" thickBot="1" x14ac:dyDescent="0.35">
      <c r="A928" s="130">
        <v>42424</v>
      </c>
      <c r="B928" s="129">
        <v>172.60446859999999</v>
      </c>
      <c r="C928" s="131">
        <v>-1.6628459160000001E-2</v>
      </c>
      <c r="D928" s="128"/>
      <c r="E928" s="128"/>
      <c r="F928" s="128"/>
      <c r="G928" s="128"/>
      <c r="H928" s="128"/>
      <c r="I928" s="128"/>
    </row>
    <row r="929" spans="1:9" ht="15" thickBot="1" x14ac:dyDescent="0.35">
      <c r="A929" s="130">
        <v>42423</v>
      </c>
      <c r="B929" s="129">
        <v>175.52314809999999</v>
      </c>
      <c r="C929" s="131">
        <v>-5.7306700119999997E-4</v>
      </c>
      <c r="D929" s="128"/>
      <c r="E929" s="128"/>
      <c r="F929" s="128"/>
      <c r="G929" s="128"/>
      <c r="H929" s="128"/>
      <c r="I929" s="128"/>
    </row>
    <row r="930" spans="1:9" ht="15" thickBot="1" x14ac:dyDescent="0.35">
      <c r="A930" s="130">
        <v>42422</v>
      </c>
      <c r="B930" s="129">
        <v>175.62379229999999</v>
      </c>
      <c r="C930" s="131">
        <v>-2.4867308899999999E-2</v>
      </c>
      <c r="D930" s="128"/>
      <c r="E930" s="128"/>
      <c r="F930" s="128"/>
      <c r="G930" s="128"/>
      <c r="H930" s="128"/>
      <c r="I930" s="128"/>
    </row>
    <row r="931" spans="1:9" ht="15" thickBot="1" x14ac:dyDescent="0.35">
      <c r="A931" s="130">
        <v>42418</v>
      </c>
      <c r="B931" s="129">
        <v>180.10245570000001</v>
      </c>
      <c r="C931" s="131">
        <v>-3.3486398649999999E-2</v>
      </c>
      <c r="D931" s="128"/>
      <c r="E931" s="128"/>
      <c r="F931" s="128"/>
      <c r="G931" s="128"/>
      <c r="H931" s="128"/>
      <c r="I931" s="128"/>
    </row>
    <row r="932" spans="1:9" ht="15" thickBot="1" x14ac:dyDescent="0.35">
      <c r="A932" s="130">
        <v>42417</v>
      </c>
      <c r="B932" s="129">
        <v>186.3423913</v>
      </c>
      <c r="C932" s="131">
        <v>-2.6038954489999998E-2</v>
      </c>
      <c r="D932" s="128"/>
      <c r="E932" s="128"/>
      <c r="F932" s="128"/>
      <c r="G932" s="128"/>
      <c r="H932" s="128"/>
      <c r="I932" s="128"/>
    </row>
    <row r="933" spans="1:9" ht="15" thickBot="1" x14ac:dyDescent="0.35">
      <c r="A933" s="130">
        <v>42416</v>
      </c>
      <c r="B933" s="129">
        <v>191.3242754</v>
      </c>
      <c r="C933" s="131">
        <v>2.6371335199999999E-3</v>
      </c>
      <c r="D933" s="128"/>
      <c r="E933" s="128"/>
      <c r="F933" s="128"/>
      <c r="G933" s="128"/>
      <c r="H933" s="128"/>
      <c r="I933" s="128"/>
    </row>
    <row r="934" spans="1:9" ht="15" thickBot="1" x14ac:dyDescent="0.35">
      <c r="A934" s="130">
        <v>42415</v>
      </c>
      <c r="B934" s="129">
        <v>190.82105480000001</v>
      </c>
      <c r="C934" s="131">
        <v>4.4052911989999999E-2</v>
      </c>
      <c r="D934" s="128"/>
      <c r="E934" s="128"/>
      <c r="F934" s="128"/>
      <c r="G934" s="128"/>
      <c r="H934" s="128"/>
      <c r="I934" s="128"/>
    </row>
    <row r="935" spans="1:9" ht="15" thickBot="1" x14ac:dyDescent="0.35">
      <c r="A935" s="130">
        <v>42414</v>
      </c>
      <c r="B935" s="129">
        <v>182.76952499999999</v>
      </c>
      <c r="C935" s="131">
        <v>-4.2446656669999999E-2</v>
      </c>
      <c r="D935" s="128"/>
      <c r="E935" s="128"/>
      <c r="F935" s="128"/>
      <c r="G935" s="128"/>
      <c r="H935" s="128"/>
      <c r="I935" s="128"/>
    </row>
    <row r="936" spans="1:9" ht="15" thickBot="1" x14ac:dyDescent="0.35">
      <c r="A936" s="130">
        <v>42676</v>
      </c>
      <c r="B936" s="129">
        <v>190.87137680000001</v>
      </c>
      <c r="C936" s="131">
        <v>-6.1371008650000003E-2</v>
      </c>
      <c r="D936" s="128"/>
      <c r="E936" s="128"/>
      <c r="F936" s="128"/>
      <c r="G936" s="128"/>
      <c r="H936" s="128"/>
      <c r="I936" s="128"/>
    </row>
    <row r="937" spans="1:9" ht="15" thickBot="1" x14ac:dyDescent="0.35">
      <c r="A937" s="130">
        <v>42645</v>
      </c>
      <c r="B937" s="129">
        <v>203.351248</v>
      </c>
      <c r="C937" s="131">
        <v>3.8283698040000001E-2</v>
      </c>
      <c r="D937" s="128"/>
      <c r="E937" s="128"/>
      <c r="F937" s="128"/>
      <c r="G937" s="128"/>
      <c r="H937" s="128"/>
      <c r="I937" s="128"/>
    </row>
    <row r="938" spans="1:9" ht="15" thickBot="1" x14ac:dyDescent="0.35">
      <c r="A938" s="130">
        <v>42615</v>
      </c>
      <c r="B938" s="129">
        <v>195.85326090000001</v>
      </c>
      <c r="C938" s="131">
        <v>1.2750468649999999E-2</v>
      </c>
      <c r="D938" s="128"/>
      <c r="E938" s="128"/>
      <c r="F938" s="128"/>
      <c r="G938" s="128"/>
      <c r="H938" s="128"/>
      <c r="I938" s="128"/>
    </row>
    <row r="939" spans="1:9" ht="15" thickBot="1" x14ac:dyDescent="0.35">
      <c r="A939" s="130">
        <v>42584</v>
      </c>
      <c r="B939" s="129">
        <v>193.38747989999999</v>
      </c>
      <c r="C939" s="131">
        <v>8.9594658270000002E-2</v>
      </c>
      <c r="D939" s="128"/>
      <c r="E939" s="128"/>
      <c r="F939" s="128"/>
      <c r="G939" s="128"/>
      <c r="H939" s="128"/>
      <c r="I939" s="128"/>
    </row>
    <row r="940" spans="1:9" ht="15" thickBot="1" x14ac:dyDescent="0.35">
      <c r="A940" s="130">
        <v>42553</v>
      </c>
      <c r="B940" s="129">
        <v>177.48570849999999</v>
      </c>
      <c r="C940" s="131">
        <v>-8.1552399119999997E-3</v>
      </c>
      <c r="D940" s="128"/>
      <c r="E940" s="128"/>
      <c r="F940" s="128"/>
      <c r="G940" s="128"/>
      <c r="H940" s="128"/>
      <c r="I940" s="128"/>
    </row>
    <row r="941" spans="1:9" ht="15" thickBot="1" x14ac:dyDescent="0.35">
      <c r="A941" s="130">
        <v>42462</v>
      </c>
      <c r="B941" s="129">
        <v>178.9450483</v>
      </c>
      <c r="C941" s="131">
        <v>-6.7039182780000003E-3</v>
      </c>
      <c r="D941" s="128"/>
      <c r="E941" s="128"/>
      <c r="F941" s="128"/>
      <c r="G941" s="128"/>
      <c r="H941" s="128"/>
      <c r="I941" s="128"/>
    </row>
    <row r="942" spans="1:9" ht="15" thickBot="1" x14ac:dyDescent="0.35">
      <c r="A942" s="130">
        <v>42431</v>
      </c>
      <c r="B942" s="129">
        <v>180.1527778</v>
      </c>
      <c r="C942" s="131">
        <v>-1.5130690299999999E-2</v>
      </c>
      <c r="D942" s="128"/>
      <c r="E942" s="128"/>
      <c r="F942" s="128"/>
      <c r="G942" s="128"/>
      <c r="H942" s="128"/>
      <c r="I942" s="128"/>
    </row>
    <row r="943" spans="1:9" ht="15" thickBot="1" x14ac:dyDescent="0.35">
      <c r="A943" s="130">
        <v>42402</v>
      </c>
      <c r="B943" s="129">
        <v>182.92049109999999</v>
      </c>
      <c r="C943" s="131">
        <v>4.3041655829999997E-2</v>
      </c>
      <c r="D943" s="128"/>
      <c r="E943" s="128"/>
      <c r="F943" s="128"/>
      <c r="G943" s="128"/>
      <c r="H943" s="128"/>
      <c r="I943" s="128"/>
    </row>
    <row r="944" spans="1:9" ht="15" thickBot="1" x14ac:dyDescent="0.35">
      <c r="A944" s="130">
        <v>42371</v>
      </c>
      <c r="B944" s="129">
        <v>175.37218200000001</v>
      </c>
      <c r="C944" s="131">
        <v>8.4656190399999998E-2</v>
      </c>
      <c r="D944" s="128"/>
      <c r="E944" s="128"/>
      <c r="F944" s="128"/>
      <c r="G944" s="128"/>
      <c r="H944" s="128"/>
      <c r="I944" s="128"/>
    </row>
    <row r="945" spans="1:9" ht="15" thickBot="1" x14ac:dyDescent="0.35">
      <c r="A945" s="130">
        <v>42400</v>
      </c>
      <c r="B945" s="129">
        <v>161.68458129999999</v>
      </c>
      <c r="C945" s="131">
        <v>-4.0035900860000001E-2</v>
      </c>
      <c r="D945" s="128"/>
      <c r="E945" s="128"/>
      <c r="F945" s="128"/>
      <c r="G945" s="128"/>
      <c r="H945" s="128"/>
      <c r="I945" s="128"/>
    </row>
    <row r="946" spans="1:9" ht="15" thickBot="1" x14ac:dyDescent="0.35">
      <c r="A946" s="130">
        <v>42396</v>
      </c>
      <c r="B946" s="129">
        <v>168.42773750000001</v>
      </c>
      <c r="C946" s="131">
        <v>8.9713035749999998E-4</v>
      </c>
      <c r="D946" s="128"/>
      <c r="E946" s="128"/>
      <c r="F946" s="128"/>
      <c r="G946" s="128"/>
      <c r="H946" s="128"/>
      <c r="I946" s="128"/>
    </row>
    <row r="947" spans="1:9" ht="15" thickBot="1" x14ac:dyDescent="0.35">
      <c r="A947" s="130">
        <v>42395</v>
      </c>
      <c r="B947" s="129">
        <v>168.27677130000001</v>
      </c>
      <c r="C947" s="131">
        <v>-1.1820345249999999E-2</v>
      </c>
      <c r="D947" s="128"/>
      <c r="E947" s="128"/>
      <c r="F947" s="128"/>
      <c r="G947" s="128"/>
      <c r="H947" s="128"/>
      <c r="I947" s="128"/>
    </row>
    <row r="948" spans="1:9" ht="15" thickBot="1" x14ac:dyDescent="0.35">
      <c r="A948" s="130">
        <v>42394</v>
      </c>
      <c r="B948" s="129">
        <v>170.2896538</v>
      </c>
      <c r="C948" s="131">
        <v>4.1551297940000002E-2</v>
      </c>
      <c r="D948" s="128"/>
      <c r="E948" s="128"/>
      <c r="F948" s="128"/>
      <c r="G948" s="128"/>
      <c r="H948" s="128"/>
      <c r="I948" s="128"/>
    </row>
    <row r="949" spans="1:9" ht="15" thickBot="1" x14ac:dyDescent="0.35">
      <c r="A949" s="130">
        <v>42393</v>
      </c>
      <c r="B949" s="129">
        <v>163.49617549999999</v>
      </c>
      <c r="C949" s="131">
        <v>-3.6798577190000001E-3</v>
      </c>
      <c r="D949" s="128"/>
      <c r="E949" s="128"/>
      <c r="F949" s="128"/>
      <c r="G949" s="128"/>
      <c r="H949" s="128"/>
      <c r="I949" s="128"/>
    </row>
    <row r="950" spans="1:9" ht="15" thickBot="1" x14ac:dyDescent="0.35">
      <c r="A950" s="130">
        <v>42390</v>
      </c>
      <c r="B950" s="129">
        <v>164.10004029999999</v>
      </c>
      <c r="C950" s="131">
        <v>9.2850629589999994E-3</v>
      </c>
      <c r="D950" s="128"/>
      <c r="E950" s="128"/>
      <c r="F950" s="128"/>
      <c r="G950" s="128"/>
      <c r="H950" s="128"/>
      <c r="I950" s="128"/>
    </row>
    <row r="951" spans="1:9" ht="15" thickBot="1" x14ac:dyDescent="0.35">
      <c r="A951" s="130">
        <v>42389</v>
      </c>
      <c r="B951" s="129">
        <v>162.59037839999999</v>
      </c>
      <c r="C951" s="131">
        <v>-6.4575726100000001E-3</v>
      </c>
      <c r="D951" s="128"/>
      <c r="E951" s="128"/>
      <c r="F951" s="128"/>
      <c r="G951" s="128"/>
      <c r="H951" s="128"/>
      <c r="I951" s="128"/>
    </row>
    <row r="952" spans="1:9" ht="15" thickBot="1" x14ac:dyDescent="0.35">
      <c r="A952" s="130">
        <v>42388</v>
      </c>
      <c r="B952" s="129">
        <v>163.64714169999999</v>
      </c>
      <c r="C952" s="131">
        <v>-1.663140829E-2</v>
      </c>
      <c r="D952" s="128"/>
      <c r="E952" s="128"/>
      <c r="F952" s="128"/>
      <c r="G952" s="128"/>
      <c r="H952" s="128"/>
      <c r="I952" s="128"/>
    </row>
    <row r="953" spans="1:9" ht="15" thickBot="1" x14ac:dyDescent="0.35">
      <c r="A953" s="130">
        <v>42387</v>
      </c>
      <c r="B953" s="129">
        <v>166.41485510000001</v>
      </c>
      <c r="C953" s="131">
        <v>-1.509663623E-3</v>
      </c>
      <c r="D953" s="128"/>
      <c r="E953" s="128"/>
      <c r="F953" s="128"/>
      <c r="G953" s="128"/>
      <c r="H953" s="128"/>
      <c r="I953" s="128"/>
    </row>
    <row r="954" spans="1:9" ht="15" thickBot="1" x14ac:dyDescent="0.35">
      <c r="A954" s="130">
        <v>42386</v>
      </c>
      <c r="B954" s="129">
        <v>166.66646539999999</v>
      </c>
      <c r="C954" s="131">
        <v>0</v>
      </c>
      <c r="D954" s="128"/>
      <c r="E954" s="128"/>
      <c r="F954" s="128"/>
      <c r="G954" s="128"/>
      <c r="H954" s="128"/>
      <c r="I954" s="128"/>
    </row>
    <row r="955" spans="1:9" ht="15" thickBot="1" x14ac:dyDescent="0.35">
      <c r="A955" s="130">
        <v>42383</v>
      </c>
      <c r="B955" s="129">
        <v>166.66646539999999</v>
      </c>
      <c r="C955" s="131">
        <v>4.854374949E-3</v>
      </c>
      <c r="D955" s="128"/>
      <c r="E955" s="128"/>
      <c r="F955" s="128"/>
      <c r="G955" s="128"/>
      <c r="H955" s="128"/>
      <c r="I955" s="128"/>
    </row>
    <row r="956" spans="1:9" ht="15" thickBot="1" x14ac:dyDescent="0.35">
      <c r="A956" s="130">
        <v>42382</v>
      </c>
      <c r="B956" s="129">
        <v>165.8613124</v>
      </c>
      <c r="C956" s="131">
        <v>-4.2296126210000003E-3</v>
      </c>
      <c r="D956" s="128"/>
      <c r="E956" s="128"/>
      <c r="F956" s="128"/>
      <c r="G956" s="128"/>
      <c r="H956" s="128"/>
      <c r="I956" s="128"/>
    </row>
    <row r="957" spans="1:9" ht="15" thickBot="1" x14ac:dyDescent="0.35">
      <c r="A957" s="130">
        <v>42705</v>
      </c>
      <c r="B957" s="129">
        <v>166.56582130000001</v>
      </c>
      <c r="C957" s="131">
        <v>2.9869359049999999E-2</v>
      </c>
      <c r="D957" s="128"/>
      <c r="E957" s="128"/>
      <c r="F957" s="128"/>
      <c r="G957" s="128"/>
      <c r="H957" s="128"/>
      <c r="I957" s="128"/>
    </row>
    <row r="958" spans="1:9" ht="15" thickBot="1" x14ac:dyDescent="0.35">
      <c r="A958" s="130">
        <v>42675</v>
      </c>
      <c r="B958" s="129">
        <v>161.73490340000001</v>
      </c>
      <c r="C958" s="131">
        <v>-5.0517046039999999E-2</v>
      </c>
      <c r="D958" s="128"/>
      <c r="E958" s="128"/>
      <c r="F958" s="128"/>
      <c r="G958" s="128"/>
      <c r="H958" s="128"/>
      <c r="I958" s="128"/>
    </row>
    <row r="959" spans="1:9" ht="15" thickBot="1" x14ac:dyDescent="0.35">
      <c r="A959" s="130">
        <v>42644</v>
      </c>
      <c r="B959" s="129">
        <v>170.33997579999999</v>
      </c>
      <c r="C959" s="131">
        <v>5.5503654550000003E-2</v>
      </c>
      <c r="D959" s="128"/>
      <c r="E959" s="128"/>
      <c r="F959" s="128"/>
      <c r="G959" s="128"/>
      <c r="H959" s="128"/>
      <c r="I959" s="128"/>
    </row>
    <row r="960" spans="1:9" ht="15" thickBot="1" x14ac:dyDescent="0.35">
      <c r="A960" s="130">
        <v>42552</v>
      </c>
      <c r="B960" s="129">
        <v>161.38264899999999</v>
      </c>
      <c r="C960" s="131">
        <v>-3.7226102429999998E-2</v>
      </c>
      <c r="D960" s="128"/>
      <c r="E960" s="128"/>
      <c r="F960" s="128"/>
      <c r="G960" s="128"/>
      <c r="H960" s="128"/>
      <c r="I960" s="128"/>
    </row>
    <row r="961" spans="1:9" ht="15" thickBot="1" x14ac:dyDescent="0.35">
      <c r="A961" s="130">
        <v>42491</v>
      </c>
      <c r="B961" s="129">
        <v>167.62258449999999</v>
      </c>
      <c r="C961" s="131">
        <v>1.184691545E-2</v>
      </c>
      <c r="D961" s="128"/>
      <c r="E961" s="128"/>
      <c r="F961" s="128"/>
      <c r="G961" s="128"/>
      <c r="H961" s="128"/>
      <c r="I961" s="128"/>
    </row>
    <row r="962" spans="1:9" ht="15" thickBot="1" x14ac:dyDescent="0.35">
      <c r="A962" s="130">
        <v>42430</v>
      </c>
      <c r="B962" s="129">
        <v>165.66002420000001</v>
      </c>
      <c r="C962" s="131">
        <v>-1.230124483E-2</v>
      </c>
      <c r="D962" s="128"/>
      <c r="E962" s="128"/>
      <c r="F962" s="128"/>
      <c r="G962" s="128"/>
      <c r="H962" s="128"/>
      <c r="I962" s="128"/>
    </row>
    <row r="963" spans="1:9" ht="15" thickBot="1" x14ac:dyDescent="0.35">
      <c r="A963" s="130">
        <v>42369</v>
      </c>
      <c r="B963" s="129">
        <v>167.72322869999999</v>
      </c>
      <c r="C963" s="131">
        <v>-8.9928115620000002E-4</v>
      </c>
      <c r="D963" s="128"/>
      <c r="E963" s="128"/>
      <c r="F963" s="128"/>
      <c r="G963" s="128"/>
      <c r="H963" s="128"/>
      <c r="I963" s="128"/>
    </row>
    <row r="964" spans="1:9" ht="15" thickBot="1" x14ac:dyDescent="0.35">
      <c r="A964" s="130">
        <v>42368</v>
      </c>
      <c r="B964" s="129">
        <v>167.8741948</v>
      </c>
      <c r="C964" s="131">
        <v>8.7692874480000006E-3</v>
      </c>
      <c r="D964" s="128"/>
      <c r="E964" s="128"/>
      <c r="F964" s="128"/>
      <c r="G964" s="128"/>
      <c r="H964" s="128"/>
      <c r="I964" s="128"/>
    </row>
    <row r="965" spans="1:9" ht="15" thickBot="1" x14ac:dyDescent="0.35">
      <c r="A965" s="130">
        <v>42367</v>
      </c>
      <c r="B965" s="129">
        <v>166.41485510000001</v>
      </c>
      <c r="C965" s="131">
        <v>5.1671798959999999E-3</v>
      </c>
      <c r="D965" s="128"/>
      <c r="E965" s="128"/>
      <c r="F965" s="128"/>
      <c r="G965" s="128"/>
      <c r="H965" s="128"/>
      <c r="I965" s="128"/>
    </row>
    <row r="966" spans="1:9" ht="15" thickBot="1" x14ac:dyDescent="0.35">
      <c r="A966" s="130">
        <v>42366</v>
      </c>
      <c r="B966" s="129">
        <v>165.55938</v>
      </c>
      <c r="C966" s="131">
        <v>8.8929880659999998E-3</v>
      </c>
      <c r="D966" s="128"/>
      <c r="E966" s="128"/>
      <c r="F966" s="128"/>
      <c r="G966" s="128"/>
      <c r="H966" s="128"/>
      <c r="I966" s="128"/>
    </row>
    <row r="967" spans="1:9" ht="15" thickBot="1" x14ac:dyDescent="0.35">
      <c r="A967" s="130">
        <v>42365</v>
      </c>
      <c r="B967" s="129">
        <v>164.10004029999999</v>
      </c>
      <c r="C967" s="131">
        <v>-3.8903670529999997E-2</v>
      </c>
      <c r="D967" s="128"/>
      <c r="E967" s="128"/>
      <c r="F967" s="128"/>
      <c r="G967" s="128"/>
      <c r="H967" s="128"/>
      <c r="I967" s="128"/>
    </row>
    <row r="968" spans="1:9" ht="15" thickBot="1" x14ac:dyDescent="0.35">
      <c r="A968" s="130">
        <v>42362</v>
      </c>
      <c r="B968" s="129">
        <v>170.7425523</v>
      </c>
      <c r="C968" s="131">
        <v>4.1756268530000001E-2</v>
      </c>
      <c r="D968" s="128"/>
      <c r="E968" s="128"/>
      <c r="F968" s="128"/>
      <c r="G968" s="128"/>
      <c r="H968" s="128"/>
      <c r="I968" s="128"/>
    </row>
    <row r="969" spans="1:9" ht="15" thickBot="1" x14ac:dyDescent="0.35">
      <c r="A969" s="130">
        <v>42361</v>
      </c>
      <c r="B969" s="129">
        <v>163.898752</v>
      </c>
      <c r="C969" s="131">
        <v>-1.5328038049999999E-3</v>
      </c>
      <c r="D969" s="128"/>
      <c r="E969" s="128"/>
      <c r="F969" s="128"/>
      <c r="G969" s="128"/>
      <c r="H969" s="128"/>
      <c r="I969" s="128"/>
    </row>
    <row r="970" spans="1:9" ht="15" thickBot="1" x14ac:dyDescent="0.35">
      <c r="A970" s="130">
        <v>42360</v>
      </c>
      <c r="B970" s="129">
        <v>164.15036230000001</v>
      </c>
      <c r="C970" s="131">
        <v>-2.481318376E-2</v>
      </c>
      <c r="D970" s="128"/>
      <c r="E970" s="128"/>
      <c r="F970" s="128"/>
      <c r="G970" s="128"/>
      <c r="H970" s="128"/>
      <c r="I970" s="128"/>
    </row>
    <row r="971" spans="1:9" ht="15" thickBot="1" x14ac:dyDescent="0.35">
      <c r="A971" s="130">
        <v>42359</v>
      </c>
      <c r="B971" s="129">
        <v>168.3270934</v>
      </c>
      <c r="C971" s="131">
        <v>1.6408406430000001E-2</v>
      </c>
      <c r="D971" s="128"/>
      <c r="E971" s="128"/>
      <c r="F971" s="128"/>
      <c r="G971" s="128"/>
      <c r="H971" s="128"/>
      <c r="I971" s="128"/>
    </row>
    <row r="972" spans="1:9" ht="15" thickBot="1" x14ac:dyDescent="0.35">
      <c r="A972" s="130">
        <v>42358</v>
      </c>
      <c r="B972" s="129">
        <v>165.60970209999999</v>
      </c>
      <c r="C972" s="131">
        <v>-6.0404783119999998E-3</v>
      </c>
      <c r="D972" s="128"/>
      <c r="E972" s="128"/>
      <c r="F972" s="128"/>
      <c r="G972" s="128"/>
      <c r="H972" s="128"/>
      <c r="I972" s="128"/>
    </row>
    <row r="973" spans="1:9" ht="15" thickBot="1" x14ac:dyDescent="0.35">
      <c r="A973" s="130">
        <v>42353</v>
      </c>
      <c r="B973" s="129">
        <v>166.6161433</v>
      </c>
      <c r="C973" s="131">
        <v>1.6891912240000001E-2</v>
      </c>
      <c r="D973" s="128"/>
      <c r="E973" s="128"/>
      <c r="F973" s="128"/>
      <c r="G973" s="128"/>
      <c r="H973" s="128"/>
      <c r="I973" s="128"/>
    </row>
    <row r="974" spans="1:9" ht="15" thickBot="1" x14ac:dyDescent="0.35">
      <c r="A974" s="130">
        <v>42352</v>
      </c>
      <c r="B974" s="129">
        <v>163.84843000000001</v>
      </c>
      <c r="C974" s="131">
        <v>1.338314812E-2</v>
      </c>
      <c r="D974" s="128"/>
      <c r="E974" s="128"/>
      <c r="F974" s="128"/>
      <c r="G974" s="128"/>
      <c r="H974" s="128"/>
      <c r="I974" s="128"/>
    </row>
    <row r="975" spans="1:9" ht="15" thickBot="1" x14ac:dyDescent="0.35">
      <c r="A975" s="130">
        <v>42351</v>
      </c>
      <c r="B975" s="129">
        <v>161.68458129999999</v>
      </c>
      <c r="C975" s="131">
        <v>-1.9230792980000001E-2</v>
      </c>
      <c r="D975" s="128"/>
      <c r="E975" s="128"/>
      <c r="F975" s="128"/>
      <c r="G975" s="128"/>
      <c r="H975" s="128"/>
      <c r="I975" s="128"/>
    </row>
    <row r="976" spans="1:9" ht="15" thickBot="1" x14ac:dyDescent="0.35">
      <c r="A976" s="130">
        <v>42289</v>
      </c>
      <c r="B976" s="129">
        <v>164.85487119999999</v>
      </c>
      <c r="C976" s="131">
        <v>9.5531704990000008E-3</v>
      </c>
      <c r="D976" s="128"/>
      <c r="E976" s="128"/>
      <c r="F976" s="128"/>
      <c r="G976" s="128"/>
      <c r="H976" s="128"/>
      <c r="I976" s="128"/>
    </row>
    <row r="977" spans="1:9" ht="15" thickBot="1" x14ac:dyDescent="0.35">
      <c r="A977" s="130">
        <v>42259</v>
      </c>
      <c r="B977" s="129">
        <v>163.2948873</v>
      </c>
      <c r="C977" s="131">
        <v>2.2369278699999998E-2</v>
      </c>
      <c r="D977" s="128"/>
      <c r="E977" s="128"/>
      <c r="F977" s="128"/>
      <c r="G977" s="128"/>
      <c r="H977" s="128"/>
      <c r="I977" s="128"/>
    </row>
    <row r="978" spans="1:9" ht="15" thickBot="1" x14ac:dyDescent="0.35">
      <c r="A978" s="130">
        <v>42228</v>
      </c>
      <c r="B978" s="129">
        <v>159.72202089999999</v>
      </c>
      <c r="C978" s="131">
        <v>-3.1407073900000001E-3</v>
      </c>
      <c r="D978" s="128"/>
      <c r="E978" s="128"/>
      <c r="F978" s="128"/>
      <c r="G978" s="128"/>
      <c r="H978" s="128"/>
      <c r="I978" s="128"/>
    </row>
    <row r="979" spans="1:9" ht="15" thickBot="1" x14ac:dyDescent="0.35">
      <c r="A979" s="130">
        <v>42197</v>
      </c>
      <c r="B979" s="129">
        <v>160.22524150000001</v>
      </c>
      <c r="C979" s="131">
        <v>6.6392743790000004E-3</v>
      </c>
      <c r="D979" s="128"/>
      <c r="E979" s="128"/>
      <c r="F979" s="128"/>
      <c r="G979" s="128"/>
      <c r="H979" s="128"/>
      <c r="I979" s="128"/>
    </row>
    <row r="980" spans="1:9" ht="15" thickBot="1" x14ac:dyDescent="0.35">
      <c r="A980" s="130">
        <v>42167</v>
      </c>
      <c r="B980" s="129">
        <v>159.1684783</v>
      </c>
      <c r="C980" s="131">
        <v>2.535660966E-3</v>
      </c>
      <c r="D980" s="128"/>
      <c r="E980" s="128"/>
      <c r="F980" s="128"/>
      <c r="G980" s="128"/>
      <c r="H980" s="128"/>
      <c r="I980" s="128"/>
    </row>
    <row r="981" spans="1:9" ht="15" thickBot="1" x14ac:dyDescent="0.35">
      <c r="A981" s="130">
        <v>42075</v>
      </c>
      <c r="B981" s="129">
        <v>158.76590179999999</v>
      </c>
      <c r="C981" s="131">
        <v>-3.1685679710000001E-4</v>
      </c>
      <c r="D981" s="128"/>
      <c r="E981" s="128"/>
      <c r="F981" s="128"/>
      <c r="G981" s="128"/>
      <c r="H981" s="128"/>
      <c r="I981" s="128"/>
    </row>
    <row r="982" spans="1:9" ht="15" thickBot="1" x14ac:dyDescent="0.35">
      <c r="A982" s="130">
        <v>42047</v>
      </c>
      <c r="B982" s="129">
        <v>158.81622379999999</v>
      </c>
      <c r="C982" s="131">
        <v>-1.1897322809999999E-2</v>
      </c>
      <c r="D982" s="128"/>
      <c r="E982" s="128"/>
      <c r="F982" s="128"/>
      <c r="G982" s="128"/>
      <c r="H982" s="128"/>
      <c r="I982" s="128"/>
    </row>
    <row r="983" spans="1:9" ht="15" thickBot="1" x14ac:dyDescent="0.35">
      <c r="A983" s="130">
        <v>42016</v>
      </c>
      <c r="B983" s="129">
        <v>160.7284622</v>
      </c>
      <c r="C983" s="131">
        <v>-4.984429399E-3</v>
      </c>
      <c r="D983" s="128"/>
      <c r="E983" s="128"/>
      <c r="F983" s="128"/>
      <c r="G983" s="128"/>
      <c r="H983" s="128"/>
      <c r="I983" s="128"/>
    </row>
    <row r="984" spans="1:9" ht="15" thickBot="1" x14ac:dyDescent="0.35">
      <c r="A984" s="130">
        <v>42338</v>
      </c>
      <c r="B984" s="129">
        <v>161.53361509999999</v>
      </c>
      <c r="C984" s="131">
        <v>-2.3722656759999999E-2</v>
      </c>
      <c r="D984" s="128"/>
      <c r="E984" s="128"/>
      <c r="F984" s="128"/>
      <c r="G984" s="128"/>
      <c r="H984" s="128"/>
      <c r="I984" s="128"/>
    </row>
    <row r="985" spans="1:9" ht="15" thickBot="1" x14ac:dyDescent="0.35">
      <c r="A985" s="130">
        <v>42334</v>
      </c>
      <c r="B985" s="129">
        <v>165.45873589999999</v>
      </c>
      <c r="C985" s="131">
        <v>-3.0404438649999998E-4</v>
      </c>
      <c r="D985" s="128"/>
      <c r="E985" s="128"/>
      <c r="F985" s="128"/>
      <c r="G985" s="128"/>
      <c r="H985" s="128"/>
      <c r="I985" s="128"/>
    </row>
    <row r="986" spans="1:9" ht="15" thickBot="1" x14ac:dyDescent="0.35">
      <c r="A986" s="130">
        <v>42333</v>
      </c>
      <c r="B986" s="129">
        <v>165.50905800000001</v>
      </c>
      <c r="C986" s="131">
        <v>7.659323541E-3</v>
      </c>
      <c r="D986" s="128"/>
      <c r="E986" s="128"/>
      <c r="F986" s="128"/>
      <c r="G986" s="128"/>
      <c r="H986" s="128"/>
      <c r="I986" s="128"/>
    </row>
    <row r="987" spans="1:9" ht="15" thickBot="1" x14ac:dyDescent="0.35">
      <c r="A987" s="130">
        <v>42332</v>
      </c>
      <c r="B987" s="129">
        <v>164.25100639999999</v>
      </c>
      <c r="C987" s="131">
        <v>1.30353975E-2</v>
      </c>
      <c r="D987" s="128"/>
      <c r="E987" s="128"/>
      <c r="F987" s="128"/>
      <c r="G987" s="128"/>
      <c r="H987" s="128"/>
      <c r="I987" s="128"/>
    </row>
    <row r="988" spans="1:9" ht="15" thickBot="1" x14ac:dyDescent="0.35">
      <c r="A988" s="130">
        <v>42331</v>
      </c>
      <c r="B988" s="129">
        <v>162.13747989999999</v>
      </c>
      <c r="C988" s="131">
        <v>-2.2747980340000001E-2</v>
      </c>
      <c r="D988" s="128"/>
      <c r="E988" s="128"/>
      <c r="F988" s="128"/>
      <c r="G988" s="128"/>
      <c r="H988" s="128"/>
      <c r="I988" s="128"/>
    </row>
    <row r="989" spans="1:9" ht="15" thickBot="1" x14ac:dyDescent="0.35">
      <c r="A989" s="130">
        <v>42330</v>
      </c>
      <c r="B989" s="129">
        <v>165.91163449999999</v>
      </c>
      <c r="C989" s="131">
        <v>-2.2821603749999999E-2</v>
      </c>
      <c r="D989" s="128"/>
      <c r="E989" s="128"/>
      <c r="F989" s="128"/>
      <c r="G989" s="128"/>
      <c r="H989" s="128"/>
      <c r="I989" s="128"/>
    </row>
    <row r="990" spans="1:9" ht="15" thickBot="1" x14ac:dyDescent="0.35">
      <c r="A990" s="130">
        <v>42326</v>
      </c>
      <c r="B990" s="129">
        <v>169.7864332</v>
      </c>
      <c r="C990" s="131">
        <v>-1.775149635E-3</v>
      </c>
      <c r="D990" s="128"/>
      <c r="E990" s="128"/>
      <c r="F990" s="128"/>
      <c r="G990" s="128"/>
      <c r="H990" s="128"/>
      <c r="I990" s="128"/>
    </row>
    <row r="991" spans="1:9" ht="15" thickBot="1" x14ac:dyDescent="0.35">
      <c r="A991" s="130">
        <v>42325</v>
      </c>
      <c r="B991" s="129">
        <v>170.08836550000001</v>
      </c>
      <c r="C991" s="131">
        <v>1.184835264E-3</v>
      </c>
      <c r="D991" s="128"/>
      <c r="E991" s="128"/>
      <c r="F991" s="128"/>
      <c r="G991" s="128"/>
      <c r="H991" s="128"/>
      <c r="I991" s="128"/>
    </row>
    <row r="992" spans="1:9" ht="15" thickBot="1" x14ac:dyDescent="0.35">
      <c r="A992" s="130">
        <v>42324</v>
      </c>
      <c r="B992" s="129">
        <v>169.88707729999999</v>
      </c>
      <c r="C992" s="131">
        <v>-4.4234790149999996E-3</v>
      </c>
      <c r="D992" s="128"/>
      <c r="E992" s="128"/>
      <c r="F992" s="128"/>
      <c r="G992" s="128"/>
      <c r="H992" s="128"/>
      <c r="I992" s="128"/>
    </row>
    <row r="993" spans="1:9" ht="15" thickBot="1" x14ac:dyDescent="0.35">
      <c r="A993" s="130">
        <v>42323</v>
      </c>
      <c r="B993" s="129">
        <v>170.64190819999999</v>
      </c>
      <c r="C993" s="131">
        <v>-3.233396081E-3</v>
      </c>
      <c r="D993" s="128"/>
      <c r="E993" s="128"/>
      <c r="F993" s="128"/>
      <c r="G993" s="128"/>
      <c r="H993" s="128"/>
      <c r="I993" s="128"/>
    </row>
    <row r="994" spans="1:9" ht="15" thickBot="1" x14ac:dyDescent="0.35">
      <c r="A994" s="130">
        <v>42349</v>
      </c>
      <c r="B994" s="129">
        <v>171.1954509</v>
      </c>
      <c r="C994" s="131">
        <v>-7.2950185559999998E-3</v>
      </c>
      <c r="D994" s="128"/>
      <c r="E994" s="128"/>
      <c r="F994" s="128"/>
      <c r="G994" s="128"/>
      <c r="H994" s="128"/>
      <c r="I994" s="128"/>
    </row>
    <row r="995" spans="1:9" ht="15" thickBot="1" x14ac:dyDescent="0.35">
      <c r="A995" s="130">
        <v>42319</v>
      </c>
      <c r="B995" s="129">
        <v>172.45350239999999</v>
      </c>
      <c r="C995" s="131">
        <v>3.8078545169999999E-3</v>
      </c>
      <c r="D995" s="128"/>
      <c r="E995" s="128"/>
      <c r="F995" s="128"/>
      <c r="G995" s="128"/>
      <c r="H995" s="128"/>
      <c r="I995" s="128"/>
    </row>
    <row r="996" spans="1:9" ht="15" thickBot="1" x14ac:dyDescent="0.35">
      <c r="A996" s="130">
        <v>42288</v>
      </c>
      <c r="B996" s="129">
        <v>171.7993156</v>
      </c>
      <c r="C996" s="131">
        <v>-2.046187554E-3</v>
      </c>
      <c r="D996" s="128"/>
      <c r="E996" s="128"/>
      <c r="F996" s="128"/>
      <c r="G996" s="128"/>
      <c r="H996" s="128"/>
      <c r="I996" s="128"/>
    </row>
    <row r="997" spans="1:9" ht="15" thickBot="1" x14ac:dyDescent="0.35">
      <c r="A997" s="130">
        <v>42258</v>
      </c>
      <c r="B997" s="129">
        <v>172.15156999999999</v>
      </c>
      <c r="C997" s="131">
        <v>8.7770680210000004E-4</v>
      </c>
      <c r="D997" s="128"/>
      <c r="E997" s="128"/>
      <c r="F997" s="128"/>
      <c r="G997" s="128"/>
      <c r="H997" s="128"/>
      <c r="I997" s="128"/>
    </row>
    <row r="998" spans="1:9" ht="15" thickBot="1" x14ac:dyDescent="0.35">
      <c r="A998" s="130">
        <v>42227</v>
      </c>
      <c r="B998" s="129">
        <v>172.00060389999999</v>
      </c>
      <c r="C998" s="131">
        <v>-2.9248316879999998E-4</v>
      </c>
      <c r="D998" s="128"/>
      <c r="E998" s="128"/>
      <c r="F998" s="128"/>
      <c r="G998" s="128"/>
      <c r="H998" s="128"/>
      <c r="I998" s="128"/>
    </row>
    <row r="999" spans="1:9" ht="15" thickBot="1" x14ac:dyDescent="0.35">
      <c r="A999" s="130">
        <v>42135</v>
      </c>
      <c r="B999" s="129">
        <v>172.05092590000001</v>
      </c>
      <c r="C999" s="131">
        <v>9.1499517899999994E-3</v>
      </c>
      <c r="D999" s="128"/>
      <c r="E999" s="128"/>
      <c r="F999" s="128"/>
      <c r="G999" s="128"/>
      <c r="H999" s="128"/>
      <c r="I999" s="128"/>
    </row>
    <row r="1000" spans="1:9" ht="15" thickBot="1" x14ac:dyDescent="0.35">
      <c r="A1000" s="130">
        <v>42105</v>
      </c>
      <c r="B1000" s="129">
        <v>170.49094199999999</v>
      </c>
      <c r="C1000" s="131">
        <v>3.8518564439999998E-3</v>
      </c>
      <c r="D1000" s="128"/>
      <c r="E1000" s="128"/>
      <c r="F1000" s="128"/>
      <c r="G1000" s="128"/>
      <c r="H1000" s="128"/>
      <c r="I1000" s="128"/>
    </row>
    <row r="1001" spans="1:9" ht="15" thickBot="1" x14ac:dyDescent="0.35">
      <c r="A1001" s="130">
        <v>42074</v>
      </c>
      <c r="B1001" s="129">
        <v>169.8367552</v>
      </c>
      <c r="C1001" s="131">
        <v>-2.5411522369999998E-2</v>
      </c>
      <c r="D1001" s="128"/>
      <c r="E1001" s="128"/>
      <c r="F1001" s="128"/>
      <c r="G1001" s="128"/>
      <c r="H1001" s="128"/>
      <c r="I1001" s="128"/>
    </row>
    <row r="1002" spans="1:9" ht="15" thickBot="1" x14ac:dyDescent="0.35">
      <c r="A1002" s="130">
        <v>42046</v>
      </c>
      <c r="B1002" s="129">
        <v>174.26509659999999</v>
      </c>
      <c r="C1002" s="131">
        <v>2.2740723779999999E-2</v>
      </c>
      <c r="D1002" s="128"/>
      <c r="E1002" s="128"/>
      <c r="F1002" s="128"/>
      <c r="G1002" s="128"/>
      <c r="H1002" s="128"/>
      <c r="I1002" s="128"/>
    </row>
    <row r="1003" spans="1:9" ht="15" thickBot="1" x14ac:dyDescent="0.35">
      <c r="A1003" s="130">
        <v>42015</v>
      </c>
      <c r="B1003" s="129">
        <v>170.39029790000001</v>
      </c>
      <c r="C1003" s="131">
        <v>-0.1170796529</v>
      </c>
      <c r="D1003" s="128"/>
      <c r="E1003" s="128"/>
      <c r="F1003" s="128"/>
      <c r="G1003" s="128"/>
      <c r="H1003" s="128"/>
      <c r="I1003" s="128"/>
    </row>
    <row r="1004" spans="1:9" ht="15" thickBot="1" x14ac:dyDescent="0.35">
      <c r="A1004" s="130">
        <v>42306</v>
      </c>
      <c r="B1004" s="129">
        <v>192.98490340000001</v>
      </c>
      <c r="C1004" s="131">
        <v>2.4853046390000001E-2</v>
      </c>
      <c r="D1004" s="128"/>
      <c r="E1004" s="128"/>
      <c r="F1004" s="128"/>
      <c r="G1004" s="128"/>
      <c r="H1004" s="128"/>
      <c r="I1004" s="128"/>
    </row>
    <row r="1005" spans="1:9" ht="15" thickBot="1" x14ac:dyDescent="0.35">
      <c r="A1005" s="130">
        <v>42305</v>
      </c>
      <c r="B1005" s="129">
        <v>188.3049517</v>
      </c>
      <c r="C1005" s="131">
        <v>2.6795312110000002E-3</v>
      </c>
      <c r="D1005" s="128"/>
      <c r="E1005" s="128"/>
      <c r="F1005" s="128"/>
      <c r="G1005" s="128"/>
      <c r="H1005" s="128"/>
      <c r="I1005" s="128"/>
    </row>
    <row r="1006" spans="1:9" ht="15" thickBot="1" x14ac:dyDescent="0.35">
      <c r="A1006" s="130">
        <v>42304</v>
      </c>
      <c r="B1006" s="129">
        <v>187.80173110000001</v>
      </c>
      <c r="C1006" s="131">
        <v>-1.060446487E-2</v>
      </c>
      <c r="D1006" s="128"/>
      <c r="E1006" s="128"/>
      <c r="F1006" s="128"/>
      <c r="G1006" s="128"/>
      <c r="H1006" s="128"/>
      <c r="I1006" s="128"/>
    </row>
    <row r="1007" spans="1:9" ht="15" thickBot="1" x14ac:dyDescent="0.35">
      <c r="A1007" s="130">
        <v>42303</v>
      </c>
      <c r="B1007" s="129">
        <v>189.81461350000001</v>
      </c>
      <c r="C1007" s="131">
        <v>6.4034216240000004E-3</v>
      </c>
      <c r="D1007" s="128"/>
      <c r="E1007" s="128"/>
      <c r="F1007" s="128"/>
      <c r="G1007" s="128"/>
      <c r="H1007" s="128"/>
      <c r="I1007" s="128"/>
    </row>
    <row r="1008" spans="1:9" ht="15" thickBot="1" x14ac:dyDescent="0.35">
      <c r="A1008" s="130">
        <v>42302</v>
      </c>
      <c r="B1008" s="129">
        <v>188.6068841</v>
      </c>
      <c r="C1008" s="131">
        <v>2.94354089E-3</v>
      </c>
      <c r="D1008" s="128"/>
      <c r="E1008" s="128"/>
      <c r="F1008" s="128"/>
      <c r="G1008" s="128"/>
      <c r="H1008" s="128"/>
      <c r="I1008" s="128"/>
    </row>
    <row r="1009" spans="1:9" ht="15" thickBot="1" x14ac:dyDescent="0.35">
      <c r="A1009" s="130">
        <v>42298</v>
      </c>
      <c r="B1009" s="129">
        <v>188.05334139999999</v>
      </c>
      <c r="C1009" s="131">
        <v>1.0715256859999999E-3</v>
      </c>
      <c r="D1009" s="128"/>
      <c r="E1009" s="128"/>
      <c r="F1009" s="128"/>
      <c r="G1009" s="128"/>
      <c r="H1009" s="128"/>
      <c r="I1009" s="128"/>
    </row>
    <row r="1010" spans="1:9" ht="15" thickBot="1" x14ac:dyDescent="0.35">
      <c r="A1010" s="130">
        <v>42297</v>
      </c>
      <c r="B1010" s="129">
        <v>187.85205310000001</v>
      </c>
      <c r="C1010" s="131">
        <v>-3.2042761340000002E-3</v>
      </c>
      <c r="D1010" s="128"/>
      <c r="E1010" s="128"/>
      <c r="F1010" s="128"/>
      <c r="G1010" s="128"/>
      <c r="H1010" s="128"/>
      <c r="I1010" s="128"/>
    </row>
    <row r="1011" spans="1:9" ht="15" thickBot="1" x14ac:dyDescent="0.35">
      <c r="A1011" s="130">
        <v>42296</v>
      </c>
      <c r="B1011" s="129">
        <v>188.4559179</v>
      </c>
      <c r="C1011" s="131">
        <v>-7.6841624969999998E-3</v>
      </c>
      <c r="D1011" s="128"/>
      <c r="E1011" s="128"/>
      <c r="F1011" s="128"/>
      <c r="G1011" s="128"/>
      <c r="H1011" s="128"/>
      <c r="I1011" s="128"/>
    </row>
    <row r="1012" spans="1:9" ht="15" thickBot="1" x14ac:dyDescent="0.35">
      <c r="A1012" s="130">
        <v>42295</v>
      </c>
      <c r="B1012" s="129">
        <v>189.91525759999999</v>
      </c>
      <c r="C1012" s="131">
        <v>-6.8421125139999997E-3</v>
      </c>
      <c r="D1012" s="128"/>
      <c r="E1012" s="128"/>
      <c r="F1012" s="128"/>
      <c r="G1012" s="128"/>
      <c r="H1012" s="128"/>
      <c r="I1012" s="128"/>
    </row>
    <row r="1013" spans="1:9" ht="15" thickBot="1" x14ac:dyDescent="0.35">
      <c r="A1013" s="130">
        <v>42292</v>
      </c>
      <c r="B1013" s="129">
        <v>191.2236312</v>
      </c>
      <c r="C1013" s="131">
        <v>-5.7561549169999997E-3</v>
      </c>
      <c r="D1013" s="128"/>
      <c r="E1013" s="128"/>
      <c r="F1013" s="128"/>
      <c r="G1013" s="128"/>
      <c r="H1013" s="128"/>
      <c r="I1013" s="128"/>
    </row>
    <row r="1014" spans="1:9" ht="15" thickBot="1" x14ac:dyDescent="0.35">
      <c r="A1014" s="130">
        <v>42291</v>
      </c>
      <c r="B1014" s="129">
        <v>192.33071659999999</v>
      </c>
      <c r="C1014" s="131">
        <v>-1.0101020630000001E-2</v>
      </c>
      <c r="D1014" s="128"/>
      <c r="E1014" s="128"/>
      <c r="F1014" s="128"/>
      <c r="G1014" s="128"/>
      <c r="H1014" s="128"/>
      <c r="I1014" s="128"/>
    </row>
    <row r="1015" spans="1:9" ht="15" thickBot="1" x14ac:dyDescent="0.35">
      <c r="A1015" s="130">
        <v>42290</v>
      </c>
      <c r="B1015" s="129">
        <v>194.29327699999999</v>
      </c>
      <c r="C1015" s="131">
        <v>-1.03492969E-3</v>
      </c>
      <c r="D1015" s="128"/>
      <c r="E1015" s="128"/>
      <c r="F1015" s="128"/>
      <c r="G1015" s="128"/>
      <c r="H1015" s="128"/>
      <c r="I1015" s="128"/>
    </row>
    <row r="1016" spans="1:9" ht="15" thickBot="1" x14ac:dyDescent="0.35">
      <c r="A1016" s="130">
        <v>42348</v>
      </c>
      <c r="B1016" s="129">
        <v>194.49456520000001</v>
      </c>
      <c r="C1016" s="131">
        <v>-4.1226531579999998E-3</v>
      </c>
      <c r="D1016" s="128"/>
      <c r="E1016" s="128"/>
      <c r="F1016" s="128"/>
      <c r="G1016" s="128"/>
      <c r="H1016" s="128"/>
      <c r="I1016" s="128"/>
    </row>
    <row r="1017" spans="1:9" ht="15" thickBot="1" x14ac:dyDescent="0.35">
      <c r="A1017" s="130">
        <v>42318</v>
      </c>
      <c r="B1017" s="129">
        <v>195.2997182</v>
      </c>
      <c r="C1017" s="131">
        <v>-2.570035992E-3</v>
      </c>
      <c r="D1017" s="128"/>
      <c r="E1017" s="128"/>
      <c r="F1017" s="128"/>
      <c r="G1017" s="128"/>
      <c r="H1017" s="128"/>
      <c r="I1017" s="128"/>
    </row>
    <row r="1018" spans="1:9" ht="15" thickBot="1" x14ac:dyDescent="0.35">
      <c r="A1018" s="130">
        <v>42226</v>
      </c>
      <c r="B1018" s="129">
        <v>195.80293879999999</v>
      </c>
      <c r="C1018" s="131">
        <v>-1.1432938679999999E-2</v>
      </c>
      <c r="D1018" s="128"/>
      <c r="E1018" s="128"/>
      <c r="F1018" s="128"/>
      <c r="G1018" s="128"/>
      <c r="H1018" s="128"/>
      <c r="I1018" s="128"/>
    </row>
    <row r="1019" spans="1:9" ht="15" thickBot="1" x14ac:dyDescent="0.35">
      <c r="A1019" s="130">
        <v>42195</v>
      </c>
      <c r="B1019" s="129">
        <v>198.06743159999999</v>
      </c>
      <c r="C1019" s="131">
        <v>4.3378460169999997E-3</v>
      </c>
      <c r="D1019" s="128"/>
      <c r="E1019" s="128"/>
      <c r="F1019" s="128"/>
      <c r="G1019" s="128"/>
      <c r="H1019" s="128"/>
      <c r="I1019" s="128"/>
    </row>
    <row r="1020" spans="1:9" ht="15" thickBot="1" x14ac:dyDescent="0.35">
      <c r="A1020" s="130">
        <v>42165</v>
      </c>
      <c r="B1020" s="129">
        <v>197.21195650000001</v>
      </c>
      <c r="C1020" s="131">
        <v>5.3873837480000004E-3</v>
      </c>
      <c r="D1020" s="128"/>
      <c r="E1020" s="128"/>
      <c r="F1020" s="128"/>
      <c r="G1020" s="128"/>
      <c r="H1020" s="128"/>
      <c r="I1020" s="128"/>
    </row>
    <row r="1021" spans="1:9" ht="15" thickBot="1" x14ac:dyDescent="0.35">
      <c r="A1021" s="130">
        <v>42134</v>
      </c>
      <c r="B1021" s="129">
        <v>196.15519320000001</v>
      </c>
      <c r="C1021" s="131">
        <v>-1.689787329E-2</v>
      </c>
      <c r="D1021" s="128"/>
      <c r="E1021" s="128"/>
      <c r="F1021" s="128"/>
      <c r="G1021" s="128"/>
      <c r="H1021" s="128"/>
      <c r="I1021" s="128"/>
    </row>
    <row r="1022" spans="1:9" ht="15" thickBot="1" x14ac:dyDescent="0.35">
      <c r="A1022" s="130">
        <v>42104</v>
      </c>
      <c r="B1022" s="129">
        <v>199.52677130000001</v>
      </c>
      <c r="C1022" s="131">
        <v>1.0963805009999999E-2</v>
      </c>
      <c r="D1022" s="128"/>
      <c r="E1022" s="128"/>
      <c r="F1022" s="128"/>
      <c r="G1022" s="128"/>
      <c r="H1022" s="128"/>
      <c r="I1022" s="128"/>
    </row>
    <row r="1023" spans="1:9" ht="15" thickBot="1" x14ac:dyDescent="0.35">
      <c r="A1023" s="130">
        <v>42014</v>
      </c>
      <c r="B1023" s="129">
        <v>197.36292270000001</v>
      </c>
      <c r="C1023" s="131">
        <v>6.6735181919999999E-3</v>
      </c>
      <c r="D1023" s="128"/>
      <c r="E1023" s="128"/>
      <c r="F1023" s="128"/>
      <c r="G1023" s="128"/>
      <c r="H1023" s="128"/>
      <c r="I1023" s="128"/>
    </row>
    <row r="1024" spans="1:9" ht="15" thickBot="1" x14ac:dyDescent="0.35">
      <c r="A1024" s="130">
        <v>42277</v>
      </c>
      <c r="B1024" s="129">
        <v>196.0545491</v>
      </c>
      <c r="C1024" s="131">
        <v>1.5424182070000001E-3</v>
      </c>
      <c r="D1024" s="128"/>
      <c r="E1024" s="128"/>
      <c r="F1024" s="128"/>
      <c r="G1024" s="128"/>
      <c r="H1024" s="128"/>
      <c r="I1024" s="128"/>
    </row>
    <row r="1025" spans="1:9" ht="15" thickBot="1" x14ac:dyDescent="0.35">
      <c r="A1025" s="130">
        <v>42276</v>
      </c>
      <c r="B1025" s="129">
        <v>195.7526167</v>
      </c>
      <c r="C1025" s="131">
        <v>3.611974541E-3</v>
      </c>
      <c r="D1025" s="128"/>
      <c r="E1025" s="128"/>
      <c r="F1025" s="128"/>
      <c r="G1025" s="128"/>
      <c r="H1025" s="128"/>
      <c r="I1025" s="128"/>
    </row>
    <row r="1026" spans="1:9" ht="15" thickBot="1" x14ac:dyDescent="0.35">
      <c r="A1026" s="130">
        <v>42275</v>
      </c>
      <c r="B1026" s="129">
        <v>195.04810789999999</v>
      </c>
      <c r="C1026" s="131">
        <v>5.1867272480000002E-3</v>
      </c>
      <c r="D1026" s="128"/>
      <c r="E1026" s="128"/>
      <c r="F1026" s="128"/>
      <c r="G1026" s="128"/>
      <c r="H1026" s="128"/>
      <c r="I1026" s="128"/>
    </row>
    <row r="1027" spans="1:9" ht="15" thickBot="1" x14ac:dyDescent="0.35">
      <c r="A1027" s="130">
        <v>42269</v>
      </c>
      <c r="B1027" s="129">
        <v>194.04166670000001</v>
      </c>
      <c r="C1027" s="131">
        <v>8.8958754500000001E-3</v>
      </c>
      <c r="D1027" s="128"/>
      <c r="E1027" s="128"/>
      <c r="F1027" s="128"/>
      <c r="G1027" s="128"/>
      <c r="H1027" s="128"/>
      <c r="I1027" s="128"/>
    </row>
    <row r="1028" spans="1:9" ht="15" thickBot="1" x14ac:dyDescent="0.35">
      <c r="A1028" s="130">
        <v>42268</v>
      </c>
      <c r="B1028" s="129">
        <v>192.33071659999999</v>
      </c>
      <c r="C1028" s="131">
        <v>3.9401143689999996E-3</v>
      </c>
      <c r="D1028" s="128"/>
      <c r="E1028" s="128"/>
      <c r="F1028" s="128"/>
      <c r="G1028" s="128"/>
      <c r="H1028" s="128"/>
      <c r="I1028" s="128"/>
    </row>
    <row r="1029" spans="1:9" ht="15" thickBot="1" x14ac:dyDescent="0.35">
      <c r="A1029" s="130">
        <v>42267</v>
      </c>
      <c r="B1029" s="129">
        <v>191.57588569999999</v>
      </c>
      <c r="C1029" s="131">
        <v>1.061854089E-2</v>
      </c>
      <c r="D1029" s="128"/>
      <c r="E1029" s="128"/>
      <c r="F1029" s="128"/>
      <c r="G1029" s="128"/>
      <c r="H1029" s="128"/>
      <c r="I1029" s="128"/>
    </row>
    <row r="1030" spans="1:9" ht="15" thickBot="1" x14ac:dyDescent="0.35">
      <c r="A1030" s="130">
        <v>42264</v>
      </c>
      <c r="B1030" s="129">
        <v>189.5630032</v>
      </c>
      <c r="C1030" s="131">
        <v>-6.5928343249999997E-3</v>
      </c>
      <c r="D1030" s="128"/>
      <c r="E1030" s="128"/>
      <c r="F1030" s="128"/>
      <c r="G1030" s="128"/>
      <c r="H1030" s="128"/>
      <c r="I1030" s="128"/>
    </row>
    <row r="1031" spans="1:9" ht="15" thickBot="1" x14ac:dyDescent="0.35">
      <c r="A1031" s="130">
        <v>42263</v>
      </c>
      <c r="B1031" s="129">
        <v>190.82105480000001</v>
      </c>
      <c r="C1031" s="131">
        <v>-1.6597527500000001E-2</v>
      </c>
      <c r="D1031" s="128"/>
      <c r="E1031" s="128"/>
      <c r="F1031" s="128"/>
      <c r="G1031" s="128"/>
      <c r="H1031" s="128"/>
      <c r="I1031" s="128"/>
    </row>
    <row r="1032" spans="1:9" ht="15" thickBot="1" x14ac:dyDescent="0.35">
      <c r="A1032" s="130">
        <v>42262</v>
      </c>
      <c r="B1032" s="129">
        <v>194.04166670000001</v>
      </c>
      <c r="C1032" s="131">
        <v>1.500396427E-2</v>
      </c>
      <c r="D1032" s="128"/>
      <c r="E1032" s="128"/>
      <c r="F1032" s="128"/>
      <c r="G1032" s="128"/>
      <c r="H1032" s="128"/>
      <c r="I1032" s="128"/>
    </row>
    <row r="1033" spans="1:9" ht="15" thickBot="1" x14ac:dyDescent="0.35">
      <c r="A1033" s="130">
        <v>42261</v>
      </c>
      <c r="B1033" s="129">
        <v>191.17330920000001</v>
      </c>
      <c r="C1033" s="131">
        <v>-1.839203046E-3</v>
      </c>
      <c r="D1033" s="128"/>
      <c r="E1033" s="128"/>
      <c r="F1033" s="128"/>
      <c r="G1033" s="128"/>
      <c r="H1033" s="128"/>
      <c r="I1033" s="128"/>
    </row>
    <row r="1034" spans="1:9" ht="15" thickBot="1" x14ac:dyDescent="0.35">
      <c r="A1034" s="130">
        <v>42260</v>
      </c>
      <c r="B1034" s="129">
        <v>191.5255636</v>
      </c>
      <c r="C1034" s="131">
        <v>2.0101870979999999E-2</v>
      </c>
      <c r="D1034" s="128"/>
      <c r="E1034" s="128"/>
      <c r="F1034" s="128"/>
      <c r="G1034" s="128"/>
      <c r="H1034" s="128"/>
      <c r="I1034" s="128"/>
    </row>
    <row r="1035" spans="1:9" ht="15" thickBot="1" x14ac:dyDescent="0.35">
      <c r="A1035" s="130">
        <v>42286</v>
      </c>
      <c r="B1035" s="129">
        <v>187.751409</v>
      </c>
      <c r="C1035" s="131">
        <v>-2.432010917E-2</v>
      </c>
      <c r="D1035" s="128"/>
      <c r="E1035" s="128"/>
      <c r="F1035" s="128"/>
      <c r="G1035" s="128"/>
      <c r="H1035" s="128"/>
      <c r="I1035" s="128"/>
    </row>
    <row r="1036" spans="1:9" ht="15" thickBot="1" x14ac:dyDescent="0.35">
      <c r="A1036" s="130">
        <v>42256</v>
      </c>
      <c r="B1036" s="129">
        <v>192.4313607</v>
      </c>
      <c r="C1036" s="131">
        <v>-1.1375399600000001E-2</v>
      </c>
      <c r="D1036" s="128"/>
      <c r="E1036" s="128"/>
      <c r="F1036" s="128"/>
      <c r="G1036" s="128"/>
      <c r="H1036" s="128"/>
      <c r="I1036" s="128"/>
    </row>
    <row r="1037" spans="1:9" ht="15" thickBot="1" x14ac:dyDescent="0.35">
      <c r="A1037" s="130">
        <v>42225</v>
      </c>
      <c r="B1037" s="129">
        <v>194.64553140000001</v>
      </c>
      <c r="C1037" s="131">
        <v>-8.9674699069999999E-3</v>
      </c>
      <c r="D1037" s="128"/>
      <c r="E1037" s="128"/>
      <c r="F1037" s="128"/>
      <c r="G1037" s="128"/>
      <c r="H1037" s="128"/>
      <c r="I1037" s="128"/>
    </row>
    <row r="1038" spans="1:9" ht="15" thickBot="1" x14ac:dyDescent="0.35">
      <c r="A1038" s="130">
        <v>42194</v>
      </c>
      <c r="B1038" s="129">
        <v>196.4068035</v>
      </c>
      <c r="C1038" s="131">
        <v>-1.039554853E-2</v>
      </c>
      <c r="D1038" s="128"/>
      <c r="E1038" s="128"/>
      <c r="F1038" s="128"/>
      <c r="G1038" s="128"/>
      <c r="H1038" s="128"/>
      <c r="I1038" s="128"/>
    </row>
    <row r="1039" spans="1:9" ht="15" thickBot="1" x14ac:dyDescent="0.35">
      <c r="A1039" s="130">
        <v>42164</v>
      </c>
      <c r="B1039" s="129">
        <v>198.4700081</v>
      </c>
      <c r="C1039" s="131">
        <v>5.096845541E-3</v>
      </c>
      <c r="D1039" s="128"/>
      <c r="E1039" s="128"/>
      <c r="F1039" s="128"/>
      <c r="G1039" s="128"/>
      <c r="H1039" s="128"/>
      <c r="I1039" s="128"/>
    </row>
    <row r="1040" spans="1:9" ht="15" thickBot="1" x14ac:dyDescent="0.35">
      <c r="A1040" s="130">
        <v>42072</v>
      </c>
      <c r="B1040" s="129">
        <v>197.4635668</v>
      </c>
      <c r="C1040" s="131">
        <v>3.5805660340000002E-3</v>
      </c>
      <c r="D1040" s="128"/>
      <c r="E1040" s="128"/>
      <c r="F1040" s="128"/>
      <c r="G1040" s="128"/>
      <c r="H1040" s="128"/>
      <c r="I1040" s="128"/>
    </row>
    <row r="1041" spans="1:9" ht="15" thickBot="1" x14ac:dyDescent="0.35">
      <c r="A1041" s="130">
        <v>42044</v>
      </c>
      <c r="B1041" s="129">
        <v>196.75905800000001</v>
      </c>
      <c r="C1041" s="131">
        <v>2.0502328060000002E-3</v>
      </c>
      <c r="D1041" s="128"/>
      <c r="E1041" s="128"/>
      <c r="F1041" s="128"/>
      <c r="G1041" s="128"/>
      <c r="H1041" s="128"/>
      <c r="I1041" s="128"/>
    </row>
    <row r="1042" spans="1:9" ht="15" thickBot="1" x14ac:dyDescent="0.35">
      <c r="A1042" s="130">
        <v>42013</v>
      </c>
      <c r="B1042" s="129">
        <v>196.3564815</v>
      </c>
      <c r="C1042" s="131">
        <v>1.088084045E-2</v>
      </c>
      <c r="D1042" s="128"/>
      <c r="E1042" s="128"/>
      <c r="F1042" s="128"/>
      <c r="G1042" s="128"/>
      <c r="H1042" s="128"/>
      <c r="I1042" s="128"/>
    </row>
    <row r="1043" spans="1:9" ht="15" thickBot="1" x14ac:dyDescent="0.35">
      <c r="A1043" s="130">
        <v>42247</v>
      </c>
      <c r="B1043" s="129">
        <v>194.2429549</v>
      </c>
      <c r="C1043" s="131">
        <v>-1.1523699619999999E-2</v>
      </c>
      <c r="D1043" s="128"/>
      <c r="E1043" s="128"/>
      <c r="F1043" s="128"/>
      <c r="G1043" s="128"/>
      <c r="H1043" s="128"/>
      <c r="I1043" s="128"/>
    </row>
    <row r="1044" spans="1:9" ht="15" thickBot="1" x14ac:dyDescent="0.35">
      <c r="A1044" s="130">
        <v>42246</v>
      </c>
      <c r="B1044" s="129">
        <v>196.5074477</v>
      </c>
      <c r="C1044" s="131">
        <v>-9.8884482280000002E-3</v>
      </c>
      <c r="D1044" s="128"/>
      <c r="E1044" s="128"/>
      <c r="F1044" s="128"/>
      <c r="G1044" s="128"/>
      <c r="H1044" s="128"/>
      <c r="I1044" s="128"/>
    </row>
    <row r="1045" spans="1:9" ht="15" thickBot="1" x14ac:dyDescent="0.35">
      <c r="A1045" s="130">
        <v>42243</v>
      </c>
      <c r="B1045" s="129">
        <v>198.4700081</v>
      </c>
      <c r="C1045" s="131">
        <v>2.9227588160000002E-2</v>
      </c>
      <c r="D1045" s="128"/>
      <c r="E1045" s="128"/>
      <c r="F1045" s="128"/>
      <c r="G1045" s="128"/>
      <c r="H1045" s="128"/>
      <c r="I1045" s="128"/>
    </row>
    <row r="1046" spans="1:9" ht="15" thickBot="1" x14ac:dyDescent="0.35">
      <c r="A1046" s="130">
        <v>42242</v>
      </c>
      <c r="B1046" s="129">
        <v>192.83393720000001</v>
      </c>
      <c r="C1046" s="131">
        <v>1.24174505E-2</v>
      </c>
      <c r="D1046" s="128"/>
      <c r="E1046" s="128"/>
      <c r="F1046" s="128"/>
      <c r="G1046" s="128"/>
      <c r="H1046" s="128"/>
      <c r="I1046" s="128"/>
    </row>
    <row r="1047" spans="1:9" ht="15" thickBot="1" x14ac:dyDescent="0.35">
      <c r="A1047" s="130">
        <v>42241</v>
      </c>
      <c r="B1047" s="129">
        <v>190.4688003</v>
      </c>
      <c r="C1047" s="131">
        <v>-3.6851844169999998E-3</v>
      </c>
      <c r="D1047" s="128"/>
      <c r="E1047" s="128"/>
      <c r="F1047" s="128"/>
      <c r="G1047" s="128"/>
      <c r="H1047" s="128"/>
      <c r="I1047" s="128"/>
    </row>
    <row r="1048" spans="1:9" ht="15" thickBot="1" x14ac:dyDescent="0.35">
      <c r="A1048" s="130">
        <v>42240</v>
      </c>
      <c r="B1048" s="129">
        <v>191.17330920000001</v>
      </c>
      <c r="C1048" s="131">
        <v>-8.6116999120000003E-3</v>
      </c>
      <c r="D1048" s="128"/>
      <c r="E1048" s="128"/>
      <c r="F1048" s="128"/>
      <c r="G1048" s="128"/>
      <c r="H1048" s="128"/>
      <c r="I1048" s="128"/>
    </row>
    <row r="1049" spans="1:9" ht="15" thickBot="1" x14ac:dyDescent="0.35">
      <c r="A1049" s="130">
        <v>42239</v>
      </c>
      <c r="B1049" s="129">
        <v>192.83393720000001</v>
      </c>
      <c r="C1049" s="131">
        <v>-9.0509530339999995E-3</v>
      </c>
      <c r="D1049" s="128"/>
      <c r="E1049" s="128"/>
      <c r="F1049" s="128"/>
      <c r="G1049" s="128"/>
      <c r="H1049" s="128"/>
      <c r="I1049" s="128"/>
    </row>
    <row r="1050" spans="1:9" ht="15" thickBot="1" x14ac:dyDescent="0.35">
      <c r="A1050" s="130">
        <v>42236</v>
      </c>
      <c r="B1050" s="129">
        <v>194.59520929999999</v>
      </c>
      <c r="C1050" s="131">
        <v>-1.1755698619999999E-2</v>
      </c>
      <c r="D1050" s="128"/>
      <c r="E1050" s="128"/>
      <c r="F1050" s="128"/>
      <c r="G1050" s="128"/>
      <c r="H1050" s="128"/>
      <c r="I1050" s="128"/>
    </row>
    <row r="1051" spans="1:9" ht="15" thickBot="1" x14ac:dyDescent="0.35">
      <c r="A1051" s="130">
        <v>42235</v>
      </c>
      <c r="B1051" s="129">
        <v>196.91002420000001</v>
      </c>
      <c r="C1051" s="131">
        <v>3.2181516590000001E-2</v>
      </c>
      <c r="D1051" s="128"/>
      <c r="E1051" s="128"/>
      <c r="F1051" s="128"/>
      <c r="G1051" s="128"/>
      <c r="H1051" s="128"/>
      <c r="I1051" s="128"/>
    </row>
    <row r="1052" spans="1:9" ht="15" thickBot="1" x14ac:dyDescent="0.35">
      <c r="A1052" s="130">
        <v>42234</v>
      </c>
      <c r="B1052" s="129">
        <v>190.7707327</v>
      </c>
      <c r="C1052" s="131">
        <v>-3.3894020089999997E-2</v>
      </c>
      <c r="D1052" s="128"/>
      <c r="E1052" s="128"/>
      <c r="F1052" s="128"/>
      <c r="G1052" s="128"/>
      <c r="H1052" s="128"/>
      <c r="I1052" s="128"/>
    </row>
    <row r="1053" spans="1:9" ht="15" thickBot="1" x14ac:dyDescent="0.35">
      <c r="A1053" s="130">
        <v>42233</v>
      </c>
      <c r="B1053" s="129">
        <v>197.4635668</v>
      </c>
      <c r="C1053" s="131">
        <v>-2.0958105040000001E-2</v>
      </c>
      <c r="D1053" s="128"/>
      <c r="E1053" s="128"/>
      <c r="F1053" s="128"/>
      <c r="G1053" s="128"/>
      <c r="H1053" s="128"/>
      <c r="I1053" s="128"/>
    </row>
    <row r="1054" spans="1:9" ht="15" thickBot="1" x14ac:dyDescent="0.35">
      <c r="A1054" s="130">
        <v>42232</v>
      </c>
      <c r="B1054" s="129">
        <v>201.69062</v>
      </c>
      <c r="C1054" s="131">
        <v>-8.4116853179999999E-3</v>
      </c>
      <c r="D1054" s="128"/>
      <c r="E1054" s="128"/>
      <c r="F1054" s="128"/>
      <c r="G1054" s="128"/>
      <c r="H1054" s="128"/>
      <c r="I1054" s="128"/>
    </row>
    <row r="1055" spans="1:9" ht="15" thickBot="1" x14ac:dyDescent="0.35">
      <c r="A1055" s="130">
        <v>42229</v>
      </c>
      <c r="B1055" s="129">
        <v>203.40156999999999</v>
      </c>
      <c r="C1055" s="131">
        <v>1.9831448069999999E-3</v>
      </c>
      <c r="D1055" s="128"/>
      <c r="E1055" s="128"/>
      <c r="F1055" s="128"/>
      <c r="G1055" s="128"/>
      <c r="H1055" s="128"/>
      <c r="I1055" s="128"/>
    </row>
    <row r="1056" spans="1:9" ht="15" thickBot="1" x14ac:dyDescent="0.35">
      <c r="A1056" s="130">
        <v>42346</v>
      </c>
      <c r="B1056" s="129">
        <v>202.99899360000001</v>
      </c>
      <c r="C1056" s="131">
        <v>-2.1348880090000001E-2</v>
      </c>
      <c r="D1056" s="128"/>
      <c r="E1056" s="128"/>
      <c r="F1056" s="128"/>
      <c r="G1056" s="128"/>
      <c r="H1056" s="128"/>
      <c r="I1056" s="128"/>
    </row>
    <row r="1057" spans="1:9" ht="15" thickBot="1" x14ac:dyDescent="0.35">
      <c r="A1057" s="130">
        <v>42316</v>
      </c>
      <c r="B1057" s="129">
        <v>207.42733490000001</v>
      </c>
      <c r="C1057" s="131">
        <v>2.1814597309999999E-2</v>
      </c>
      <c r="D1057" s="128"/>
      <c r="E1057" s="128"/>
      <c r="F1057" s="128"/>
      <c r="G1057" s="128"/>
      <c r="H1057" s="128"/>
      <c r="I1057" s="128"/>
    </row>
    <row r="1058" spans="1:9" ht="15" thickBot="1" x14ac:dyDescent="0.35">
      <c r="A1058" s="130">
        <v>42285</v>
      </c>
      <c r="B1058" s="129">
        <v>202.99899360000001</v>
      </c>
      <c r="C1058" s="131">
        <v>3.4889723230000003E-2</v>
      </c>
      <c r="D1058" s="128"/>
      <c r="E1058" s="128"/>
      <c r="F1058" s="128"/>
      <c r="G1058" s="128"/>
      <c r="H1058" s="128"/>
      <c r="I1058" s="128"/>
    </row>
    <row r="1059" spans="1:9" ht="15" thickBot="1" x14ac:dyDescent="0.35">
      <c r="A1059" s="130">
        <v>42255</v>
      </c>
      <c r="B1059" s="129">
        <v>196.15519320000001</v>
      </c>
      <c r="C1059" s="131">
        <v>5.2375866110000002E-2</v>
      </c>
      <c r="D1059" s="128"/>
      <c r="E1059" s="128"/>
      <c r="F1059" s="128"/>
      <c r="G1059" s="128"/>
      <c r="H1059" s="128"/>
      <c r="I1059" s="128"/>
    </row>
    <row r="1060" spans="1:9" ht="15" thickBot="1" x14ac:dyDescent="0.35">
      <c r="A1060" s="130">
        <v>42163</v>
      </c>
      <c r="B1060" s="129">
        <v>186.39271339999999</v>
      </c>
      <c r="C1060" s="131">
        <v>2.490318192E-2</v>
      </c>
      <c r="D1060" s="128"/>
      <c r="E1060" s="128"/>
      <c r="F1060" s="128"/>
      <c r="G1060" s="128"/>
      <c r="H1060" s="128"/>
      <c r="I1060" s="128"/>
    </row>
    <row r="1061" spans="1:9" ht="15" thickBot="1" x14ac:dyDescent="0.35">
      <c r="A1061" s="130">
        <v>42132</v>
      </c>
      <c r="B1061" s="129">
        <v>181.86372789999999</v>
      </c>
      <c r="C1061" s="131">
        <v>-6.8700266239999997E-3</v>
      </c>
      <c r="D1061" s="128"/>
      <c r="E1061" s="128"/>
      <c r="F1061" s="128"/>
      <c r="G1061" s="128"/>
      <c r="H1061" s="128"/>
      <c r="I1061" s="128"/>
    </row>
    <row r="1062" spans="1:9" ht="15" thickBot="1" x14ac:dyDescent="0.35">
      <c r="A1062" s="130">
        <v>42102</v>
      </c>
      <c r="B1062" s="129">
        <v>183.12177940000001</v>
      </c>
      <c r="C1062" s="131">
        <v>-4.3775698829999999E-3</v>
      </c>
      <c r="D1062" s="128"/>
      <c r="E1062" s="128"/>
      <c r="F1062" s="128"/>
      <c r="G1062" s="128"/>
      <c r="H1062" s="128"/>
      <c r="I1062" s="128"/>
    </row>
    <row r="1063" spans="1:9" ht="15" thickBot="1" x14ac:dyDescent="0.35">
      <c r="A1063" s="130">
        <v>42071</v>
      </c>
      <c r="B1063" s="129">
        <v>183.9269324</v>
      </c>
      <c r="C1063" s="131">
        <v>2.0664642309999998E-2</v>
      </c>
      <c r="D1063" s="128"/>
      <c r="E1063" s="128"/>
      <c r="F1063" s="128"/>
      <c r="G1063" s="128"/>
      <c r="H1063" s="128"/>
      <c r="I1063" s="128"/>
    </row>
    <row r="1064" spans="1:9" ht="15" thickBot="1" x14ac:dyDescent="0.35">
      <c r="A1064" s="130">
        <v>42043</v>
      </c>
      <c r="B1064" s="129">
        <v>180.20309979999999</v>
      </c>
      <c r="C1064" s="131">
        <v>1.8486937540000001E-2</v>
      </c>
      <c r="D1064" s="128"/>
      <c r="E1064" s="128"/>
      <c r="F1064" s="128"/>
      <c r="G1064" s="128"/>
      <c r="H1064" s="128"/>
      <c r="I1064" s="128"/>
    </row>
    <row r="1065" spans="1:9" ht="15" thickBot="1" x14ac:dyDescent="0.35">
      <c r="A1065" s="130">
        <v>42215</v>
      </c>
      <c r="B1065" s="129">
        <v>176.9321659</v>
      </c>
      <c r="C1065" s="131">
        <v>3.7780446420000002E-2</v>
      </c>
      <c r="D1065" s="128"/>
      <c r="E1065" s="128"/>
      <c r="F1065" s="128"/>
      <c r="G1065" s="128"/>
      <c r="H1065" s="128"/>
      <c r="I1065" s="128"/>
    </row>
    <row r="1066" spans="1:9" ht="15" thickBot="1" x14ac:dyDescent="0.35">
      <c r="A1066" s="130">
        <v>42214</v>
      </c>
      <c r="B1066" s="129">
        <v>170.49094199999999</v>
      </c>
      <c r="C1066" s="131">
        <v>1.528320669E-2</v>
      </c>
      <c r="D1066" s="128"/>
      <c r="E1066" s="128"/>
      <c r="F1066" s="128"/>
      <c r="G1066" s="128"/>
      <c r="H1066" s="128"/>
      <c r="I1066" s="128"/>
    </row>
    <row r="1067" spans="1:9" ht="15" thickBot="1" x14ac:dyDescent="0.35">
      <c r="A1067" s="130">
        <v>42213</v>
      </c>
      <c r="B1067" s="129">
        <v>167.92451689999999</v>
      </c>
      <c r="C1067" s="131">
        <v>-5.3651330650000004E-3</v>
      </c>
      <c r="D1067" s="128"/>
      <c r="E1067" s="128"/>
      <c r="F1067" s="128"/>
      <c r="G1067" s="128"/>
      <c r="H1067" s="128"/>
      <c r="I1067" s="128"/>
    </row>
    <row r="1068" spans="1:9" ht="15" thickBot="1" x14ac:dyDescent="0.35">
      <c r="A1068" s="130">
        <v>42212</v>
      </c>
      <c r="B1068" s="129">
        <v>168.83031399999999</v>
      </c>
      <c r="C1068" s="131">
        <v>-5.9577061030000001E-4</v>
      </c>
      <c r="D1068" s="128"/>
      <c r="E1068" s="128"/>
      <c r="F1068" s="128"/>
      <c r="G1068" s="128"/>
      <c r="H1068" s="128"/>
      <c r="I1068" s="128"/>
    </row>
    <row r="1069" spans="1:9" ht="15" thickBot="1" x14ac:dyDescent="0.35">
      <c r="A1069" s="130">
        <v>42211</v>
      </c>
      <c r="B1069" s="129">
        <v>168.9309581</v>
      </c>
      <c r="C1069" s="131">
        <v>-1.351750038E-2</v>
      </c>
      <c r="D1069" s="128"/>
      <c r="E1069" s="128"/>
      <c r="F1069" s="128"/>
      <c r="G1069" s="128"/>
      <c r="H1069" s="128"/>
      <c r="I1069" s="128"/>
    </row>
    <row r="1070" spans="1:9" ht="15" thickBot="1" x14ac:dyDescent="0.35">
      <c r="A1070" s="130">
        <v>42208</v>
      </c>
      <c r="B1070" s="129">
        <v>171.24577289999999</v>
      </c>
      <c r="C1070" s="131">
        <v>2.0695885529999999E-2</v>
      </c>
      <c r="D1070" s="128"/>
      <c r="E1070" s="128"/>
      <c r="F1070" s="128"/>
      <c r="G1070" s="128"/>
      <c r="H1070" s="128"/>
      <c r="I1070" s="128"/>
    </row>
    <row r="1071" spans="1:9" ht="15" thickBot="1" x14ac:dyDescent="0.35">
      <c r="A1071" s="130">
        <v>42207</v>
      </c>
      <c r="B1071" s="129">
        <v>167.77355069999999</v>
      </c>
      <c r="C1071" s="131">
        <v>-1.244077321E-2</v>
      </c>
      <c r="D1071" s="128"/>
      <c r="E1071" s="128"/>
      <c r="F1071" s="128"/>
      <c r="G1071" s="128"/>
      <c r="H1071" s="128"/>
      <c r="I1071" s="128"/>
    </row>
    <row r="1072" spans="1:9" ht="15" thickBot="1" x14ac:dyDescent="0.35">
      <c r="A1072" s="130">
        <v>42206</v>
      </c>
      <c r="B1072" s="129">
        <v>169.88707729999999</v>
      </c>
      <c r="C1072" s="131">
        <v>7.1599132660000002E-3</v>
      </c>
      <c r="D1072" s="128"/>
      <c r="E1072" s="128"/>
      <c r="F1072" s="128"/>
      <c r="G1072" s="128"/>
      <c r="H1072" s="128"/>
      <c r="I1072" s="128"/>
    </row>
    <row r="1073" spans="1:9" ht="15" thickBot="1" x14ac:dyDescent="0.35">
      <c r="A1073" s="130">
        <v>42199</v>
      </c>
      <c r="B1073" s="129">
        <v>168.67934779999999</v>
      </c>
      <c r="C1073" s="131">
        <v>1.4938768619999999E-3</v>
      </c>
      <c r="D1073" s="128"/>
      <c r="E1073" s="128"/>
      <c r="F1073" s="128"/>
      <c r="G1073" s="128"/>
      <c r="H1073" s="128"/>
      <c r="I1073" s="128"/>
    </row>
    <row r="1074" spans="1:9" ht="15" thickBot="1" x14ac:dyDescent="0.35">
      <c r="A1074" s="130">
        <v>42198</v>
      </c>
      <c r="B1074" s="129">
        <v>168.42773750000001</v>
      </c>
      <c r="C1074" s="131">
        <v>-1.0056208400000001E-2</v>
      </c>
      <c r="D1074" s="128"/>
      <c r="E1074" s="128"/>
      <c r="F1074" s="128"/>
      <c r="G1074" s="128"/>
      <c r="H1074" s="128"/>
      <c r="I1074" s="128"/>
    </row>
    <row r="1075" spans="1:9" ht="15" thickBot="1" x14ac:dyDescent="0.35">
      <c r="A1075" s="130">
        <v>42345</v>
      </c>
      <c r="B1075" s="129">
        <v>170.1386876</v>
      </c>
      <c r="C1075" s="131">
        <v>2.206774152E-2</v>
      </c>
      <c r="D1075" s="128"/>
      <c r="E1075" s="128"/>
      <c r="F1075" s="128"/>
      <c r="G1075" s="128"/>
      <c r="H1075" s="128"/>
      <c r="I1075" s="128"/>
    </row>
    <row r="1076" spans="1:9" ht="15" thickBot="1" x14ac:dyDescent="0.35">
      <c r="A1076" s="130">
        <v>42254</v>
      </c>
      <c r="B1076" s="129">
        <v>166.46517710000001</v>
      </c>
      <c r="C1076" s="131">
        <v>-6.9048416320000002E-3</v>
      </c>
      <c r="D1076" s="128"/>
      <c r="E1076" s="128"/>
      <c r="F1076" s="128"/>
      <c r="G1076" s="128"/>
      <c r="H1076" s="128"/>
      <c r="I1076" s="128"/>
    </row>
    <row r="1077" spans="1:9" ht="15" thickBot="1" x14ac:dyDescent="0.35">
      <c r="A1077" s="130">
        <v>42223</v>
      </c>
      <c r="B1077" s="129">
        <v>167.62258449999999</v>
      </c>
      <c r="C1077" s="131">
        <v>-3.1967488879999999E-2</v>
      </c>
      <c r="D1077" s="128"/>
      <c r="E1077" s="128"/>
      <c r="F1077" s="128"/>
      <c r="G1077" s="128"/>
      <c r="H1077" s="128"/>
      <c r="I1077" s="128"/>
    </row>
    <row r="1078" spans="1:9" ht="15" thickBot="1" x14ac:dyDescent="0.35">
      <c r="A1078" s="130">
        <v>42192</v>
      </c>
      <c r="B1078" s="129">
        <v>173.1580113</v>
      </c>
      <c r="C1078" s="131">
        <v>1.8951754649999999E-2</v>
      </c>
      <c r="D1078" s="128"/>
      <c r="E1078" s="128"/>
      <c r="F1078" s="128"/>
      <c r="G1078" s="128"/>
      <c r="H1078" s="128"/>
      <c r="I1078" s="128"/>
    </row>
    <row r="1079" spans="1:9" ht="15" thickBot="1" x14ac:dyDescent="0.35">
      <c r="A1079" s="130">
        <v>42162</v>
      </c>
      <c r="B1079" s="129">
        <v>169.9373994</v>
      </c>
      <c r="C1079" s="131">
        <v>5.0595301870000001E-3</v>
      </c>
      <c r="D1079" s="128"/>
      <c r="E1079" s="128"/>
      <c r="F1079" s="128"/>
      <c r="G1079" s="128"/>
      <c r="H1079" s="128"/>
      <c r="I1079" s="128"/>
    </row>
    <row r="1080" spans="1:9" ht="15" thickBot="1" x14ac:dyDescent="0.35">
      <c r="A1080" s="130">
        <v>42131</v>
      </c>
      <c r="B1080" s="129">
        <v>169.0819243</v>
      </c>
      <c r="C1080" s="131">
        <v>-3.2631306990000002E-3</v>
      </c>
      <c r="D1080" s="128"/>
      <c r="E1080" s="128"/>
      <c r="F1080" s="128"/>
      <c r="G1080" s="128"/>
      <c r="H1080" s="128"/>
      <c r="I1080" s="128"/>
    </row>
    <row r="1081" spans="1:9" ht="15" thickBot="1" x14ac:dyDescent="0.35">
      <c r="A1081" s="130">
        <v>42042</v>
      </c>
      <c r="B1081" s="129">
        <v>169.63546700000001</v>
      </c>
      <c r="C1081" s="131">
        <v>-1.4327502149999999E-2</v>
      </c>
      <c r="D1081" s="128"/>
      <c r="E1081" s="128"/>
      <c r="F1081" s="128"/>
      <c r="G1081" s="128"/>
      <c r="H1081" s="128"/>
      <c r="I1081" s="128"/>
    </row>
    <row r="1082" spans="1:9" ht="15" thickBot="1" x14ac:dyDescent="0.35">
      <c r="A1082" s="130">
        <v>42185</v>
      </c>
      <c r="B1082" s="129">
        <v>172.101248</v>
      </c>
      <c r="C1082" s="131">
        <v>7.9575693450000002E-3</v>
      </c>
      <c r="D1082" s="128"/>
      <c r="E1082" s="128"/>
      <c r="F1082" s="128"/>
      <c r="G1082" s="128"/>
      <c r="H1082" s="128"/>
      <c r="I1082" s="128"/>
    </row>
    <row r="1083" spans="1:9" ht="15" thickBot="1" x14ac:dyDescent="0.35">
      <c r="A1083" s="130">
        <v>42184</v>
      </c>
      <c r="B1083" s="129">
        <v>170.7425523</v>
      </c>
      <c r="C1083" s="131">
        <v>6.4637671310000006E-2</v>
      </c>
      <c r="D1083" s="128"/>
      <c r="E1083" s="128"/>
      <c r="F1083" s="128"/>
      <c r="G1083" s="128"/>
      <c r="H1083" s="128"/>
      <c r="I1083" s="128"/>
    </row>
    <row r="1084" spans="1:9" ht="15" thickBot="1" x14ac:dyDescent="0.35">
      <c r="A1084" s="130">
        <v>42183</v>
      </c>
      <c r="B1084" s="129">
        <v>160.37620770000001</v>
      </c>
      <c r="C1084" s="131">
        <v>2.773302473E-2</v>
      </c>
      <c r="D1084" s="128"/>
      <c r="E1084" s="128"/>
      <c r="F1084" s="128"/>
      <c r="G1084" s="128"/>
      <c r="H1084" s="128"/>
      <c r="I1084" s="128"/>
    </row>
    <row r="1085" spans="1:9" ht="15" thickBot="1" x14ac:dyDescent="0.35">
      <c r="A1085" s="130">
        <v>42180</v>
      </c>
      <c r="B1085" s="129">
        <v>156.04851049999999</v>
      </c>
      <c r="C1085" s="131">
        <v>-3.5347084480000001E-3</v>
      </c>
      <c r="D1085" s="128"/>
      <c r="E1085" s="128"/>
      <c r="F1085" s="128"/>
      <c r="G1085" s="128"/>
      <c r="H1085" s="128"/>
      <c r="I1085" s="128"/>
    </row>
    <row r="1086" spans="1:9" ht="15" thickBot="1" x14ac:dyDescent="0.35">
      <c r="A1086" s="130">
        <v>42179</v>
      </c>
      <c r="B1086" s="129">
        <v>156.60205310000001</v>
      </c>
      <c r="C1086" s="131">
        <v>-2.445144149E-2</v>
      </c>
      <c r="D1086" s="128"/>
      <c r="E1086" s="128"/>
      <c r="F1086" s="128"/>
      <c r="G1086" s="128"/>
      <c r="H1086" s="128"/>
      <c r="I1086" s="128"/>
    </row>
    <row r="1087" spans="1:9" ht="15" thickBot="1" x14ac:dyDescent="0.35">
      <c r="A1087" s="130">
        <v>42178</v>
      </c>
      <c r="B1087" s="129">
        <v>160.52717390000001</v>
      </c>
      <c r="C1087" s="131">
        <v>3.13577936E-4</v>
      </c>
      <c r="D1087" s="128"/>
      <c r="E1087" s="128"/>
      <c r="F1087" s="128"/>
      <c r="G1087" s="128"/>
      <c r="H1087" s="128"/>
      <c r="I1087" s="128"/>
    </row>
    <row r="1088" spans="1:9" ht="15" thickBot="1" x14ac:dyDescent="0.35">
      <c r="A1088" s="130">
        <v>42177</v>
      </c>
      <c r="B1088" s="129">
        <v>160.47685190000001</v>
      </c>
      <c r="C1088" s="131">
        <v>-5.9227002640000002E-3</v>
      </c>
      <c r="D1088" s="128"/>
      <c r="E1088" s="128"/>
      <c r="F1088" s="128"/>
      <c r="G1088" s="128"/>
      <c r="H1088" s="128"/>
      <c r="I1088" s="128"/>
    </row>
    <row r="1089" spans="1:9" ht="15" thickBot="1" x14ac:dyDescent="0.35">
      <c r="A1089" s="130">
        <v>42176</v>
      </c>
      <c r="B1089" s="129">
        <v>161.43297100000001</v>
      </c>
      <c r="C1089" s="131">
        <v>1.0712048910000001E-2</v>
      </c>
      <c r="D1089" s="128"/>
      <c r="E1089" s="128"/>
      <c r="F1089" s="128"/>
      <c r="G1089" s="128"/>
      <c r="H1089" s="128"/>
      <c r="I1089" s="128"/>
    </row>
    <row r="1090" spans="1:9" ht="15" thickBot="1" x14ac:dyDescent="0.35">
      <c r="A1090" s="130">
        <v>42173</v>
      </c>
      <c r="B1090" s="129">
        <v>159.72202089999999</v>
      </c>
      <c r="C1090" s="131">
        <v>6.9797039970000002E-3</v>
      </c>
      <c r="D1090" s="128"/>
      <c r="E1090" s="128"/>
      <c r="F1090" s="128"/>
      <c r="G1090" s="128"/>
      <c r="H1090" s="128"/>
      <c r="I1090" s="128"/>
    </row>
    <row r="1091" spans="1:9" ht="15" thickBot="1" x14ac:dyDescent="0.35">
      <c r="A1091" s="130">
        <v>42172</v>
      </c>
      <c r="B1091" s="129">
        <v>158.6149356</v>
      </c>
      <c r="C1091" s="131">
        <v>2.006475093E-2</v>
      </c>
      <c r="D1091" s="128"/>
      <c r="E1091" s="128"/>
      <c r="F1091" s="128"/>
      <c r="G1091" s="128"/>
      <c r="H1091" s="128"/>
      <c r="I1091" s="128"/>
    </row>
    <row r="1092" spans="1:9" ht="15" thickBot="1" x14ac:dyDescent="0.35">
      <c r="A1092" s="130">
        <v>42170</v>
      </c>
      <c r="B1092" s="129">
        <v>155.49496780000001</v>
      </c>
      <c r="C1092" s="131">
        <v>9.4740406419999996E-3</v>
      </c>
      <c r="D1092" s="128"/>
      <c r="E1092" s="128"/>
      <c r="F1092" s="128"/>
      <c r="G1092" s="128"/>
      <c r="H1092" s="128"/>
      <c r="I1092" s="128"/>
    </row>
    <row r="1093" spans="1:9" ht="15" thickBot="1" x14ac:dyDescent="0.35">
      <c r="A1093" s="130">
        <v>42169</v>
      </c>
      <c r="B1093" s="129">
        <v>154.035628</v>
      </c>
      <c r="C1093" s="131">
        <v>-2.8870595209999999E-2</v>
      </c>
      <c r="D1093" s="128"/>
      <c r="E1093" s="128"/>
      <c r="F1093" s="128"/>
      <c r="G1093" s="128"/>
      <c r="H1093" s="128"/>
      <c r="I1093" s="128"/>
    </row>
    <row r="1094" spans="1:9" ht="15" thickBot="1" x14ac:dyDescent="0.35">
      <c r="A1094" s="130">
        <v>42314</v>
      </c>
      <c r="B1094" s="129">
        <v>158.6149356</v>
      </c>
      <c r="C1094" s="131">
        <v>7.6726442830000003E-3</v>
      </c>
      <c r="D1094" s="128"/>
      <c r="E1094" s="128"/>
      <c r="F1094" s="128"/>
      <c r="G1094" s="128"/>
      <c r="H1094" s="128"/>
      <c r="I1094" s="128"/>
    </row>
    <row r="1095" spans="1:9" ht="15" thickBot="1" x14ac:dyDescent="0.35">
      <c r="A1095" s="130">
        <v>42283</v>
      </c>
      <c r="B1095" s="129">
        <v>157.4072061</v>
      </c>
      <c r="C1095" s="131">
        <v>-6.0375039369999998E-3</v>
      </c>
      <c r="D1095" s="128"/>
      <c r="E1095" s="128"/>
      <c r="F1095" s="128"/>
      <c r="G1095" s="128"/>
      <c r="H1095" s="128"/>
      <c r="I1095" s="128"/>
    </row>
    <row r="1096" spans="1:9" ht="15" thickBot="1" x14ac:dyDescent="0.35">
      <c r="A1096" s="130">
        <v>42253</v>
      </c>
      <c r="B1096" s="129">
        <v>158.36332530000001</v>
      </c>
      <c r="C1096" s="131">
        <v>1.5816676339999999E-2</v>
      </c>
      <c r="D1096" s="128"/>
      <c r="E1096" s="128"/>
      <c r="F1096" s="128"/>
      <c r="G1096" s="128"/>
      <c r="H1096" s="128"/>
      <c r="I1096" s="128"/>
    </row>
    <row r="1097" spans="1:9" ht="15" thickBot="1" x14ac:dyDescent="0.35">
      <c r="A1097" s="130">
        <v>42222</v>
      </c>
      <c r="B1097" s="129">
        <v>155.89754429999999</v>
      </c>
      <c r="C1097" s="131">
        <v>-7.3694422709999997E-3</v>
      </c>
      <c r="D1097" s="128"/>
      <c r="E1097" s="128"/>
      <c r="F1097" s="128"/>
      <c r="G1097" s="128"/>
      <c r="H1097" s="128"/>
      <c r="I1097" s="128"/>
    </row>
    <row r="1098" spans="1:9" ht="15" thickBot="1" x14ac:dyDescent="0.35">
      <c r="A1098" s="130">
        <v>42191</v>
      </c>
      <c r="B1098" s="129">
        <v>157.0549517</v>
      </c>
      <c r="C1098" s="131">
        <v>-9.5207989139999994E-3</v>
      </c>
      <c r="D1098" s="128"/>
      <c r="E1098" s="128"/>
      <c r="F1098" s="128"/>
      <c r="G1098" s="128"/>
      <c r="H1098" s="128"/>
      <c r="I1098" s="128"/>
    </row>
    <row r="1099" spans="1:9" ht="15" thickBot="1" x14ac:dyDescent="0.35">
      <c r="A1099" s="130">
        <v>42100</v>
      </c>
      <c r="B1099" s="129">
        <v>158.56461350000001</v>
      </c>
      <c r="C1099" s="131">
        <v>1.220688992E-2</v>
      </c>
      <c r="D1099" s="128"/>
      <c r="E1099" s="128"/>
      <c r="F1099" s="128"/>
      <c r="G1099" s="128"/>
      <c r="H1099" s="128"/>
      <c r="I1099" s="128"/>
    </row>
    <row r="1100" spans="1:9" ht="15" thickBot="1" x14ac:dyDescent="0.35">
      <c r="A1100" s="130">
        <v>42041</v>
      </c>
      <c r="B1100" s="129">
        <v>156.65237519999999</v>
      </c>
      <c r="C1100" s="131">
        <v>1.599218799E-2</v>
      </c>
      <c r="D1100" s="128"/>
      <c r="E1100" s="128"/>
      <c r="F1100" s="128"/>
      <c r="G1100" s="128"/>
      <c r="H1100" s="128"/>
      <c r="I1100" s="128"/>
    </row>
    <row r="1101" spans="1:9" ht="15" thickBot="1" x14ac:dyDescent="0.35">
      <c r="A1101" s="130">
        <v>42010</v>
      </c>
      <c r="B1101" s="129">
        <v>154.1865942</v>
      </c>
      <c r="C1101" s="131">
        <v>-1.161291819E-2</v>
      </c>
      <c r="D1101" s="128"/>
      <c r="E1101" s="128"/>
      <c r="F1101" s="128"/>
      <c r="G1101" s="128"/>
      <c r="H1101" s="128"/>
      <c r="I1101" s="128"/>
    </row>
    <row r="1102" spans="1:9" ht="15" thickBot="1" x14ac:dyDescent="0.35">
      <c r="A1102" s="130">
        <v>42155</v>
      </c>
      <c r="B1102" s="129">
        <v>155.9981884</v>
      </c>
      <c r="C1102" s="131">
        <v>-2.115569455E-2</v>
      </c>
      <c r="D1102" s="128"/>
      <c r="E1102" s="128"/>
      <c r="F1102" s="128"/>
      <c r="G1102" s="128"/>
      <c r="H1102" s="128"/>
      <c r="I1102" s="128"/>
    </row>
    <row r="1103" spans="1:9" ht="15" thickBot="1" x14ac:dyDescent="0.35">
      <c r="A1103" s="130">
        <v>42152</v>
      </c>
      <c r="B1103" s="129">
        <v>159.3697665</v>
      </c>
      <c r="C1103" s="131">
        <v>3.8034911349999999E-3</v>
      </c>
      <c r="D1103" s="128"/>
      <c r="E1103" s="128"/>
      <c r="F1103" s="128"/>
      <c r="G1103" s="128"/>
      <c r="H1103" s="128"/>
      <c r="I1103" s="128"/>
    </row>
    <row r="1104" spans="1:9" ht="15" thickBot="1" x14ac:dyDescent="0.35">
      <c r="A1104" s="130">
        <v>42151</v>
      </c>
      <c r="B1104" s="129">
        <v>158.76590179999999</v>
      </c>
      <c r="C1104" s="131">
        <v>-1.467834392E-2</v>
      </c>
      <c r="D1104" s="128"/>
      <c r="E1104" s="128"/>
      <c r="F1104" s="128"/>
      <c r="G1104" s="128"/>
      <c r="H1104" s="128"/>
      <c r="I1104" s="128"/>
    </row>
    <row r="1105" spans="1:9" ht="15" thickBot="1" x14ac:dyDescent="0.35">
      <c r="A1105" s="130">
        <v>42150</v>
      </c>
      <c r="B1105" s="129">
        <v>161.13103860000001</v>
      </c>
      <c r="C1105" s="131">
        <v>-8.9755606349999992E-3</v>
      </c>
      <c r="D1105" s="128"/>
      <c r="E1105" s="128"/>
      <c r="F1105" s="128"/>
      <c r="G1105" s="128"/>
      <c r="H1105" s="128"/>
      <c r="I1105" s="128"/>
    </row>
    <row r="1106" spans="1:9" ht="15" thickBot="1" x14ac:dyDescent="0.35">
      <c r="A1106" s="130">
        <v>42149</v>
      </c>
      <c r="B1106" s="129">
        <v>162.59037839999999</v>
      </c>
      <c r="C1106" s="131">
        <v>7.7978885210000003E-3</v>
      </c>
      <c r="D1106" s="128"/>
      <c r="E1106" s="128"/>
      <c r="F1106" s="128"/>
      <c r="G1106" s="128"/>
      <c r="H1106" s="128"/>
      <c r="I1106" s="128"/>
    </row>
    <row r="1107" spans="1:9" ht="15" thickBot="1" x14ac:dyDescent="0.35">
      <c r="A1107" s="130">
        <v>42148</v>
      </c>
      <c r="B1107" s="129">
        <v>161.3323269</v>
      </c>
      <c r="C1107" s="131">
        <v>-2.7993810860000002E-3</v>
      </c>
      <c r="D1107" s="128"/>
      <c r="E1107" s="128"/>
      <c r="F1107" s="128"/>
      <c r="G1107" s="128"/>
      <c r="H1107" s="128"/>
      <c r="I1107" s="128"/>
    </row>
    <row r="1108" spans="1:9" ht="15" thickBot="1" x14ac:dyDescent="0.35">
      <c r="A1108" s="130">
        <v>42145</v>
      </c>
      <c r="B1108" s="129">
        <v>161.7852254</v>
      </c>
      <c r="C1108" s="131">
        <v>-1.22888019E-2</v>
      </c>
      <c r="D1108" s="128"/>
      <c r="E1108" s="128"/>
      <c r="F1108" s="128"/>
      <c r="G1108" s="128"/>
      <c r="H1108" s="128"/>
      <c r="I1108" s="128"/>
    </row>
    <row r="1109" spans="1:9" ht="15" thickBot="1" x14ac:dyDescent="0.35">
      <c r="A1109" s="130">
        <v>42144</v>
      </c>
      <c r="B1109" s="129">
        <v>163.79810789999999</v>
      </c>
      <c r="C1109" s="131">
        <v>1.560064375E-2</v>
      </c>
      <c r="D1109" s="128"/>
      <c r="E1109" s="128"/>
      <c r="F1109" s="128"/>
      <c r="G1109" s="128"/>
      <c r="H1109" s="128"/>
      <c r="I1109" s="128"/>
    </row>
    <row r="1110" spans="1:9" ht="15" thickBot="1" x14ac:dyDescent="0.35">
      <c r="A1110" s="130">
        <v>42143</v>
      </c>
      <c r="B1110" s="129">
        <v>161.28200480000001</v>
      </c>
      <c r="C1110" s="131">
        <v>5.963597805E-3</v>
      </c>
      <c r="D1110" s="128"/>
      <c r="E1110" s="128"/>
      <c r="F1110" s="128"/>
      <c r="G1110" s="128"/>
      <c r="H1110" s="128"/>
      <c r="I1110" s="128"/>
    </row>
    <row r="1111" spans="1:9" ht="15" thickBot="1" x14ac:dyDescent="0.35">
      <c r="A1111" s="130">
        <v>42142</v>
      </c>
      <c r="B1111" s="129">
        <v>160.32588569999999</v>
      </c>
      <c r="C1111" s="131">
        <v>1.0145859679999999E-2</v>
      </c>
      <c r="D1111" s="128"/>
      <c r="E1111" s="128"/>
      <c r="F1111" s="128"/>
      <c r="G1111" s="128"/>
      <c r="H1111" s="128"/>
      <c r="I1111" s="128"/>
    </row>
    <row r="1112" spans="1:9" ht="15" thickBot="1" x14ac:dyDescent="0.35">
      <c r="A1112" s="130">
        <v>42141</v>
      </c>
      <c r="B1112" s="129">
        <v>158.71557970000001</v>
      </c>
      <c r="C1112" s="131">
        <v>7.6677416299999997E-3</v>
      </c>
      <c r="D1112" s="128"/>
      <c r="E1112" s="128"/>
      <c r="F1112" s="128"/>
      <c r="G1112" s="128"/>
      <c r="H1112" s="128"/>
      <c r="I1112" s="128"/>
    </row>
    <row r="1113" spans="1:9" ht="15" thickBot="1" x14ac:dyDescent="0.35">
      <c r="A1113" s="130">
        <v>42138</v>
      </c>
      <c r="B1113" s="129">
        <v>157.50785020000001</v>
      </c>
      <c r="C1113" s="131">
        <v>-3.8192287019999998E-3</v>
      </c>
      <c r="D1113" s="128"/>
      <c r="E1113" s="128"/>
      <c r="F1113" s="128"/>
      <c r="G1113" s="128"/>
      <c r="H1113" s="128"/>
      <c r="I1113" s="128"/>
    </row>
    <row r="1114" spans="1:9" ht="15" thickBot="1" x14ac:dyDescent="0.35">
      <c r="A1114" s="130">
        <v>42137</v>
      </c>
      <c r="B1114" s="129">
        <v>158.111715</v>
      </c>
      <c r="C1114" s="131">
        <v>6.7286213429999997E-3</v>
      </c>
      <c r="D1114" s="128"/>
      <c r="E1114" s="128"/>
      <c r="F1114" s="128"/>
      <c r="G1114" s="128"/>
      <c r="H1114" s="128"/>
      <c r="I1114" s="128"/>
    </row>
    <row r="1115" spans="1:9" ht="15" thickBot="1" x14ac:dyDescent="0.35">
      <c r="A1115" s="130">
        <v>42343</v>
      </c>
      <c r="B1115" s="129">
        <v>157.0549517</v>
      </c>
      <c r="C1115" s="131">
        <v>1.166938302E-2</v>
      </c>
      <c r="D1115" s="128"/>
      <c r="E1115" s="128"/>
      <c r="F1115" s="128"/>
      <c r="G1115" s="128"/>
      <c r="H1115" s="128"/>
      <c r="I1115" s="128"/>
    </row>
    <row r="1116" spans="1:9" ht="15" thickBot="1" x14ac:dyDescent="0.35">
      <c r="A1116" s="130">
        <v>42313</v>
      </c>
      <c r="B1116" s="129">
        <v>155.2433575</v>
      </c>
      <c r="C1116" s="131">
        <v>-3.0788602960000001E-2</v>
      </c>
      <c r="D1116" s="128"/>
      <c r="E1116" s="128"/>
      <c r="F1116" s="128"/>
      <c r="G1116" s="128"/>
      <c r="H1116" s="128"/>
      <c r="I1116" s="128"/>
    </row>
    <row r="1117" spans="1:9" ht="15" thickBot="1" x14ac:dyDescent="0.35">
      <c r="A1117" s="130">
        <v>42282</v>
      </c>
      <c r="B1117" s="129">
        <v>160.17491949999999</v>
      </c>
      <c r="C1117" s="131">
        <v>2.8765389839999999E-2</v>
      </c>
      <c r="D1117" s="128"/>
      <c r="E1117" s="128"/>
      <c r="F1117" s="128"/>
      <c r="G1117" s="128"/>
      <c r="H1117" s="128"/>
      <c r="I1117" s="128"/>
    </row>
    <row r="1118" spans="1:9" ht="15" thickBot="1" x14ac:dyDescent="0.35">
      <c r="A1118" s="130">
        <v>42190</v>
      </c>
      <c r="B1118" s="129">
        <v>155.69625600000001</v>
      </c>
      <c r="C1118" s="131">
        <v>1.6186488690000001E-3</v>
      </c>
      <c r="D1118" s="128"/>
      <c r="E1118" s="128"/>
      <c r="F1118" s="128"/>
      <c r="G1118" s="128"/>
      <c r="H1118" s="128"/>
      <c r="I1118" s="128"/>
    </row>
    <row r="1119" spans="1:9" ht="15" thickBot="1" x14ac:dyDescent="0.35">
      <c r="A1119" s="130">
        <v>42160</v>
      </c>
      <c r="B1119" s="129">
        <v>155.4446457</v>
      </c>
      <c r="C1119" s="131">
        <v>2.2170777199999998E-2</v>
      </c>
      <c r="D1119" s="128"/>
      <c r="E1119" s="128"/>
      <c r="F1119" s="128"/>
      <c r="G1119" s="128"/>
      <c r="H1119" s="128"/>
      <c r="I1119" s="128"/>
    </row>
    <row r="1120" spans="1:9" ht="15" thickBot="1" x14ac:dyDescent="0.35">
      <c r="A1120" s="130">
        <v>42129</v>
      </c>
      <c r="B1120" s="129">
        <v>152.0730676</v>
      </c>
      <c r="C1120" s="131">
        <v>3.3101625550000001E-4</v>
      </c>
      <c r="D1120" s="128"/>
      <c r="E1120" s="128"/>
      <c r="F1120" s="128"/>
      <c r="G1120" s="128"/>
      <c r="H1120" s="128"/>
      <c r="I1120" s="128"/>
    </row>
    <row r="1121" spans="1:9" ht="15" thickBot="1" x14ac:dyDescent="0.35">
      <c r="A1121" s="130">
        <v>42099</v>
      </c>
      <c r="B1121" s="129">
        <v>152.02274560000001</v>
      </c>
      <c r="C1121" s="131">
        <v>-3.9564837270000004E-3</v>
      </c>
      <c r="D1121" s="128"/>
      <c r="E1121" s="128"/>
      <c r="F1121" s="128"/>
      <c r="G1121" s="128"/>
      <c r="H1121" s="128"/>
      <c r="I1121" s="128"/>
    </row>
    <row r="1122" spans="1:9" ht="15" thickBot="1" x14ac:dyDescent="0.35">
      <c r="A1122" s="130">
        <v>42124</v>
      </c>
      <c r="B1122" s="129">
        <v>152.62661030000001</v>
      </c>
      <c r="C1122" s="131">
        <v>-1.749273401E-2</v>
      </c>
      <c r="D1122" s="128"/>
      <c r="E1122" s="128"/>
      <c r="F1122" s="128"/>
      <c r="G1122" s="128"/>
      <c r="H1122" s="128"/>
      <c r="I1122" s="128"/>
    </row>
    <row r="1123" spans="1:9" ht="15" thickBot="1" x14ac:dyDescent="0.35">
      <c r="A1123" s="130">
        <v>42123</v>
      </c>
      <c r="B1123" s="129">
        <v>155.34400160000001</v>
      </c>
      <c r="C1123" s="131">
        <v>1.4459434110000001E-2</v>
      </c>
      <c r="D1123" s="128"/>
      <c r="E1123" s="128"/>
      <c r="F1123" s="128"/>
      <c r="G1123" s="128"/>
      <c r="H1123" s="128"/>
      <c r="I1123" s="128"/>
    </row>
    <row r="1124" spans="1:9" ht="15" thickBot="1" x14ac:dyDescent="0.35">
      <c r="A1124" s="130">
        <v>42121</v>
      </c>
      <c r="B1124" s="129">
        <v>153.1298309</v>
      </c>
      <c r="C1124" s="131">
        <v>-4.187662742E-2</v>
      </c>
      <c r="D1124" s="128"/>
      <c r="E1124" s="128"/>
      <c r="F1124" s="128"/>
      <c r="G1124" s="128"/>
      <c r="H1124" s="128"/>
      <c r="I1124" s="128"/>
    </row>
    <row r="1125" spans="1:9" ht="15" thickBot="1" x14ac:dyDescent="0.35">
      <c r="A1125" s="130">
        <v>42120</v>
      </c>
      <c r="B1125" s="129">
        <v>159.82266509999999</v>
      </c>
      <c r="C1125" s="131">
        <v>-9.0483727670000007E-3</v>
      </c>
      <c r="D1125" s="128"/>
      <c r="E1125" s="128"/>
      <c r="F1125" s="128"/>
      <c r="G1125" s="128"/>
      <c r="H1125" s="128"/>
      <c r="I1125" s="128"/>
    </row>
    <row r="1126" spans="1:9" ht="15" thickBot="1" x14ac:dyDescent="0.35">
      <c r="A1126" s="130">
        <v>42117</v>
      </c>
      <c r="B1126" s="129">
        <v>161.28200480000001</v>
      </c>
      <c r="C1126" s="131">
        <v>-1.202220973E-2</v>
      </c>
      <c r="D1126" s="128"/>
      <c r="E1126" s="128"/>
      <c r="F1126" s="128"/>
      <c r="G1126" s="128"/>
      <c r="H1126" s="128"/>
      <c r="I1126" s="128"/>
    </row>
    <row r="1127" spans="1:9" ht="15" thickBot="1" x14ac:dyDescent="0.35">
      <c r="A1127" s="130">
        <v>42116</v>
      </c>
      <c r="B1127" s="129">
        <v>163.24456520000001</v>
      </c>
      <c r="C1127" s="131">
        <v>-1.5389369149999999E-3</v>
      </c>
      <c r="D1127" s="128"/>
      <c r="E1127" s="128"/>
      <c r="F1127" s="128"/>
      <c r="G1127" s="128"/>
      <c r="H1127" s="128"/>
      <c r="I1127" s="128"/>
    </row>
    <row r="1128" spans="1:9" ht="15" thickBot="1" x14ac:dyDescent="0.35">
      <c r="A1128" s="130">
        <v>42115</v>
      </c>
      <c r="B1128" s="129">
        <v>163.49617549999999</v>
      </c>
      <c r="C1128" s="131">
        <v>4.6382245509999998E-3</v>
      </c>
      <c r="D1128" s="128"/>
      <c r="E1128" s="128"/>
      <c r="F1128" s="128"/>
      <c r="G1128" s="128"/>
      <c r="H1128" s="128"/>
      <c r="I1128" s="128"/>
    </row>
    <row r="1129" spans="1:9" ht="15" thickBot="1" x14ac:dyDescent="0.35">
      <c r="A1129" s="130">
        <v>42114</v>
      </c>
      <c r="B1129" s="129">
        <v>162.74134459999999</v>
      </c>
      <c r="C1129" s="131">
        <v>-6.1804759819999999E-4</v>
      </c>
      <c r="D1129" s="128"/>
      <c r="E1129" s="128"/>
      <c r="F1129" s="128"/>
      <c r="G1129" s="128"/>
      <c r="H1129" s="128"/>
      <c r="I1129" s="128"/>
    </row>
    <row r="1130" spans="1:9" ht="15" thickBot="1" x14ac:dyDescent="0.35">
      <c r="A1130" s="130">
        <v>42113</v>
      </c>
      <c r="B1130" s="129">
        <v>162.8419887</v>
      </c>
      <c r="C1130" s="131">
        <v>-1.671226604E-2</v>
      </c>
      <c r="D1130" s="128"/>
      <c r="E1130" s="128"/>
      <c r="F1130" s="128"/>
      <c r="G1130" s="128"/>
      <c r="H1130" s="128"/>
      <c r="I1130" s="128"/>
    </row>
    <row r="1131" spans="1:9" ht="15" thickBot="1" x14ac:dyDescent="0.35">
      <c r="A1131" s="130">
        <v>42110</v>
      </c>
      <c r="B1131" s="129">
        <v>165.60970209999999</v>
      </c>
      <c r="C1131" s="131">
        <v>-9.6298643819999995E-3</v>
      </c>
      <c r="D1131" s="128"/>
      <c r="E1131" s="128"/>
      <c r="F1131" s="128"/>
      <c r="G1131" s="128"/>
      <c r="H1131" s="128"/>
      <c r="I1131" s="128"/>
    </row>
    <row r="1132" spans="1:9" ht="15" thickBot="1" x14ac:dyDescent="0.35">
      <c r="A1132" s="130">
        <v>42109</v>
      </c>
      <c r="B1132" s="129">
        <v>167.2200081</v>
      </c>
      <c r="C1132" s="131">
        <v>-7.4671533080000003E-3</v>
      </c>
      <c r="D1132" s="128"/>
      <c r="E1132" s="128"/>
      <c r="F1132" s="128"/>
      <c r="G1132" s="128"/>
      <c r="H1132" s="128"/>
      <c r="I1132" s="128"/>
    </row>
    <row r="1133" spans="1:9" ht="15" thickBot="1" x14ac:dyDescent="0.35">
      <c r="A1133" s="130">
        <v>42107</v>
      </c>
      <c r="B1133" s="129">
        <v>168.47805959999999</v>
      </c>
      <c r="C1133" s="131">
        <v>1.1174885359999999E-2</v>
      </c>
      <c r="D1133" s="128"/>
      <c r="E1133" s="128"/>
      <c r="F1133" s="128"/>
      <c r="G1133" s="128"/>
      <c r="H1133" s="128"/>
      <c r="I1133" s="128"/>
    </row>
    <row r="1134" spans="1:9" ht="15" thickBot="1" x14ac:dyDescent="0.35">
      <c r="A1134" s="130">
        <v>42342</v>
      </c>
      <c r="B1134" s="129">
        <v>166.6161433</v>
      </c>
      <c r="C1134" s="131">
        <v>5.771574069E-3</v>
      </c>
      <c r="D1134" s="128"/>
      <c r="E1134" s="128"/>
      <c r="F1134" s="128"/>
      <c r="G1134" s="128"/>
      <c r="H1134" s="128"/>
      <c r="I1134" s="128"/>
    </row>
    <row r="1135" spans="1:9" ht="15" thickBot="1" x14ac:dyDescent="0.35">
      <c r="A1135" s="130">
        <v>42251</v>
      </c>
      <c r="B1135" s="129">
        <v>165.66002420000001</v>
      </c>
      <c r="C1135" s="131">
        <v>-2.7761402840000001E-2</v>
      </c>
      <c r="D1135" s="128"/>
      <c r="E1135" s="128"/>
      <c r="F1135" s="128"/>
      <c r="G1135" s="128"/>
      <c r="H1135" s="128"/>
      <c r="I1135" s="128"/>
    </row>
    <row r="1136" spans="1:9" ht="15" thickBot="1" x14ac:dyDescent="0.35">
      <c r="A1136" s="130">
        <v>42220</v>
      </c>
      <c r="B1136" s="129">
        <v>170.39029790000001</v>
      </c>
      <c r="C1136" s="131">
        <v>1.529237204E-2</v>
      </c>
      <c r="D1136" s="128"/>
      <c r="E1136" s="128"/>
      <c r="F1136" s="128"/>
      <c r="G1136" s="128"/>
      <c r="H1136" s="128"/>
      <c r="I1136" s="128"/>
    </row>
    <row r="1137" spans="1:9" ht="15" thickBot="1" x14ac:dyDescent="0.35">
      <c r="A1137" s="130">
        <v>42189</v>
      </c>
      <c r="B1137" s="129">
        <v>167.8238728</v>
      </c>
      <c r="C1137" s="131">
        <v>2.1033677430000002E-3</v>
      </c>
      <c r="D1137" s="128"/>
      <c r="E1137" s="128"/>
      <c r="F1137" s="128"/>
      <c r="G1137" s="128"/>
      <c r="H1137" s="128"/>
      <c r="I1137" s="128"/>
    </row>
    <row r="1138" spans="1:9" ht="15" thickBot="1" x14ac:dyDescent="0.35">
      <c r="A1138" s="130">
        <v>42159</v>
      </c>
      <c r="B1138" s="129">
        <v>167.47161840000001</v>
      </c>
      <c r="C1138" s="131">
        <v>3.3162537829999998E-3</v>
      </c>
      <c r="D1138" s="128"/>
      <c r="E1138" s="128"/>
      <c r="F1138" s="128"/>
      <c r="G1138" s="128"/>
      <c r="H1138" s="128"/>
      <c r="I1138" s="128"/>
    </row>
    <row r="1139" spans="1:9" ht="15" thickBot="1" x14ac:dyDescent="0.35">
      <c r="A1139" s="130">
        <v>42128</v>
      </c>
      <c r="B1139" s="129">
        <v>166.9180757</v>
      </c>
      <c r="C1139" s="131">
        <v>-2.2687121540000001E-2</v>
      </c>
      <c r="D1139" s="128"/>
      <c r="E1139" s="128"/>
      <c r="F1139" s="128"/>
      <c r="G1139" s="128"/>
      <c r="H1139" s="128"/>
      <c r="I1139" s="128"/>
    </row>
    <row r="1140" spans="1:9" ht="15" thickBot="1" x14ac:dyDescent="0.35">
      <c r="A1140" s="130">
        <v>42039</v>
      </c>
      <c r="B1140" s="129">
        <v>170.79287439999999</v>
      </c>
      <c r="C1140" s="131">
        <v>-1.5661271040000001E-2</v>
      </c>
      <c r="D1140" s="128"/>
      <c r="E1140" s="128"/>
      <c r="F1140" s="128"/>
      <c r="G1140" s="128"/>
      <c r="H1140" s="128"/>
      <c r="I1140" s="128"/>
    </row>
    <row r="1141" spans="1:9" ht="15" thickBot="1" x14ac:dyDescent="0.35">
      <c r="A1141" s="130">
        <v>42008</v>
      </c>
      <c r="B1141" s="129">
        <v>173.51026569999999</v>
      </c>
      <c r="C1141" s="131">
        <v>-2.2121409250000001E-2</v>
      </c>
      <c r="D1141" s="128"/>
      <c r="E1141" s="128"/>
      <c r="F1141" s="128"/>
      <c r="G1141" s="128"/>
      <c r="H1141" s="128"/>
      <c r="I1141" s="128"/>
    </row>
    <row r="1142" spans="1:9" ht="15" thickBot="1" x14ac:dyDescent="0.35">
      <c r="A1142" s="130">
        <v>42094</v>
      </c>
      <c r="B1142" s="129">
        <v>177.43538649999999</v>
      </c>
      <c r="C1142" s="131">
        <v>1.234569359E-2</v>
      </c>
      <c r="D1142" s="128"/>
      <c r="E1142" s="128"/>
      <c r="F1142" s="128"/>
      <c r="G1142" s="128"/>
      <c r="H1142" s="128"/>
      <c r="I1142" s="128"/>
    </row>
    <row r="1143" spans="1:9" ht="15" thickBot="1" x14ac:dyDescent="0.35">
      <c r="A1143" s="130">
        <v>42093</v>
      </c>
      <c r="B1143" s="129">
        <v>175.2715378</v>
      </c>
      <c r="C1143" s="131">
        <v>-3.7047317730000001E-2</v>
      </c>
      <c r="D1143" s="128"/>
      <c r="E1143" s="128"/>
      <c r="F1143" s="128"/>
      <c r="G1143" s="128"/>
      <c r="H1143" s="128"/>
      <c r="I1143" s="128"/>
    </row>
    <row r="1144" spans="1:9" ht="15" thickBot="1" x14ac:dyDescent="0.35">
      <c r="A1144" s="130">
        <v>42092</v>
      </c>
      <c r="B1144" s="129">
        <v>182.01469399999999</v>
      </c>
      <c r="C1144" s="131">
        <v>1.430175457E-2</v>
      </c>
      <c r="D1144" s="128"/>
      <c r="E1144" s="128"/>
      <c r="F1144" s="128"/>
      <c r="G1144" s="128"/>
      <c r="H1144" s="128"/>
      <c r="I1144" s="128"/>
    </row>
    <row r="1145" spans="1:9" ht="15" thickBot="1" x14ac:dyDescent="0.35">
      <c r="A1145" s="130">
        <v>42088</v>
      </c>
      <c r="B1145" s="129">
        <v>179.44826889999999</v>
      </c>
      <c r="C1145" s="131">
        <v>6.1625556749999998E-2</v>
      </c>
      <c r="D1145" s="128"/>
      <c r="E1145" s="128"/>
      <c r="F1145" s="128"/>
      <c r="G1145" s="128"/>
      <c r="H1145" s="128"/>
      <c r="I1145" s="128"/>
    </row>
    <row r="1146" spans="1:9" ht="15" thickBot="1" x14ac:dyDescent="0.35">
      <c r="A1146" s="130">
        <v>42087</v>
      </c>
      <c r="B1146" s="129">
        <v>169.0316023</v>
      </c>
      <c r="C1146" s="131">
        <v>2.8160426709999999E-2</v>
      </c>
      <c r="D1146" s="128"/>
      <c r="E1146" s="128"/>
      <c r="F1146" s="128"/>
      <c r="G1146" s="128"/>
      <c r="H1146" s="128"/>
      <c r="I1146" s="128"/>
    </row>
    <row r="1147" spans="1:9" ht="15" thickBot="1" x14ac:dyDescent="0.35">
      <c r="A1147" s="130">
        <v>42086</v>
      </c>
      <c r="B1147" s="129">
        <v>164.40197259999999</v>
      </c>
      <c r="C1147" s="131">
        <v>1.333748534E-2</v>
      </c>
      <c r="D1147" s="128"/>
      <c r="E1147" s="128"/>
      <c r="F1147" s="128"/>
      <c r="G1147" s="128"/>
      <c r="H1147" s="128"/>
      <c r="I1147" s="128"/>
    </row>
    <row r="1148" spans="1:9" ht="15" thickBot="1" x14ac:dyDescent="0.35">
      <c r="A1148" s="130">
        <v>42085</v>
      </c>
      <c r="B1148" s="129">
        <v>162.238124</v>
      </c>
      <c r="C1148" s="131">
        <v>3.1113914770000001E-3</v>
      </c>
      <c r="D1148" s="128"/>
      <c r="E1148" s="128"/>
      <c r="F1148" s="128"/>
      <c r="G1148" s="128"/>
      <c r="H1148" s="128"/>
      <c r="I1148" s="128"/>
    </row>
    <row r="1149" spans="1:9" ht="15" thickBot="1" x14ac:dyDescent="0.35">
      <c r="A1149" s="130">
        <v>42082</v>
      </c>
      <c r="B1149" s="129">
        <v>161.73490340000001</v>
      </c>
      <c r="C1149" s="131">
        <v>-6.7985248079999996E-3</v>
      </c>
      <c r="D1149" s="128"/>
      <c r="E1149" s="128"/>
      <c r="F1149" s="128"/>
      <c r="G1149" s="128"/>
      <c r="H1149" s="128"/>
      <c r="I1149" s="128"/>
    </row>
    <row r="1150" spans="1:9" ht="15" thickBot="1" x14ac:dyDescent="0.35">
      <c r="A1150" s="130">
        <v>42081</v>
      </c>
      <c r="B1150" s="129">
        <v>162.8419887</v>
      </c>
      <c r="C1150" s="131">
        <v>-6.1766646459999997E-4</v>
      </c>
      <c r="D1150" s="128"/>
      <c r="E1150" s="128"/>
      <c r="F1150" s="128"/>
      <c r="G1150" s="128"/>
      <c r="H1150" s="128"/>
      <c r="I1150" s="128"/>
    </row>
    <row r="1151" spans="1:9" ht="15" thickBot="1" x14ac:dyDescent="0.35">
      <c r="A1151" s="130">
        <v>42079</v>
      </c>
      <c r="B1151" s="129">
        <v>162.94263290000001</v>
      </c>
      <c r="C1151" s="131">
        <v>2.4767833169999998E-3</v>
      </c>
      <c r="D1151" s="128"/>
      <c r="E1151" s="128"/>
      <c r="F1151" s="128"/>
      <c r="G1151" s="128"/>
      <c r="H1151" s="128"/>
      <c r="I1151" s="128"/>
    </row>
    <row r="1152" spans="1:9" ht="15" thickBot="1" x14ac:dyDescent="0.35">
      <c r="A1152" s="130">
        <v>42078</v>
      </c>
      <c r="B1152" s="129">
        <v>162.5400564</v>
      </c>
      <c r="C1152" s="131">
        <v>2.4829330040000001E-3</v>
      </c>
      <c r="D1152" s="128"/>
      <c r="E1152" s="128"/>
      <c r="F1152" s="128"/>
      <c r="G1152" s="128"/>
      <c r="H1152" s="128"/>
      <c r="I1152" s="128"/>
    </row>
    <row r="1153" spans="1:9" ht="15" thickBot="1" x14ac:dyDescent="0.35">
      <c r="A1153" s="130">
        <v>42341</v>
      </c>
      <c r="B1153" s="129">
        <v>162.13747989999999</v>
      </c>
      <c r="C1153" s="131">
        <v>-9.5296766599999999E-3</v>
      </c>
      <c r="D1153" s="128"/>
      <c r="E1153" s="128"/>
      <c r="F1153" s="128"/>
      <c r="G1153" s="128"/>
      <c r="H1153" s="128"/>
      <c r="I1153" s="128"/>
    </row>
    <row r="1154" spans="1:9" ht="15" thickBot="1" x14ac:dyDescent="0.35">
      <c r="A1154" s="130">
        <v>42311</v>
      </c>
      <c r="B1154" s="129">
        <v>163.69746380000001</v>
      </c>
      <c r="C1154" s="131">
        <v>1.8791129260000001E-2</v>
      </c>
      <c r="D1154" s="128"/>
      <c r="E1154" s="128"/>
      <c r="F1154" s="128"/>
      <c r="G1154" s="128"/>
      <c r="H1154" s="128"/>
      <c r="I1154" s="128"/>
    </row>
    <row r="1155" spans="1:9" ht="15" thickBot="1" x14ac:dyDescent="0.35">
      <c r="A1155" s="130">
        <v>42280</v>
      </c>
      <c r="B1155" s="129">
        <v>160.67814010000001</v>
      </c>
      <c r="C1155" s="131">
        <v>-9.3867461850000004E-4</v>
      </c>
      <c r="D1155" s="128"/>
      <c r="E1155" s="128"/>
      <c r="F1155" s="128"/>
      <c r="G1155" s="128"/>
      <c r="H1155" s="128"/>
      <c r="I1155" s="128"/>
    </row>
    <row r="1156" spans="1:9" ht="15" thickBot="1" x14ac:dyDescent="0.35">
      <c r="A1156" s="130">
        <v>42250</v>
      </c>
      <c r="B1156" s="129">
        <v>160.82910630000001</v>
      </c>
      <c r="C1156" s="131">
        <v>-8.3772983179999996E-3</v>
      </c>
      <c r="D1156" s="128"/>
      <c r="E1156" s="128"/>
      <c r="F1156" s="128"/>
      <c r="G1156" s="128"/>
      <c r="H1156" s="128"/>
      <c r="I1156" s="128"/>
    </row>
    <row r="1157" spans="1:9" ht="15" thickBot="1" x14ac:dyDescent="0.35">
      <c r="A1157" s="130">
        <v>42219</v>
      </c>
      <c r="B1157" s="129">
        <v>162.18780190000001</v>
      </c>
      <c r="C1157" s="131">
        <v>-9.5267480559999996E-3</v>
      </c>
      <c r="D1157" s="128"/>
      <c r="E1157" s="128"/>
      <c r="F1157" s="128"/>
      <c r="G1157" s="128"/>
      <c r="H1157" s="128"/>
      <c r="I1157" s="128"/>
    </row>
    <row r="1158" spans="1:9" ht="15" thickBot="1" x14ac:dyDescent="0.35">
      <c r="A1158" s="130">
        <v>42127</v>
      </c>
      <c r="B1158" s="129">
        <v>163.7477858</v>
      </c>
      <c r="C1158" s="131">
        <v>-1.2277489280000001E-3</v>
      </c>
      <c r="D1158" s="128"/>
      <c r="E1158" s="128"/>
      <c r="F1158" s="128"/>
      <c r="G1158" s="128"/>
      <c r="H1158" s="128"/>
      <c r="I1158" s="128"/>
    </row>
    <row r="1159" spans="1:9" ht="15" thickBot="1" x14ac:dyDescent="0.35">
      <c r="A1159" s="130">
        <v>42097</v>
      </c>
      <c r="B1159" s="129">
        <v>163.94907409999999</v>
      </c>
      <c r="C1159" s="131">
        <v>1.653668246E-2</v>
      </c>
      <c r="D1159" s="128"/>
      <c r="E1159" s="128"/>
      <c r="F1159" s="128"/>
      <c r="G1159" s="128"/>
      <c r="H1159" s="128"/>
      <c r="I1159" s="128"/>
    </row>
    <row r="1160" spans="1:9" ht="15" thickBot="1" x14ac:dyDescent="0.35">
      <c r="A1160" s="130">
        <v>42066</v>
      </c>
      <c r="B1160" s="129">
        <v>161.28200480000001</v>
      </c>
      <c r="C1160" s="131">
        <v>6.2441525230000003E-4</v>
      </c>
      <c r="D1160" s="128"/>
      <c r="E1160" s="128"/>
      <c r="F1160" s="128"/>
      <c r="G1160" s="128"/>
      <c r="H1160" s="128"/>
      <c r="I1160" s="128"/>
    </row>
    <row r="1161" spans="1:9" ht="15" thickBot="1" x14ac:dyDescent="0.35">
      <c r="A1161" s="130">
        <v>42038</v>
      </c>
      <c r="B1161" s="129">
        <v>161.1813607</v>
      </c>
      <c r="C1161" s="131">
        <v>-2.0189684919999999E-2</v>
      </c>
      <c r="D1161" s="128"/>
      <c r="E1161" s="128"/>
      <c r="F1161" s="128"/>
      <c r="G1161" s="128"/>
      <c r="H1161" s="128"/>
      <c r="I1161" s="128"/>
    </row>
    <row r="1162" spans="1:9" ht="15" thickBot="1" x14ac:dyDescent="0.35">
      <c r="A1162" s="130">
        <v>42007</v>
      </c>
      <c r="B1162" s="129">
        <v>164.5026167</v>
      </c>
      <c r="C1162" s="131">
        <v>-9.6940441109999997E-3</v>
      </c>
      <c r="D1162" s="128"/>
      <c r="E1162" s="128"/>
      <c r="F1162" s="128"/>
      <c r="G1162" s="128"/>
      <c r="H1162" s="128"/>
      <c r="I1162" s="128"/>
    </row>
    <row r="1163" spans="1:9" ht="15" thickBot="1" x14ac:dyDescent="0.35">
      <c r="A1163" s="130">
        <v>42061</v>
      </c>
      <c r="B1163" s="129">
        <v>166.11292270000001</v>
      </c>
      <c r="C1163" s="131">
        <v>2.5792449849999999E-2</v>
      </c>
      <c r="D1163" s="128"/>
      <c r="E1163" s="128"/>
      <c r="F1163" s="128"/>
      <c r="G1163" s="128"/>
      <c r="H1163" s="128"/>
      <c r="I1163" s="128"/>
    </row>
    <row r="1164" spans="1:9" ht="15" thickBot="1" x14ac:dyDescent="0.35">
      <c r="A1164" s="130">
        <v>42060</v>
      </c>
      <c r="B1164" s="129">
        <v>161.9361916</v>
      </c>
      <c r="C1164" s="131">
        <v>-1.4696895289999999E-2</v>
      </c>
      <c r="D1164" s="128"/>
      <c r="E1164" s="128"/>
      <c r="F1164" s="128"/>
      <c r="G1164" s="128"/>
      <c r="H1164" s="128"/>
      <c r="I1164" s="128"/>
    </row>
    <row r="1165" spans="1:9" ht="15" thickBot="1" x14ac:dyDescent="0.35">
      <c r="A1165" s="130">
        <v>42059</v>
      </c>
      <c r="B1165" s="129">
        <v>164.3516506</v>
      </c>
      <c r="C1165" s="131">
        <v>0</v>
      </c>
      <c r="D1165" s="128"/>
      <c r="E1165" s="128"/>
      <c r="F1165" s="128"/>
      <c r="G1165" s="128"/>
      <c r="H1165" s="128"/>
      <c r="I1165" s="128"/>
    </row>
    <row r="1166" spans="1:9" ht="15" thickBot="1" x14ac:dyDescent="0.35">
      <c r="A1166" s="130">
        <v>42058</v>
      </c>
      <c r="B1166" s="129">
        <v>164.3516506</v>
      </c>
      <c r="C1166" s="131">
        <v>1.0832573349999999E-2</v>
      </c>
      <c r="D1166" s="128"/>
      <c r="E1166" s="128"/>
      <c r="F1166" s="128"/>
      <c r="G1166" s="128"/>
      <c r="H1166" s="128"/>
      <c r="I1166" s="128"/>
    </row>
    <row r="1167" spans="1:9" ht="15" thickBot="1" x14ac:dyDescent="0.35">
      <c r="A1167" s="130">
        <v>42057</v>
      </c>
      <c r="B1167" s="129">
        <v>162.59037839999999</v>
      </c>
      <c r="C1167" s="131">
        <v>1.23954263E-3</v>
      </c>
      <c r="D1167" s="128"/>
      <c r="E1167" s="128"/>
      <c r="F1167" s="128"/>
      <c r="G1167" s="128"/>
      <c r="H1167" s="128"/>
      <c r="I1167" s="128"/>
    </row>
    <row r="1168" spans="1:9" ht="15" thickBot="1" x14ac:dyDescent="0.35">
      <c r="A1168" s="130">
        <v>42054</v>
      </c>
      <c r="B1168" s="129">
        <v>162.3890902</v>
      </c>
      <c r="C1168" s="131">
        <v>-1.2545914930000001E-2</v>
      </c>
      <c r="D1168" s="128"/>
      <c r="E1168" s="128"/>
      <c r="F1168" s="128"/>
      <c r="G1168" s="128"/>
      <c r="H1168" s="128"/>
      <c r="I1168" s="128"/>
    </row>
    <row r="1169" spans="1:9" ht="15" thickBot="1" x14ac:dyDescent="0.35">
      <c r="A1169" s="130">
        <v>42053</v>
      </c>
      <c r="B1169" s="129">
        <v>164.45229470000001</v>
      </c>
      <c r="C1169" s="131">
        <v>2.7615869979999998E-3</v>
      </c>
      <c r="D1169" s="128"/>
      <c r="E1169" s="128"/>
      <c r="F1169" s="128"/>
      <c r="G1169" s="128"/>
      <c r="H1169" s="128"/>
      <c r="I1169" s="128"/>
    </row>
    <row r="1170" spans="1:9" ht="15" thickBot="1" x14ac:dyDescent="0.35">
      <c r="A1170" s="130">
        <v>42052</v>
      </c>
      <c r="B1170" s="129">
        <v>163.99939610000001</v>
      </c>
      <c r="C1170" s="131">
        <v>-5.4928355040000003E-3</v>
      </c>
      <c r="D1170" s="128"/>
      <c r="E1170" s="128"/>
      <c r="F1170" s="128"/>
      <c r="G1170" s="128"/>
      <c r="H1170" s="128"/>
      <c r="I1170" s="128"/>
    </row>
    <row r="1171" spans="1:9" ht="15" thickBot="1" x14ac:dyDescent="0.35">
      <c r="A1171" s="130">
        <v>42051</v>
      </c>
      <c r="B1171" s="129">
        <v>164.90519320000001</v>
      </c>
      <c r="C1171" s="131">
        <v>1.222121601E-3</v>
      </c>
      <c r="D1171" s="128"/>
      <c r="E1171" s="128"/>
      <c r="F1171" s="128"/>
      <c r="G1171" s="128"/>
      <c r="H1171" s="128"/>
      <c r="I1171" s="128"/>
    </row>
    <row r="1172" spans="1:9" ht="15" thickBot="1" x14ac:dyDescent="0.35">
      <c r="A1172" s="130">
        <v>42050</v>
      </c>
      <c r="B1172" s="129">
        <v>164.70390499999999</v>
      </c>
      <c r="C1172" s="131">
        <v>2.450232775E-3</v>
      </c>
      <c r="D1172" s="128"/>
      <c r="E1172" s="128"/>
      <c r="F1172" s="128"/>
      <c r="G1172" s="128"/>
      <c r="H1172" s="128"/>
      <c r="I1172" s="128"/>
    </row>
    <row r="1173" spans="1:9" ht="15" thickBot="1" x14ac:dyDescent="0.35">
      <c r="A1173" s="130">
        <v>42340</v>
      </c>
      <c r="B1173" s="129">
        <v>164.30132850000001</v>
      </c>
      <c r="C1173" s="131">
        <v>-9.4053512379999992E-3</v>
      </c>
      <c r="D1173" s="128"/>
      <c r="E1173" s="128"/>
      <c r="F1173" s="128"/>
      <c r="G1173" s="128"/>
      <c r="H1173" s="128"/>
      <c r="I1173" s="128"/>
    </row>
    <row r="1174" spans="1:9" ht="15" thickBot="1" x14ac:dyDescent="0.35">
      <c r="A1174" s="130">
        <v>42310</v>
      </c>
      <c r="B1174" s="129">
        <v>165.8613124</v>
      </c>
      <c r="C1174" s="131">
        <v>3.6540846319999998E-3</v>
      </c>
      <c r="D1174" s="128"/>
      <c r="E1174" s="128"/>
      <c r="F1174" s="128"/>
      <c r="G1174" s="128"/>
      <c r="H1174" s="128"/>
      <c r="I1174" s="128"/>
    </row>
    <row r="1175" spans="1:9" ht="15" thickBot="1" x14ac:dyDescent="0.35">
      <c r="A1175" s="130">
        <v>42279</v>
      </c>
      <c r="B1175" s="129">
        <v>165.2574477</v>
      </c>
      <c r="C1175" s="131">
        <v>1.2018504879999999E-2</v>
      </c>
      <c r="D1175" s="128"/>
      <c r="E1175" s="128"/>
      <c r="F1175" s="128"/>
      <c r="G1175" s="128"/>
      <c r="H1175" s="128"/>
      <c r="I1175" s="128"/>
    </row>
    <row r="1176" spans="1:9" ht="15" thickBot="1" x14ac:dyDescent="0.35">
      <c r="A1176" s="130">
        <v>42249</v>
      </c>
      <c r="B1176" s="129">
        <v>163.2948873</v>
      </c>
      <c r="C1176" s="131">
        <v>3.0826202350000003E-4</v>
      </c>
      <c r="D1176" s="128"/>
      <c r="E1176" s="128"/>
      <c r="F1176" s="128"/>
      <c r="G1176" s="128"/>
      <c r="H1176" s="128"/>
      <c r="I1176" s="128"/>
    </row>
    <row r="1177" spans="1:9" ht="15" thickBot="1" x14ac:dyDescent="0.35">
      <c r="A1177" s="130">
        <v>42218</v>
      </c>
      <c r="B1177" s="129">
        <v>163.24456520000001</v>
      </c>
      <c r="C1177" s="131">
        <v>2.3666801800000001E-2</v>
      </c>
      <c r="D1177" s="128"/>
      <c r="E1177" s="128"/>
      <c r="F1177" s="128"/>
      <c r="G1177" s="128"/>
      <c r="H1177" s="128"/>
      <c r="I1177" s="128"/>
    </row>
    <row r="1178" spans="1:9" ht="15" thickBot="1" x14ac:dyDescent="0.35">
      <c r="A1178" s="130">
        <v>42126</v>
      </c>
      <c r="B1178" s="129">
        <v>159.47041060000001</v>
      </c>
      <c r="C1178" s="131">
        <v>-2.1611635309999998E-2</v>
      </c>
      <c r="D1178" s="128"/>
      <c r="E1178" s="128"/>
      <c r="F1178" s="128"/>
      <c r="G1178" s="128"/>
      <c r="H1178" s="128"/>
      <c r="I1178" s="128"/>
    </row>
    <row r="1179" spans="1:9" ht="15" thickBot="1" x14ac:dyDescent="0.35">
      <c r="A1179" s="130">
        <v>42096</v>
      </c>
      <c r="B1179" s="129">
        <v>162.9929549</v>
      </c>
      <c r="C1179" s="131">
        <v>1.236477297E-3</v>
      </c>
      <c r="D1179" s="128"/>
      <c r="E1179" s="128"/>
      <c r="F1179" s="128"/>
      <c r="G1179" s="128"/>
      <c r="H1179" s="128"/>
      <c r="I1179" s="128"/>
    </row>
    <row r="1180" spans="1:9" ht="15" thickBot="1" x14ac:dyDescent="0.35">
      <c r="A1180" s="130">
        <v>42065</v>
      </c>
      <c r="B1180" s="129">
        <v>162.79166670000001</v>
      </c>
      <c r="C1180" s="131">
        <v>-3.3887899279999999E-3</v>
      </c>
      <c r="D1180" s="128"/>
      <c r="E1180" s="128"/>
      <c r="F1180" s="128"/>
      <c r="G1180" s="128"/>
      <c r="H1180" s="128"/>
      <c r="I1180" s="128"/>
    </row>
    <row r="1181" spans="1:9" ht="15" thickBot="1" x14ac:dyDescent="0.35">
      <c r="A1181" s="130">
        <v>42037</v>
      </c>
      <c r="B1181" s="129">
        <v>163.34520929999999</v>
      </c>
      <c r="C1181" s="131">
        <v>1.5009399410000001E-2</v>
      </c>
      <c r="D1181" s="128"/>
      <c r="E1181" s="128"/>
      <c r="F1181" s="128"/>
      <c r="G1181" s="128"/>
      <c r="H1181" s="128"/>
      <c r="I1181" s="128"/>
    </row>
    <row r="1182" spans="1:9" ht="15" thickBot="1" x14ac:dyDescent="0.35">
      <c r="A1182" s="130">
        <v>42006</v>
      </c>
      <c r="B1182" s="129">
        <v>160.92975039999999</v>
      </c>
      <c r="C1182" s="131">
        <v>-5.1038636110000001E-2</v>
      </c>
      <c r="D1182" s="128"/>
      <c r="E1182" s="128"/>
      <c r="F1182" s="128"/>
      <c r="G1182" s="128"/>
      <c r="H1182" s="128"/>
      <c r="I1182" s="128"/>
    </row>
    <row r="1183" spans="1:9" ht="15" thickBot="1" x14ac:dyDescent="0.35">
      <c r="A1183" s="130">
        <v>42033</v>
      </c>
      <c r="B1183" s="129">
        <v>169.58514489999999</v>
      </c>
      <c r="C1183" s="131">
        <v>3.0266010360000001E-2</v>
      </c>
      <c r="D1183" s="128"/>
      <c r="E1183" s="128"/>
      <c r="F1183" s="128"/>
      <c r="G1183" s="128"/>
      <c r="H1183" s="128"/>
      <c r="I1183" s="128"/>
    </row>
    <row r="1184" spans="1:9" ht="15" thickBot="1" x14ac:dyDescent="0.35">
      <c r="A1184" s="130">
        <v>42032</v>
      </c>
      <c r="B1184" s="129">
        <v>164.60326090000001</v>
      </c>
      <c r="C1184" s="131">
        <v>9.5679130640000006E-3</v>
      </c>
      <c r="D1184" s="128"/>
      <c r="E1184" s="128"/>
      <c r="F1184" s="128"/>
      <c r="G1184" s="128"/>
      <c r="H1184" s="128"/>
      <c r="I1184" s="128"/>
    </row>
    <row r="1185" spans="1:9" ht="15" thickBot="1" x14ac:dyDescent="0.35">
      <c r="A1185" s="130">
        <v>42031</v>
      </c>
      <c r="B1185" s="129">
        <v>163.04327699999999</v>
      </c>
      <c r="C1185" s="131">
        <v>7.7760598769999996E-3</v>
      </c>
      <c r="D1185" s="128"/>
      <c r="E1185" s="128"/>
      <c r="F1185" s="128"/>
      <c r="G1185" s="128"/>
      <c r="H1185" s="128"/>
      <c r="I1185" s="128"/>
    </row>
    <row r="1186" spans="1:9" ht="15" thickBot="1" x14ac:dyDescent="0.35">
      <c r="A1186" s="130">
        <v>42030</v>
      </c>
      <c r="B1186" s="129">
        <v>161.7852254</v>
      </c>
      <c r="C1186" s="131">
        <v>2.1820474329999999E-3</v>
      </c>
      <c r="D1186" s="128"/>
      <c r="E1186" s="128"/>
      <c r="F1186" s="128"/>
      <c r="G1186" s="128"/>
      <c r="H1186" s="128"/>
      <c r="I1186" s="128"/>
    </row>
    <row r="1187" spans="1:9" ht="15" thickBot="1" x14ac:dyDescent="0.35">
      <c r="A1187" s="130">
        <v>42029</v>
      </c>
      <c r="B1187" s="129">
        <v>161.43297100000001</v>
      </c>
      <c r="C1187" s="131">
        <v>1.2484407310000001E-3</v>
      </c>
      <c r="D1187" s="128"/>
      <c r="E1187" s="128"/>
      <c r="F1187" s="128"/>
      <c r="G1187" s="128"/>
      <c r="H1187" s="128"/>
      <c r="I1187" s="128"/>
    </row>
    <row r="1188" spans="1:9" ht="15" thickBot="1" x14ac:dyDescent="0.35">
      <c r="A1188" s="130">
        <v>42026</v>
      </c>
      <c r="B1188" s="129">
        <v>161.23168279999999</v>
      </c>
      <c r="C1188" s="131">
        <v>-9.2764491019999996E-3</v>
      </c>
      <c r="D1188" s="128"/>
      <c r="E1188" s="128"/>
      <c r="F1188" s="128"/>
      <c r="G1188" s="128"/>
      <c r="H1188" s="128"/>
      <c r="I1188" s="128"/>
    </row>
    <row r="1189" spans="1:9" ht="15" thickBot="1" x14ac:dyDescent="0.35">
      <c r="A1189" s="130">
        <v>42025</v>
      </c>
      <c r="B1189" s="129">
        <v>162.74134459999999</v>
      </c>
      <c r="C1189" s="131">
        <v>-1.2519099210000001E-2</v>
      </c>
      <c r="D1189" s="128"/>
      <c r="E1189" s="128"/>
      <c r="F1189" s="128"/>
      <c r="G1189" s="128"/>
      <c r="H1189" s="128"/>
      <c r="I1189" s="128"/>
    </row>
    <row r="1190" spans="1:9" ht="15" thickBot="1" x14ac:dyDescent="0.35">
      <c r="A1190" s="130">
        <v>42024</v>
      </c>
      <c r="B1190" s="129">
        <v>164.8045491</v>
      </c>
      <c r="C1190" s="131">
        <v>-1.524392067E-3</v>
      </c>
      <c r="D1190" s="128"/>
      <c r="E1190" s="128"/>
      <c r="F1190" s="128"/>
      <c r="G1190" s="128"/>
      <c r="H1190" s="128"/>
      <c r="I1190" s="128"/>
    </row>
    <row r="1191" spans="1:9" ht="15" thickBot="1" x14ac:dyDescent="0.35">
      <c r="A1191" s="130">
        <v>42023</v>
      </c>
      <c r="B1191" s="129">
        <v>165.05615940000001</v>
      </c>
      <c r="C1191" s="131">
        <v>-6.9633750259999998E-3</v>
      </c>
      <c r="D1191" s="128"/>
      <c r="E1191" s="128"/>
      <c r="F1191" s="128"/>
      <c r="G1191" s="128"/>
      <c r="H1191" s="128"/>
      <c r="I1191" s="128"/>
    </row>
    <row r="1192" spans="1:9" ht="15" thickBot="1" x14ac:dyDescent="0.35">
      <c r="A1192" s="130">
        <v>42022</v>
      </c>
      <c r="B1192" s="129">
        <v>166.2135668</v>
      </c>
      <c r="C1192" s="131">
        <v>-1.0485333459999999E-2</v>
      </c>
      <c r="D1192" s="128"/>
      <c r="E1192" s="128"/>
      <c r="F1192" s="128"/>
      <c r="G1192" s="128"/>
      <c r="H1192" s="128"/>
      <c r="I1192" s="128"/>
    </row>
    <row r="1193" spans="1:9" ht="15" thickBot="1" x14ac:dyDescent="0.35">
      <c r="A1193" s="130">
        <v>42019</v>
      </c>
      <c r="B1193" s="129">
        <v>167.974839</v>
      </c>
      <c r="C1193" s="131">
        <v>-1.7078936199999999E-2</v>
      </c>
      <c r="D1193" s="128"/>
      <c r="E1193" s="128"/>
      <c r="F1193" s="128"/>
      <c r="G1193" s="128"/>
      <c r="H1193" s="128"/>
      <c r="I1193" s="128"/>
    </row>
    <row r="1194" spans="1:9" ht="15" thickBot="1" x14ac:dyDescent="0.35">
      <c r="A1194" s="130">
        <v>42018</v>
      </c>
      <c r="B1194" s="129">
        <v>170.8935185</v>
      </c>
      <c r="C1194" s="131">
        <v>-6.4365204240000003E-3</v>
      </c>
      <c r="D1194" s="128"/>
      <c r="E1194" s="128"/>
      <c r="F1194" s="128"/>
      <c r="G1194" s="128"/>
      <c r="H1194" s="128"/>
      <c r="I1194" s="128"/>
    </row>
    <row r="1195" spans="1:9" ht="15" thickBot="1" x14ac:dyDescent="0.35">
      <c r="A1195" s="130">
        <v>42017</v>
      </c>
      <c r="B1195" s="129">
        <v>172.00060389999999</v>
      </c>
      <c r="C1195" s="131">
        <v>4.3982949190000002E-2</v>
      </c>
      <c r="D1195" s="128"/>
      <c r="E1195" s="128"/>
      <c r="F1195" s="128"/>
      <c r="G1195" s="128"/>
      <c r="H1195" s="128"/>
      <c r="I1195" s="128"/>
    </row>
    <row r="1196" spans="1:9" ht="15" thickBot="1" x14ac:dyDescent="0.35">
      <c r="A1196" s="130">
        <v>42339</v>
      </c>
      <c r="B1196" s="129">
        <v>164.75422710000001</v>
      </c>
      <c r="C1196" s="131">
        <v>-9.9788447310000007E-3</v>
      </c>
      <c r="D1196" s="128"/>
      <c r="E1196" s="128"/>
      <c r="F1196" s="128"/>
      <c r="G1196" s="128"/>
      <c r="H1196" s="128"/>
      <c r="I1196" s="128"/>
    </row>
    <row r="1197" spans="1:9" ht="15" thickBot="1" x14ac:dyDescent="0.35">
      <c r="A1197" s="130">
        <v>42309</v>
      </c>
      <c r="B1197" s="129">
        <v>166.41485510000001</v>
      </c>
      <c r="C1197" s="131">
        <v>7.0036625649999998E-3</v>
      </c>
      <c r="D1197" s="128"/>
      <c r="E1197" s="128"/>
      <c r="F1197" s="128"/>
      <c r="G1197" s="128"/>
      <c r="H1197" s="128"/>
      <c r="I1197" s="128"/>
    </row>
    <row r="1198" spans="1:9" ht="15" thickBot="1" x14ac:dyDescent="0.35">
      <c r="A1198" s="130">
        <v>42217</v>
      </c>
      <c r="B1198" s="129">
        <v>165.2574477</v>
      </c>
      <c r="C1198" s="131">
        <v>-2.9264001160000001E-2</v>
      </c>
      <c r="D1198" s="128"/>
      <c r="E1198" s="128"/>
      <c r="F1198" s="128"/>
      <c r="G1198" s="128"/>
      <c r="H1198" s="128"/>
      <c r="I1198" s="128"/>
    </row>
    <row r="1199" spans="1:9" ht="15" thickBot="1" x14ac:dyDescent="0.35">
      <c r="A1199" s="130">
        <v>42186</v>
      </c>
      <c r="B1199" s="129">
        <v>170.23933170000001</v>
      </c>
      <c r="C1199" s="131">
        <v>-2.1122709819999998E-2</v>
      </c>
      <c r="D1199" s="128"/>
      <c r="E1199" s="128"/>
      <c r="F1199" s="128"/>
      <c r="G1199" s="128"/>
      <c r="H1199" s="128"/>
      <c r="I1199" s="128"/>
    </row>
    <row r="1200" spans="1:9" ht="15" thickBot="1" x14ac:dyDescent="0.35">
      <c r="A1200" s="130">
        <v>42156</v>
      </c>
      <c r="B1200" s="129">
        <v>173.9128422</v>
      </c>
      <c r="C1200" s="131">
        <v>-3.4906489440000001E-2</v>
      </c>
      <c r="D1200" s="128"/>
      <c r="E1200" s="128"/>
      <c r="F1200" s="128"/>
      <c r="G1200" s="128"/>
      <c r="H1200" s="128"/>
      <c r="I1200" s="128"/>
    </row>
    <row r="1201" spans="1:9" ht="15" thickBot="1" x14ac:dyDescent="0.35">
      <c r="A1201" s="130">
        <v>42125</v>
      </c>
      <c r="B1201" s="129">
        <v>180.20309979999999</v>
      </c>
      <c r="C1201" s="131">
        <v>5.045473785E-2</v>
      </c>
      <c r="D1201" s="128"/>
      <c r="E1201" s="128"/>
      <c r="F1201" s="128"/>
      <c r="G1201" s="128"/>
      <c r="H1201" s="128"/>
      <c r="I1201" s="128"/>
    </row>
    <row r="1202" spans="1:9" ht="15" thickBot="1" x14ac:dyDescent="0.35">
      <c r="A1202" s="130">
        <v>42005</v>
      </c>
      <c r="B1202" s="129">
        <v>171.54770529999999</v>
      </c>
      <c r="C1202" s="128"/>
      <c r="D1202" s="128"/>
      <c r="E1202" s="128"/>
      <c r="F1202" s="128"/>
      <c r="G1202" s="128"/>
      <c r="H1202" s="128"/>
      <c r="I1202" s="1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workbookViewId="0">
      <selection activeCell="M35" sqref="M35"/>
    </sheetView>
  </sheetViews>
  <sheetFormatPr defaultRowHeight="14.4" x14ac:dyDescent="0.3"/>
  <cols>
    <col min="1" max="1" width="36.44140625" customWidth="1"/>
    <col min="2" max="2" width="14.5546875" customWidth="1"/>
    <col min="3" max="3" width="13.5546875" customWidth="1"/>
    <col min="4" max="4" width="13" customWidth="1"/>
    <col min="5" max="5" width="10.88671875" hidden="1" customWidth="1"/>
    <col min="6" max="6" width="13.109375" customWidth="1"/>
    <col min="7" max="7" width="13.88671875" customWidth="1"/>
  </cols>
  <sheetData>
    <row r="3" spans="1:8" ht="25.8" x14ac:dyDescent="0.5">
      <c r="A3" s="92" t="s">
        <v>873</v>
      </c>
      <c r="D3" s="135"/>
      <c r="E3" s="135"/>
      <c r="F3" s="135"/>
      <c r="G3" s="135"/>
      <c r="H3" s="135"/>
    </row>
    <row r="8" spans="1:8" x14ac:dyDescent="0.3">
      <c r="A8" s="1" t="s">
        <v>0</v>
      </c>
      <c r="B8" s="1">
        <v>2019</v>
      </c>
      <c r="C8" s="1">
        <v>2018</v>
      </c>
      <c r="D8" s="1">
        <v>2017</v>
      </c>
      <c r="E8" s="1"/>
      <c r="F8" s="1">
        <v>2016</v>
      </c>
      <c r="G8" s="1">
        <v>2015</v>
      </c>
    </row>
    <row r="9" spans="1:8" x14ac:dyDescent="0.3">
      <c r="A9" s="2" t="s">
        <v>1</v>
      </c>
      <c r="B9" s="3">
        <v>3995804807</v>
      </c>
      <c r="C9" s="3">
        <v>3661324088</v>
      </c>
      <c r="D9" s="3">
        <v>3393185456</v>
      </c>
      <c r="E9" s="3"/>
      <c r="F9" s="3">
        <f>'[1]Income statement'!$H$5</f>
        <v>2996245717</v>
      </c>
      <c r="G9" s="3">
        <v>2656900567</v>
      </c>
    </row>
    <row r="10" spans="1:8" x14ac:dyDescent="0.3">
      <c r="A10" s="2" t="s">
        <v>2</v>
      </c>
      <c r="B10" s="3">
        <v>3275506984</v>
      </c>
      <c r="C10" s="3">
        <v>3003180758</v>
      </c>
      <c r="D10" s="3">
        <v>2784391769</v>
      </c>
      <c r="E10" s="3"/>
      <c r="F10" s="3">
        <f>'[1]Income statement'!$H$6</f>
        <v>2458285505</v>
      </c>
      <c r="G10" s="3">
        <v>2179286324</v>
      </c>
    </row>
    <row r="11" spans="1:8" x14ac:dyDescent="0.3">
      <c r="A11" s="4" t="s">
        <v>3</v>
      </c>
      <c r="B11" s="7">
        <v>720297823</v>
      </c>
      <c r="C11" s="7">
        <f>3661324088-3003180758</f>
        <v>658143330</v>
      </c>
      <c r="D11" s="7">
        <f>3393185456-2784391769</f>
        <v>608793687</v>
      </c>
      <c r="E11" s="3"/>
      <c r="F11" s="7">
        <f>'[1]Income statement'!$H$7</f>
        <v>537960212</v>
      </c>
      <c r="G11" s="7">
        <f>G9-G10</f>
        <v>477614243</v>
      </c>
    </row>
    <row r="12" spans="1:8" x14ac:dyDescent="0.3">
      <c r="A12" s="4" t="s">
        <v>4</v>
      </c>
      <c r="B12" s="7">
        <v>473135945</v>
      </c>
      <c r="C12" s="7">
        <f>59044957+369289894</f>
        <v>428334851</v>
      </c>
      <c r="D12" s="7">
        <f>54883450+345362350</f>
        <v>400245800</v>
      </c>
      <c r="E12" s="3"/>
      <c r="F12" s="7">
        <f>F13+F14</f>
        <v>346710706</v>
      </c>
      <c r="G12" s="7">
        <f>G13+G14</f>
        <v>324964735</v>
      </c>
    </row>
    <row r="13" spans="1:8" x14ac:dyDescent="0.3">
      <c r="A13" s="2" t="s">
        <v>9</v>
      </c>
      <c r="B13" s="3">
        <v>68105914</v>
      </c>
      <c r="C13" s="3">
        <v>59044957</v>
      </c>
      <c r="D13" s="3">
        <v>54883450</v>
      </c>
      <c r="E13" s="3"/>
      <c r="F13" s="3">
        <v>46771873</v>
      </c>
      <c r="G13" s="3">
        <v>37748714</v>
      </c>
    </row>
    <row r="14" spans="1:8" x14ac:dyDescent="0.3">
      <c r="A14" s="2" t="s">
        <v>10</v>
      </c>
      <c r="B14" s="3">
        <v>405030031</v>
      </c>
      <c r="C14" s="3">
        <v>369289894</v>
      </c>
      <c r="D14" s="3">
        <v>345362350</v>
      </c>
      <c r="E14" s="3"/>
      <c r="F14" s="2">
        <v>299938833</v>
      </c>
      <c r="G14" s="2">
        <v>287216021</v>
      </c>
    </row>
    <row r="15" spans="1:8" x14ac:dyDescent="0.3">
      <c r="A15" s="4" t="s">
        <v>5</v>
      </c>
      <c r="B15" s="7">
        <f>B11-B12</f>
        <v>247161878</v>
      </c>
      <c r="C15" s="7">
        <f>658143330-428334851</f>
        <v>229808479</v>
      </c>
      <c r="D15" s="7">
        <f>608793687-400245800</f>
        <v>208547887</v>
      </c>
      <c r="E15" s="3"/>
      <c r="F15" s="7">
        <f>'[1]Income statement'!$H$9</f>
        <v>191249506</v>
      </c>
      <c r="G15" s="7">
        <f>G11-G12</f>
        <v>152649508</v>
      </c>
    </row>
    <row r="16" spans="1:8" x14ac:dyDescent="0.3">
      <c r="A16" s="2" t="s">
        <v>6</v>
      </c>
      <c r="B16" s="3">
        <v>11251427</v>
      </c>
      <c r="C16" s="3">
        <v>7637229</v>
      </c>
      <c r="D16" s="3">
        <v>7759766</v>
      </c>
      <c r="E16" s="3"/>
      <c r="F16" s="3">
        <f>'[1]Income statement'!$H$11</f>
        <v>25081141</v>
      </c>
      <c r="G16" s="3">
        <v>38207325</v>
      </c>
    </row>
    <row r="17" spans="1:7" x14ac:dyDescent="0.3">
      <c r="A17" s="2" t="s">
        <v>11</v>
      </c>
      <c r="B17" s="3">
        <v>0</v>
      </c>
      <c r="C17" s="3">
        <v>7144400</v>
      </c>
      <c r="D17" s="3">
        <v>2381466</v>
      </c>
      <c r="E17" s="3"/>
      <c r="F17" s="3">
        <v>2381466</v>
      </c>
      <c r="G17" s="3">
        <v>0</v>
      </c>
    </row>
    <row r="18" spans="1:7" x14ac:dyDescent="0.3">
      <c r="A18" s="2" t="s">
        <v>12</v>
      </c>
      <c r="B18" s="3">
        <v>8009809</v>
      </c>
      <c r="C18" s="3">
        <v>6945587</v>
      </c>
      <c r="D18" s="3">
        <v>7851077</v>
      </c>
      <c r="E18" s="3"/>
      <c r="F18" s="3">
        <v>5018970</v>
      </c>
      <c r="G18" s="3">
        <v>9662874</v>
      </c>
    </row>
    <row r="19" spans="1:7" x14ac:dyDescent="0.3">
      <c r="A19" s="4" t="s">
        <v>13</v>
      </c>
      <c r="B19" s="7">
        <f>B15-B16-B17+B18</f>
        <v>243920260</v>
      </c>
      <c r="C19" s="7">
        <f>229808479-(7637229+7144400)+6945587</f>
        <v>221972437</v>
      </c>
      <c r="D19" s="7">
        <f>208547887-(7759766+2381466)+7851077</f>
        <v>206257732</v>
      </c>
      <c r="E19" s="3"/>
      <c r="F19" s="7">
        <f>F15-F16-F17+F18</f>
        <v>168805869</v>
      </c>
      <c r="G19" s="7">
        <f>G15-G16+G18</f>
        <v>124105057</v>
      </c>
    </row>
    <row r="20" spans="1:7" x14ac:dyDescent="0.3">
      <c r="A20" s="8" t="s">
        <v>14</v>
      </c>
      <c r="B20" s="3">
        <v>11615251</v>
      </c>
      <c r="C20" s="3">
        <v>10570116</v>
      </c>
      <c r="D20" s="3">
        <v>9821797</v>
      </c>
      <c r="E20" s="3"/>
      <c r="F20" s="3">
        <v>8038375</v>
      </c>
      <c r="G20" s="3">
        <v>5909765</v>
      </c>
    </row>
    <row r="21" spans="1:7" x14ac:dyDescent="0.3">
      <c r="A21" s="4" t="s">
        <v>15</v>
      </c>
      <c r="B21" s="7">
        <f>B19-B20</f>
        <v>232305009</v>
      </c>
      <c r="C21" s="7">
        <f>221972437-10570116</f>
        <v>211402321</v>
      </c>
      <c r="D21" s="7">
        <f>206257732-9821797</f>
        <v>196435935</v>
      </c>
      <c r="E21" s="2"/>
      <c r="F21" s="7">
        <f>F19-F20</f>
        <v>160767494</v>
      </c>
      <c r="G21" s="7">
        <f>G19-G20</f>
        <v>118195292</v>
      </c>
    </row>
    <row r="22" spans="1:7" x14ac:dyDescent="0.3">
      <c r="A22" s="4" t="s">
        <v>16</v>
      </c>
      <c r="B22" s="7">
        <f>B23-B24</f>
        <v>57956002</v>
      </c>
      <c r="C22" s="7">
        <f>C23+C24</f>
        <v>56905513</v>
      </c>
      <c r="D22" s="3">
        <f>D23-D24</f>
        <v>49640330</v>
      </c>
      <c r="E22" s="3"/>
      <c r="F22" s="7">
        <f>F23-F24</f>
        <v>41469192</v>
      </c>
      <c r="G22" s="7">
        <f>G23-G24</f>
        <v>26737849</v>
      </c>
    </row>
    <row r="23" spans="1:7" x14ac:dyDescent="0.3">
      <c r="A23" s="8" t="s">
        <v>17</v>
      </c>
      <c r="B23" s="3">
        <v>58225557</v>
      </c>
      <c r="C23" s="3">
        <v>55493109</v>
      </c>
      <c r="D23" s="3">
        <v>50572553</v>
      </c>
      <c r="E23" s="3"/>
      <c r="F23" s="3">
        <v>41722328</v>
      </c>
      <c r="G23" s="3">
        <v>29874361</v>
      </c>
    </row>
    <row r="24" spans="1:7" x14ac:dyDescent="0.3">
      <c r="A24" s="2" t="s">
        <v>18</v>
      </c>
      <c r="B24" s="3">
        <v>269555</v>
      </c>
      <c r="C24" s="3">
        <v>1412404</v>
      </c>
      <c r="D24" s="3">
        <v>932223</v>
      </c>
      <c r="E24" s="2"/>
      <c r="F24" s="3">
        <f>253136</f>
        <v>253136</v>
      </c>
      <c r="G24" s="3">
        <v>3136512</v>
      </c>
    </row>
    <row r="25" spans="1:7" x14ac:dyDescent="0.3">
      <c r="A25" s="4" t="s">
        <v>7</v>
      </c>
      <c r="B25" s="7">
        <f>B21-B22</f>
        <v>174349007</v>
      </c>
      <c r="C25" s="7">
        <f>211402321-(55493109+1412404)</f>
        <v>154496808</v>
      </c>
      <c r="D25" s="7">
        <f>D21-D22</f>
        <v>146795605</v>
      </c>
      <c r="E25" s="2"/>
      <c r="F25" s="7">
        <f>F21-F22</f>
        <v>119298302</v>
      </c>
      <c r="G25" s="7">
        <f>G21-G22</f>
        <v>91457443</v>
      </c>
    </row>
    <row r="26" spans="1:7" x14ac:dyDescent="0.3">
      <c r="A26" s="4" t="s">
        <v>19</v>
      </c>
      <c r="B26" s="3"/>
      <c r="C26" s="5"/>
      <c r="D26" s="5"/>
      <c r="E26" s="5"/>
      <c r="F26" s="5"/>
      <c r="G26" s="5"/>
    </row>
    <row r="27" spans="1:7" x14ac:dyDescent="0.3">
      <c r="A27" s="2" t="s">
        <v>127</v>
      </c>
      <c r="B27" s="3">
        <v>6567135</v>
      </c>
      <c r="C27" s="3">
        <v>37588366</v>
      </c>
      <c r="D27" s="3">
        <v>0</v>
      </c>
      <c r="E27" s="2"/>
      <c r="F27" s="2">
        <v>0</v>
      </c>
      <c r="G27" s="2">
        <v>0</v>
      </c>
    </row>
    <row r="28" spans="1:7" x14ac:dyDescent="0.3">
      <c r="A28" s="4" t="s">
        <v>20</v>
      </c>
      <c r="B28" s="7">
        <v>167781872</v>
      </c>
      <c r="C28" s="7">
        <f>154496808+37588366</f>
        <v>192085174</v>
      </c>
      <c r="D28" s="7">
        <f>146795605+0</f>
        <v>146795605</v>
      </c>
      <c r="E28" s="3"/>
      <c r="F28" s="7">
        <f>F25</f>
        <v>119298302</v>
      </c>
      <c r="G28" s="7">
        <f>G25</f>
        <v>91457443</v>
      </c>
    </row>
    <row r="29" spans="1:7" x14ac:dyDescent="0.3">
      <c r="A29" s="2" t="s">
        <v>21</v>
      </c>
      <c r="B29" s="3">
        <v>16818750</v>
      </c>
      <c r="C29" s="3">
        <v>14015625</v>
      </c>
      <c r="D29" s="3">
        <v>14015625</v>
      </c>
      <c r="E29" s="3"/>
      <c r="F29" s="3">
        <v>10156250</v>
      </c>
      <c r="G29" s="3">
        <v>10156250</v>
      </c>
    </row>
    <row r="30" spans="1:7" x14ac:dyDescent="0.3">
      <c r="A30" s="2"/>
      <c r="B30" s="3"/>
    </row>
    <row r="31" spans="1:7" x14ac:dyDescent="0.3">
      <c r="A31" s="4" t="s">
        <v>8</v>
      </c>
      <c r="B31" s="9">
        <f>B25/B29</f>
        <v>10.366347499070978</v>
      </c>
      <c r="C31" s="90">
        <f>C25/C29</f>
        <v>11.02318362541806</v>
      </c>
      <c r="D31" s="91">
        <v>10.47</v>
      </c>
      <c r="F31" s="58">
        <f>F25/F29</f>
        <v>11.746294350769231</v>
      </c>
      <c r="G31" s="58">
        <f>G25/G29</f>
        <v>9.0050405415384613</v>
      </c>
    </row>
    <row r="32" spans="1:7" x14ac:dyDescent="0.3">
      <c r="A32" s="4" t="s">
        <v>117</v>
      </c>
      <c r="B32" s="3">
        <v>384.62</v>
      </c>
      <c r="C32" s="76">
        <v>442.13</v>
      </c>
      <c r="D32" s="77">
        <v>363.09960000000001</v>
      </c>
      <c r="F32" s="77">
        <v>355.83940000000001</v>
      </c>
      <c r="G32" s="77">
        <v>353.91</v>
      </c>
    </row>
    <row r="33" spans="3:5" x14ac:dyDescent="0.3">
      <c r="C33" s="6"/>
      <c r="D33" s="6"/>
      <c r="E3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H55"/>
  <sheetViews>
    <sheetView showGridLines="0" topLeftCell="A39" zoomScaleSheetLayoutView="100" workbookViewId="0">
      <selection activeCell="M52" sqref="M52"/>
    </sheetView>
  </sheetViews>
  <sheetFormatPr defaultColWidth="8.88671875" defaultRowHeight="13.8" x14ac:dyDescent="0.3"/>
  <cols>
    <col min="1" max="1" width="2.6640625" style="12" customWidth="1"/>
    <col min="2" max="2" width="46.6640625" style="11" customWidth="1"/>
    <col min="3" max="3" width="17.5546875" style="11" hidden="1" customWidth="1"/>
    <col min="4" max="4" width="17" style="11" customWidth="1"/>
    <col min="5" max="5" width="16.109375" style="10" customWidth="1"/>
    <col min="6" max="6" width="16" style="10" customWidth="1"/>
    <col min="7" max="7" width="12.109375" style="10" customWidth="1"/>
    <col min="8" max="8" width="14.21875" style="10" customWidth="1"/>
    <col min="9" max="16384" width="8.88671875" style="10"/>
  </cols>
  <sheetData>
    <row r="1" spans="1:8" ht="18" customHeight="1" x14ac:dyDescent="0.3">
      <c r="A1" s="12" t="s">
        <v>56</v>
      </c>
      <c r="B1" s="150" t="s">
        <v>97</v>
      </c>
      <c r="C1" s="150"/>
      <c r="D1" s="152" t="s">
        <v>55</v>
      </c>
    </row>
    <row r="2" spans="1:8" ht="14.4" thickBot="1" x14ac:dyDescent="0.35">
      <c r="A2" s="12" t="s">
        <v>54</v>
      </c>
      <c r="B2" s="151"/>
      <c r="C2" s="151"/>
      <c r="D2" s="153"/>
    </row>
    <row r="3" spans="1:8" ht="18.75" customHeight="1" thickTop="1" thickBot="1" x14ac:dyDescent="0.4">
      <c r="B3" s="46"/>
      <c r="C3" s="45"/>
      <c r="D3" s="45"/>
    </row>
    <row r="4" spans="1:8" ht="15" thickTop="1" x14ac:dyDescent="0.3">
      <c r="A4" s="12" t="s">
        <v>53</v>
      </c>
      <c r="B4" s="30" t="s">
        <v>52</v>
      </c>
      <c r="D4" s="44"/>
    </row>
    <row r="5" spans="1:8" x14ac:dyDescent="0.3">
      <c r="A5" s="12" t="s">
        <v>51</v>
      </c>
      <c r="B5" s="41" t="s">
        <v>50</v>
      </c>
      <c r="C5" s="40" t="s">
        <v>27</v>
      </c>
      <c r="D5" s="40" t="s">
        <v>57</v>
      </c>
      <c r="E5" s="83" t="s">
        <v>120</v>
      </c>
      <c r="F5" s="83" t="s">
        <v>121</v>
      </c>
      <c r="G5" s="83" t="s">
        <v>129</v>
      </c>
      <c r="H5" s="83" t="s">
        <v>128</v>
      </c>
    </row>
    <row r="6" spans="1:8" x14ac:dyDescent="0.3">
      <c r="B6" s="39" t="s">
        <v>122</v>
      </c>
      <c r="C6" s="38">
        <v>0</v>
      </c>
      <c r="D6" s="38">
        <v>235533652</v>
      </c>
      <c r="E6" s="80">
        <v>183199401</v>
      </c>
      <c r="F6" s="80">
        <v>234473700</v>
      </c>
      <c r="G6" s="80">
        <v>76824199</v>
      </c>
      <c r="H6" s="80">
        <v>128543724</v>
      </c>
    </row>
    <row r="7" spans="1:8" x14ac:dyDescent="0.3">
      <c r="B7" s="39" t="s">
        <v>48</v>
      </c>
      <c r="C7" s="38">
        <v>0</v>
      </c>
      <c r="D7" s="38">
        <v>178563503</v>
      </c>
      <c r="E7" s="80">
        <v>185134228</v>
      </c>
      <c r="F7" s="80">
        <v>147542355</v>
      </c>
      <c r="G7" s="80">
        <v>147546916</v>
      </c>
      <c r="H7" s="80">
        <v>147551754</v>
      </c>
    </row>
    <row r="8" spans="1:8" x14ac:dyDescent="0.3">
      <c r="B8" s="39" t="s">
        <v>47</v>
      </c>
      <c r="C8" s="38">
        <v>0</v>
      </c>
      <c r="D8" s="38">
        <v>714584492</v>
      </c>
      <c r="E8" s="80">
        <v>750731088</v>
      </c>
      <c r="F8" s="80">
        <v>478086812</v>
      </c>
      <c r="G8" s="80">
        <v>767238337</v>
      </c>
      <c r="H8" s="80">
        <v>731105851</v>
      </c>
    </row>
    <row r="9" spans="1:8" x14ac:dyDescent="0.3">
      <c r="B9" s="39" t="s">
        <v>46</v>
      </c>
      <c r="C9" s="38">
        <v>0</v>
      </c>
      <c r="D9" s="38">
        <v>4544635</v>
      </c>
      <c r="E9" s="80">
        <v>2327760</v>
      </c>
      <c r="F9" s="80">
        <v>2167018</v>
      </c>
      <c r="G9" s="80">
        <v>7308265</v>
      </c>
      <c r="H9" s="80">
        <v>8239430</v>
      </c>
    </row>
    <row r="10" spans="1:8" x14ac:dyDescent="0.3">
      <c r="B10" s="39" t="s">
        <v>45</v>
      </c>
      <c r="C10" s="38">
        <v>0</v>
      </c>
      <c r="D10" s="38">
        <v>416805294</v>
      </c>
      <c r="E10" s="80">
        <v>471032537</v>
      </c>
      <c r="F10" s="80">
        <v>315975211</v>
      </c>
      <c r="G10" s="80">
        <v>346425721</v>
      </c>
      <c r="H10" s="80">
        <v>300373494</v>
      </c>
    </row>
    <row r="11" spans="1:8" x14ac:dyDescent="0.3">
      <c r="B11" s="39" t="s">
        <v>130</v>
      </c>
      <c r="C11" s="38"/>
      <c r="D11" s="38">
        <v>0</v>
      </c>
      <c r="E11" s="80">
        <v>30086724</v>
      </c>
      <c r="F11" s="80">
        <v>28680150</v>
      </c>
      <c r="G11" s="80">
        <v>26728944</v>
      </c>
      <c r="H11" s="80">
        <v>24599302</v>
      </c>
    </row>
    <row r="12" spans="1:8" x14ac:dyDescent="0.3">
      <c r="B12" s="39" t="s">
        <v>131</v>
      </c>
      <c r="C12" s="38"/>
      <c r="D12" s="38">
        <v>0</v>
      </c>
      <c r="E12" s="80">
        <v>3793304</v>
      </c>
      <c r="F12" s="80">
        <v>3890602</v>
      </c>
      <c r="G12" s="80">
        <v>3655021</v>
      </c>
      <c r="H12" s="80">
        <v>0</v>
      </c>
    </row>
    <row r="13" spans="1:8" x14ac:dyDescent="0.3">
      <c r="B13" s="39" t="s">
        <v>58</v>
      </c>
      <c r="C13" s="38"/>
      <c r="D13" s="38">
        <v>3689602</v>
      </c>
      <c r="E13" s="80">
        <v>0</v>
      </c>
      <c r="F13" s="80">
        <v>0</v>
      </c>
      <c r="G13" s="80">
        <v>0</v>
      </c>
      <c r="H13" s="80">
        <v>5824876</v>
      </c>
    </row>
    <row r="14" spans="1:8" x14ac:dyDescent="0.3">
      <c r="A14" s="12" t="s">
        <v>43</v>
      </c>
      <c r="B14" s="39" t="s">
        <v>59</v>
      </c>
      <c r="C14" s="38">
        <v>0</v>
      </c>
      <c r="D14" s="38">
        <v>31882247</v>
      </c>
      <c r="E14" s="80">
        <v>0</v>
      </c>
      <c r="F14" s="80">
        <v>0</v>
      </c>
      <c r="G14" s="80">
        <v>0</v>
      </c>
      <c r="H14" s="80">
        <v>0</v>
      </c>
    </row>
    <row r="15" spans="1:8" ht="14.4" x14ac:dyDescent="0.3">
      <c r="B15" s="43" t="s">
        <v>44</v>
      </c>
      <c r="C15" s="42">
        <f>SUBTOTAL(109,CurrentAssets[Previous Year])</f>
        <v>0</v>
      </c>
      <c r="D15" s="42">
        <f>SUBTOTAL(109,CurrentAssets[2019])</f>
        <v>1585603425</v>
      </c>
      <c r="E15" s="99">
        <f>E6+E7+E8+E9+E10+E11+E12</f>
        <v>1626305042</v>
      </c>
      <c r="F15" s="99">
        <f>F6+F7+F8+F9+F10+F11+F12+F13+F14</f>
        <v>1210815848</v>
      </c>
      <c r="G15" s="99">
        <f>G6+G7+G8+G9+G10+G11+G12</f>
        <v>1375727403</v>
      </c>
      <c r="H15" s="99">
        <f>H6+H7+H8+H9+H10+H11+H12+H13+H14</f>
        <v>1346238431</v>
      </c>
    </row>
    <row r="16" spans="1:8" x14ac:dyDescent="0.3">
      <c r="B16" s="10"/>
      <c r="C16" s="10"/>
      <c r="D16" s="10"/>
    </row>
    <row r="17" spans="1:8" x14ac:dyDescent="0.3">
      <c r="B17" s="41" t="s">
        <v>42</v>
      </c>
      <c r="C17" s="40" t="s">
        <v>27</v>
      </c>
      <c r="D17" s="40" t="s">
        <v>57</v>
      </c>
      <c r="E17" s="81" t="s">
        <v>120</v>
      </c>
      <c r="F17" s="81" t="s">
        <v>121</v>
      </c>
      <c r="G17" s="81" t="s">
        <v>129</v>
      </c>
      <c r="H17" s="81" t="s">
        <v>128</v>
      </c>
    </row>
    <row r="18" spans="1:8" x14ac:dyDescent="0.3">
      <c r="B18" s="93" t="s">
        <v>81</v>
      </c>
      <c r="C18" s="94"/>
      <c r="D18" s="94">
        <v>0</v>
      </c>
      <c r="E18" s="80">
        <v>0</v>
      </c>
      <c r="F18" s="80">
        <v>7144400</v>
      </c>
      <c r="G18" s="80">
        <v>9525866</v>
      </c>
      <c r="H18" s="80">
        <v>11907332</v>
      </c>
    </row>
    <row r="19" spans="1:8" x14ac:dyDescent="0.3">
      <c r="B19" s="39" t="s">
        <v>41</v>
      </c>
      <c r="C19" s="38">
        <v>0</v>
      </c>
      <c r="D19" s="38">
        <v>313854039</v>
      </c>
      <c r="E19" s="80">
        <v>307824838</v>
      </c>
      <c r="F19" s="80">
        <v>312849492</v>
      </c>
      <c r="G19" s="80">
        <v>322959095</v>
      </c>
      <c r="H19" s="80">
        <v>298322570</v>
      </c>
    </row>
    <row r="20" spans="1:8" ht="14.4" x14ac:dyDescent="0.3">
      <c r="B20" s="95" t="s">
        <v>40</v>
      </c>
      <c r="C20" s="96">
        <f>SUBTOTAL(109,FixedAssets[Previous Year])</f>
        <v>0</v>
      </c>
      <c r="D20" s="96">
        <f>SUBTOTAL(109,FixedAssets[2019])</f>
        <v>313854039</v>
      </c>
      <c r="E20" s="97" t="s">
        <v>123</v>
      </c>
      <c r="F20" s="98" t="s">
        <v>124</v>
      </c>
      <c r="G20" s="98">
        <f>G18+G19</f>
        <v>332484961</v>
      </c>
      <c r="H20" s="97">
        <f>H18+H19</f>
        <v>310229902</v>
      </c>
    </row>
    <row r="21" spans="1:8" x14ac:dyDescent="0.3">
      <c r="B21" s="10"/>
      <c r="C21" s="10"/>
      <c r="D21" s="10"/>
    </row>
    <row r="22" spans="1:8" x14ac:dyDescent="0.3">
      <c r="A22" s="12" t="s">
        <v>39</v>
      </c>
      <c r="B22" s="35"/>
      <c r="C22" s="29"/>
      <c r="D22" s="28"/>
    </row>
    <row r="23" spans="1:8" ht="18" thickBot="1" x14ac:dyDescent="0.4">
      <c r="B23" s="34" t="s">
        <v>37</v>
      </c>
      <c r="C23" s="33">
        <f>C15+C20</f>
        <v>0</v>
      </c>
      <c r="D23" s="47">
        <f>D15+D20</f>
        <v>1899457464</v>
      </c>
      <c r="E23" s="84">
        <f>E15+E20</f>
        <v>1934129880</v>
      </c>
      <c r="F23" s="75">
        <f>CurrentAssets[[#Totals],[2017]]+FixedAssets[[#Totals],[2017]]</f>
        <v>1530809740</v>
      </c>
      <c r="G23" s="75">
        <f>FixedAssets[[#Totals],[2016]]+CurrentAssets[[#Totals],[2016]]</f>
        <v>1708212364</v>
      </c>
      <c r="H23" s="75">
        <f>FixedAssets[[#Totals],[2015]]+CurrentAssets[[#Totals],[2015]]</f>
        <v>1656468333</v>
      </c>
    </row>
    <row r="24" spans="1:8" ht="18.600000000000001" thickTop="1" thickBot="1" x14ac:dyDescent="0.4">
      <c r="B24" s="32"/>
      <c r="C24" s="31"/>
      <c r="D24" s="31"/>
    </row>
    <row r="25" spans="1:8" ht="15" thickTop="1" x14ac:dyDescent="0.3">
      <c r="B25" s="30" t="s">
        <v>35</v>
      </c>
      <c r="C25" s="29"/>
      <c r="D25" s="28"/>
    </row>
    <row r="26" spans="1:8" x14ac:dyDescent="0.3">
      <c r="A26" s="12" t="s">
        <v>38</v>
      </c>
      <c r="B26" s="27" t="s">
        <v>33</v>
      </c>
      <c r="C26" s="26" t="s">
        <v>27</v>
      </c>
      <c r="D26" s="26" t="s">
        <v>57</v>
      </c>
      <c r="E26" s="79" t="s">
        <v>120</v>
      </c>
      <c r="F26" s="79" t="s">
        <v>121</v>
      </c>
      <c r="G26" s="79" t="s">
        <v>129</v>
      </c>
      <c r="H26" s="79" t="s">
        <v>128</v>
      </c>
    </row>
    <row r="27" spans="1:8" ht="18.75" customHeight="1" x14ac:dyDescent="0.3">
      <c r="B27" s="25" t="s">
        <v>61</v>
      </c>
      <c r="C27" s="24">
        <v>0</v>
      </c>
      <c r="D27" s="24">
        <v>325255738</v>
      </c>
      <c r="E27" s="78">
        <v>313551201</v>
      </c>
      <c r="F27" s="78">
        <v>404740938</v>
      </c>
      <c r="G27" s="78">
        <v>465169940</v>
      </c>
      <c r="H27" s="78">
        <v>426676747</v>
      </c>
    </row>
    <row r="28" spans="1:8" x14ac:dyDescent="0.3">
      <c r="A28" s="12" t="s">
        <v>36</v>
      </c>
      <c r="B28" s="25" t="s">
        <v>62</v>
      </c>
      <c r="C28" s="24">
        <v>0</v>
      </c>
      <c r="D28" s="24">
        <v>216616760</v>
      </c>
      <c r="E28" s="78">
        <v>362284032</v>
      </c>
      <c r="F28" s="78">
        <v>155485384</v>
      </c>
      <c r="G28" s="78">
        <v>174602274</v>
      </c>
      <c r="H28" s="78">
        <v>177837941</v>
      </c>
    </row>
    <row r="29" spans="1:8" x14ac:dyDescent="0.3">
      <c r="A29" s="12" t="s">
        <v>34</v>
      </c>
      <c r="B29" s="25" t="s">
        <v>60</v>
      </c>
      <c r="C29" s="24">
        <v>0</v>
      </c>
      <c r="D29" s="24">
        <v>87366613</v>
      </c>
      <c r="E29" s="78">
        <v>142909410</v>
      </c>
      <c r="F29" s="78">
        <v>30888539</v>
      </c>
      <c r="G29" s="78">
        <v>264979129</v>
      </c>
      <c r="H29" s="78">
        <v>337223833</v>
      </c>
    </row>
    <row r="30" spans="1:8" x14ac:dyDescent="0.3">
      <c r="B30" s="25" t="s">
        <v>63</v>
      </c>
      <c r="C30" s="24">
        <v>0</v>
      </c>
      <c r="D30" s="24">
        <v>17006965</v>
      </c>
      <c r="E30" s="78">
        <v>15024180</v>
      </c>
      <c r="F30" s="78">
        <v>13733281</v>
      </c>
      <c r="G30" s="78">
        <v>12744898</v>
      </c>
      <c r="H30" s="78">
        <v>11079694</v>
      </c>
    </row>
    <row r="31" spans="1:8" x14ac:dyDescent="0.3">
      <c r="B31" s="25" t="s">
        <v>132</v>
      </c>
      <c r="C31" s="24">
        <v>0</v>
      </c>
      <c r="D31" s="24">
        <v>0</v>
      </c>
      <c r="E31" s="78">
        <v>30430380</v>
      </c>
      <c r="F31" s="78">
        <v>29017977</v>
      </c>
      <c r="G31" s="78">
        <v>29950199</v>
      </c>
      <c r="H31" s="78">
        <v>30203335</v>
      </c>
    </row>
    <row r="32" spans="1:8" x14ac:dyDescent="0.3">
      <c r="B32" s="25" t="s">
        <v>133</v>
      </c>
      <c r="C32" s="24">
        <v>0</v>
      </c>
      <c r="D32" s="24">
        <v>0</v>
      </c>
      <c r="E32" s="78">
        <v>15963367</v>
      </c>
      <c r="F32" s="78">
        <v>16780235</v>
      </c>
      <c r="G32" s="78">
        <v>17241893</v>
      </c>
      <c r="H32" s="78">
        <v>18752304</v>
      </c>
    </row>
    <row r="33" spans="1:8" x14ac:dyDescent="0.3">
      <c r="B33" s="23" t="s">
        <v>31</v>
      </c>
      <c r="C33" s="22">
        <f>SUBTOTAL(109,CurrentLiabilities[Previous Year])</f>
        <v>0</v>
      </c>
      <c r="D33" s="22">
        <f>SUBTOTAL(109,CurrentLiabilities[2019])</f>
        <v>646246076</v>
      </c>
      <c r="E33" s="79">
        <f>E27+E28+E29+E30+E31+E32</f>
        <v>880162570</v>
      </c>
      <c r="F33" s="79">
        <f>F27+F28+F29+F30+F31+F32</f>
        <v>650646354</v>
      </c>
      <c r="G33" s="79">
        <f>G27+G28+G29+G30+G31+G32</f>
        <v>964688333</v>
      </c>
      <c r="H33" s="79">
        <f>H32+H31+H30+H29+H28+H27</f>
        <v>1001773854</v>
      </c>
    </row>
    <row r="34" spans="1:8" x14ac:dyDescent="0.3">
      <c r="B34" s="10"/>
      <c r="C34" s="10"/>
      <c r="D34" s="10"/>
    </row>
    <row r="35" spans="1:8" x14ac:dyDescent="0.3">
      <c r="B35" s="27" t="s">
        <v>64</v>
      </c>
      <c r="C35" s="26" t="s">
        <v>27</v>
      </c>
      <c r="D35" s="26" t="s">
        <v>57</v>
      </c>
      <c r="E35" s="79" t="s">
        <v>120</v>
      </c>
      <c r="F35" s="79" t="s">
        <v>121</v>
      </c>
      <c r="G35" s="79" t="s">
        <v>129</v>
      </c>
      <c r="H35" s="79" t="s">
        <v>128</v>
      </c>
    </row>
    <row r="36" spans="1:8" x14ac:dyDescent="0.3">
      <c r="B36" s="25" t="s">
        <v>65</v>
      </c>
      <c r="C36" s="24">
        <v>0</v>
      </c>
      <c r="D36" s="24">
        <v>15317003</v>
      </c>
      <c r="E36" s="78">
        <v>0</v>
      </c>
      <c r="F36" s="78">
        <v>0</v>
      </c>
      <c r="G36" s="78"/>
      <c r="H36" s="78"/>
    </row>
    <row r="37" spans="1:8" x14ac:dyDescent="0.3">
      <c r="B37" s="25" t="s">
        <v>66</v>
      </c>
      <c r="C37" s="24"/>
      <c r="D37" s="24">
        <v>326089784</v>
      </c>
      <c r="E37" s="78">
        <v>326089784</v>
      </c>
      <c r="F37" s="78">
        <v>326089784</v>
      </c>
      <c r="G37" s="78">
        <v>326089784</v>
      </c>
      <c r="H37" s="78">
        <v>326089784</v>
      </c>
    </row>
    <row r="38" spans="1:8" x14ac:dyDescent="0.3">
      <c r="A38" s="12" t="s">
        <v>30</v>
      </c>
      <c r="B38" s="25" t="s">
        <v>67</v>
      </c>
      <c r="C38" s="24"/>
      <c r="D38" s="24">
        <v>30160825</v>
      </c>
      <c r="E38" s="78">
        <v>0</v>
      </c>
      <c r="F38" s="78">
        <v>0</v>
      </c>
      <c r="G38" s="78"/>
      <c r="H38" s="78"/>
    </row>
    <row r="39" spans="1:8" x14ac:dyDescent="0.3">
      <c r="B39" s="48" t="s">
        <v>68</v>
      </c>
      <c r="C39" s="49">
        <f>SUBTOTAL(109,LongTermLiabilities[Previous Year])</f>
        <v>0</v>
      </c>
      <c r="D39" s="49">
        <f>SUBTOTAL(109,LongTermLiabilities[2019])</f>
        <v>371567612</v>
      </c>
      <c r="E39" s="79">
        <f>E36+E37+E38</f>
        <v>326089784</v>
      </c>
      <c r="F39" s="79">
        <f>F36+F37+F38</f>
        <v>326089784</v>
      </c>
      <c r="G39" s="79">
        <f>G37</f>
        <v>326089784</v>
      </c>
      <c r="H39" s="79">
        <f>H37</f>
        <v>326089784</v>
      </c>
    </row>
    <row r="40" spans="1:8" x14ac:dyDescent="0.3">
      <c r="B40" s="10"/>
      <c r="C40" s="10"/>
      <c r="D40" s="10"/>
    </row>
    <row r="41" spans="1:8" x14ac:dyDescent="0.3">
      <c r="B41" s="27" t="s">
        <v>28</v>
      </c>
      <c r="C41" s="26" t="s">
        <v>27</v>
      </c>
      <c r="D41" s="26" t="s">
        <v>57</v>
      </c>
      <c r="E41" s="79" t="s">
        <v>120</v>
      </c>
      <c r="F41" s="79" t="s">
        <v>121</v>
      </c>
      <c r="G41" s="79" t="s">
        <v>129</v>
      </c>
      <c r="H41" s="79" t="s">
        <v>128</v>
      </c>
    </row>
    <row r="42" spans="1:8" x14ac:dyDescent="0.3">
      <c r="A42" s="12" t="s">
        <v>29</v>
      </c>
      <c r="B42" s="25" t="s">
        <v>26</v>
      </c>
      <c r="C42" s="24">
        <v>0</v>
      </c>
      <c r="D42" s="24">
        <v>168187500</v>
      </c>
      <c r="E42" s="78">
        <v>140156250</v>
      </c>
      <c r="F42" s="78">
        <v>121875000</v>
      </c>
      <c r="G42" s="78">
        <v>101562500</v>
      </c>
      <c r="H42" s="78">
        <v>101562500</v>
      </c>
    </row>
    <row r="43" spans="1:8" x14ac:dyDescent="0.3">
      <c r="B43" s="25" t="s">
        <v>69</v>
      </c>
      <c r="C43" s="24">
        <v>0</v>
      </c>
      <c r="D43" s="24">
        <v>7143605</v>
      </c>
      <c r="E43" s="78">
        <v>7143605</v>
      </c>
      <c r="F43" s="78">
        <v>7143605</v>
      </c>
      <c r="G43" s="78">
        <v>7143605</v>
      </c>
      <c r="H43" s="78">
        <v>7143605</v>
      </c>
    </row>
    <row r="44" spans="1:8" x14ac:dyDescent="0.3">
      <c r="B44" s="25" t="s">
        <v>125</v>
      </c>
      <c r="C44" s="24"/>
      <c r="D44" s="24">
        <v>31021231</v>
      </c>
      <c r="E44" s="78">
        <v>37588366</v>
      </c>
      <c r="F44" s="78">
        <v>0</v>
      </c>
      <c r="G44" s="78">
        <v>0</v>
      </c>
      <c r="H44" s="78">
        <v>0</v>
      </c>
    </row>
    <row r="45" spans="1:8" x14ac:dyDescent="0.3">
      <c r="B45" s="25" t="s">
        <v>70</v>
      </c>
      <c r="C45" s="24"/>
      <c r="D45" s="24">
        <v>675291440</v>
      </c>
      <c r="E45" s="78">
        <v>542989305</v>
      </c>
      <c r="F45" s="78">
        <v>425054997</v>
      </c>
      <c r="G45" s="78">
        <v>308728142</v>
      </c>
      <c r="H45" s="78">
        <v>219898591</v>
      </c>
    </row>
    <row r="46" spans="1:8" x14ac:dyDescent="0.3">
      <c r="B46" s="48" t="s">
        <v>25</v>
      </c>
      <c r="C46" s="49">
        <f>SUBTOTAL(109,OwnersEquity[Previous Year])</f>
        <v>0</v>
      </c>
      <c r="D46" s="49">
        <f>SUBTOTAL(109,OwnersEquity[2019])</f>
        <v>881643776</v>
      </c>
      <c r="E46" s="79">
        <f>140156250+7143605+37588366+542989305</f>
        <v>727877526</v>
      </c>
      <c r="F46" s="79">
        <f>121875000+7143605+0+425054997</f>
        <v>554073602</v>
      </c>
      <c r="G46" s="79">
        <f>G42+G43+G44+G45</f>
        <v>417434247</v>
      </c>
      <c r="H46" s="79">
        <f>H43+H42+H44+H45</f>
        <v>328604696</v>
      </c>
    </row>
    <row r="47" spans="1:8" x14ac:dyDescent="0.3">
      <c r="A47" s="12" t="s">
        <v>24</v>
      </c>
      <c r="B47" s="21"/>
      <c r="C47" s="20"/>
      <c r="D47" s="19"/>
    </row>
    <row r="48" spans="1:8" ht="18" thickBot="1" x14ac:dyDescent="0.4">
      <c r="B48" s="18" t="s">
        <v>23</v>
      </c>
      <c r="C48" s="17">
        <f>OwnersEquity[[#Totals],[Previous Year]]+LongTermLiabilities[[#Totals],[Previous Year]]+CurrentLiabilities[[#Totals],[Previous Year]]</f>
        <v>0</v>
      </c>
      <c r="D48" s="50">
        <f>OwnersEquity[[#Totals],[2019]]+LongTermLiabilities[[#Totals],[2019]]+CurrentLiabilities[[#Totals],[2019]]</f>
        <v>1899457464</v>
      </c>
      <c r="E48" s="75">
        <f>833768823+372483531+727877526</f>
        <v>1934129880</v>
      </c>
      <c r="F48" s="75">
        <f>604848142+371887996+554073602</f>
        <v>1530809740</v>
      </c>
      <c r="G48" s="75">
        <f>OwnersEquity[[#Totals],[2016]]+LongTermLiabilities[[#Totals],[2016]]+CurrentLiabilities[[#Totals],[2016]]</f>
        <v>1708212364</v>
      </c>
      <c r="H48" s="75">
        <f>OwnersEquity[[#Totals],[2015]]+LongTermLiabilities[[#Totals],[2015]]+CurrentLiabilities[[#Totals],[2015]]</f>
        <v>1656468334</v>
      </c>
    </row>
    <row r="49" spans="1:8" ht="15" thickTop="1" thickBot="1" x14ac:dyDescent="0.35">
      <c r="C49" s="16"/>
      <c r="D49" s="15"/>
    </row>
    <row r="50" spans="1:8" ht="14.4" thickTop="1" x14ac:dyDescent="0.3">
      <c r="A50" s="12" t="s">
        <v>22</v>
      </c>
      <c r="B50" s="51" t="s">
        <v>71</v>
      </c>
      <c r="C50" s="52">
        <f>SUBTOTAL(109,OwnersEquity[Previous Year])</f>
        <v>0</v>
      </c>
      <c r="D50" s="53">
        <v>268101570</v>
      </c>
      <c r="E50" s="75">
        <v>268101570</v>
      </c>
      <c r="F50" s="75">
        <v>268101570</v>
      </c>
      <c r="G50" s="75">
        <f>F50</f>
        <v>268101570</v>
      </c>
      <c r="H50" s="75">
        <f>G50</f>
        <v>268101570</v>
      </c>
    </row>
    <row r="51" spans="1:8" ht="17.399999999999999" x14ac:dyDescent="0.35">
      <c r="B51" s="14"/>
      <c r="C51" s="13"/>
      <c r="D51" s="13"/>
    </row>
    <row r="52" spans="1:8" x14ac:dyDescent="0.3">
      <c r="D52" s="75" t="str">
        <f>CurrentLiabilities[[#Headers],[2019]]</f>
        <v>2019</v>
      </c>
      <c r="E52" s="75" t="str">
        <f>CurrentLiabilities[[#Headers],[2018]]</f>
        <v>2018</v>
      </c>
      <c r="F52" s="75" t="str">
        <f>CurrentLiabilities[[#Headers],[2017]]</f>
        <v>2017</v>
      </c>
      <c r="G52" s="75" t="str">
        <f>CurrentLiabilities[[#Headers],[2016]]</f>
        <v>2016</v>
      </c>
      <c r="H52" s="75" t="str">
        <f>CurrentLiabilities[[#Headers],[2015]]</f>
        <v>2015</v>
      </c>
    </row>
    <row r="53" spans="1:8" x14ac:dyDescent="0.3">
      <c r="B53" s="75" t="s">
        <v>111</v>
      </c>
      <c r="D53" s="11">
        <v>2566770456</v>
      </c>
      <c r="E53" s="106">
        <v>2613663535</v>
      </c>
      <c r="F53" s="106">
        <v>1913076202</v>
      </c>
    </row>
    <row r="54" spans="1:8" x14ac:dyDescent="0.3">
      <c r="B54" s="75" t="s">
        <v>112</v>
      </c>
      <c r="D54" s="11">
        <v>393601199</v>
      </c>
      <c r="E54" s="106">
        <v>371229811</v>
      </c>
      <c r="F54" s="106">
        <v>331957027</v>
      </c>
    </row>
    <row r="55" spans="1:8" x14ac:dyDescent="0.3">
      <c r="B55" s="75" t="s">
        <v>113</v>
      </c>
      <c r="D55" s="75">
        <f>D53+D54</f>
        <v>2960371655</v>
      </c>
      <c r="E55" s="116">
        <v>2984893346</v>
      </c>
      <c r="F55" s="116">
        <v>2245033229</v>
      </c>
      <c r="G55" s="116">
        <v>2211719494</v>
      </c>
      <c r="H55" s="116">
        <v>2219259604</v>
      </c>
    </row>
  </sheetData>
  <mergeCells count="2">
    <mergeCell ref="B1:C2"/>
    <mergeCell ref="D1:D2"/>
  </mergeCells>
  <phoneticPr fontId="18" type="noConversion"/>
  <conditionalFormatting sqref="C51:D51">
    <cfRule type="cellIs" dxfId="1" priority="1" operator="lessThan">
      <formula>0</formula>
    </cfRule>
  </conditionalFormatting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37"/>
  <sheetViews>
    <sheetView topLeftCell="A16" workbookViewId="0">
      <selection activeCell="K30" sqref="K30"/>
    </sheetView>
  </sheetViews>
  <sheetFormatPr defaultRowHeight="14.4" x14ac:dyDescent="0.3"/>
  <cols>
    <col min="6" max="6" width="36.44140625" customWidth="1"/>
    <col min="7" max="7" width="14.5546875" customWidth="1"/>
    <col min="8" max="8" width="15" customWidth="1"/>
    <col min="9" max="9" width="18.109375" customWidth="1"/>
    <col min="10" max="10" width="12.88671875" customWidth="1"/>
    <col min="11" max="11" width="15.109375" customWidth="1"/>
  </cols>
  <sheetData>
    <row r="2" spans="6:13" ht="21" x14ac:dyDescent="0.4">
      <c r="G2" s="54"/>
      <c r="H2" s="54"/>
      <c r="I2" s="54"/>
      <c r="J2" s="54"/>
      <c r="K2" s="54"/>
      <c r="L2" s="54"/>
      <c r="M2" s="54"/>
    </row>
    <row r="3" spans="6:13" ht="21" x14ac:dyDescent="0.4">
      <c r="F3" s="54" t="s">
        <v>884</v>
      </c>
      <c r="G3" s="54"/>
      <c r="H3" s="54"/>
      <c r="I3" s="54"/>
      <c r="J3" s="54"/>
      <c r="K3" s="54"/>
      <c r="L3" s="54"/>
      <c r="M3" s="54"/>
    </row>
    <row r="4" spans="6:13" ht="21" x14ac:dyDescent="0.4">
      <c r="G4" s="54"/>
      <c r="H4" s="54"/>
      <c r="I4" s="54"/>
      <c r="J4" s="54"/>
      <c r="K4" s="54"/>
      <c r="L4" s="54"/>
      <c r="M4" s="54"/>
    </row>
    <row r="10" spans="6:13" x14ac:dyDescent="0.3">
      <c r="F10" s="1" t="s">
        <v>0</v>
      </c>
      <c r="G10" s="104" t="s">
        <v>57</v>
      </c>
      <c r="H10" s="87" t="s">
        <v>120</v>
      </c>
      <c r="I10" s="87" t="s">
        <v>121</v>
      </c>
      <c r="J10" t="s">
        <v>129</v>
      </c>
      <c r="K10" t="s">
        <v>128</v>
      </c>
    </row>
    <row r="11" spans="6:13" x14ac:dyDescent="0.3">
      <c r="F11" s="2" t="s">
        <v>1</v>
      </c>
      <c r="G11" s="101">
        <v>8768160138</v>
      </c>
      <c r="H11">
        <v>7814663479</v>
      </c>
      <c r="I11">
        <v>6916109929</v>
      </c>
      <c r="J11" s="6">
        <v>7339285874</v>
      </c>
      <c r="K11" s="6">
        <v>7348826563</v>
      </c>
    </row>
    <row r="12" spans="6:13" x14ac:dyDescent="0.3">
      <c r="F12" s="2" t="s">
        <v>2</v>
      </c>
      <c r="G12" s="101">
        <v>4472697423</v>
      </c>
      <c r="H12">
        <v>4229519648</v>
      </c>
      <c r="I12">
        <v>3710291705</v>
      </c>
      <c r="J12" s="6">
        <v>3884804007</v>
      </c>
      <c r="K12" s="6">
        <v>4042601061</v>
      </c>
    </row>
    <row r="13" spans="6:13" x14ac:dyDescent="0.3">
      <c r="F13" s="4" t="s">
        <v>3</v>
      </c>
      <c r="G13" s="102">
        <f>G11-G12</f>
        <v>4295462715</v>
      </c>
      <c r="H13" s="58">
        <f>7814663479-4229519648</f>
        <v>3585143831</v>
      </c>
      <c r="I13" s="58">
        <f>6916109929-3710291705</f>
        <v>3205818224</v>
      </c>
      <c r="J13" s="6">
        <v>3454481867</v>
      </c>
      <c r="K13" s="6">
        <v>3306225502</v>
      </c>
    </row>
    <row r="14" spans="6:13" x14ac:dyDescent="0.3">
      <c r="F14" s="4" t="s">
        <v>4</v>
      </c>
      <c r="G14" s="102">
        <f>G15+G17-G16</f>
        <v>1703915649</v>
      </c>
      <c r="H14" s="102">
        <f>H15+H17+H16</f>
        <v>1449101690</v>
      </c>
      <c r="I14" s="102">
        <f>I15+I17+I16</f>
        <v>1347367923</v>
      </c>
      <c r="J14" s="102">
        <f t="shared" ref="J14:K14" si="0">J15+J17-J16</f>
        <v>1644872692</v>
      </c>
      <c r="K14" s="102">
        <f t="shared" si="0"/>
        <v>1578389221</v>
      </c>
    </row>
    <row r="15" spans="6:13" x14ac:dyDescent="0.3">
      <c r="F15" s="2" t="s">
        <v>9</v>
      </c>
      <c r="G15" s="101">
        <v>931650175</v>
      </c>
      <c r="H15">
        <v>860442410</v>
      </c>
      <c r="I15">
        <v>800982856</v>
      </c>
      <c r="J15" s="6">
        <v>735664847</v>
      </c>
      <c r="K15" s="6">
        <v>636462886</v>
      </c>
    </row>
    <row r="16" spans="6:13" x14ac:dyDescent="0.3">
      <c r="F16" s="2" t="s">
        <v>72</v>
      </c>
      <c r="G16" s="101">
        <v>1468444</v>
      </c>
      <c r="H16">
        <v>8961977</v>
      </c>
      <c r="I16">
        <v>8771723</v>
      </c>
      <c r="J16" s="6">
        <v>2468764</v>
      </c>
      <c r="K16" s="6">
        <v>844066</v>
      </c>
    </row>
    <row r="17" spans="6:11" x14ac:dyDescent="0.3">
      <c r="F17" s="2" t="s">
        <v>10</v>
      </c>
      <c r="G17" s="101">
        <v>773733918</v>
      </c>
      <c r="H17">
        <v>579697303</v>
      </c>
      <c r="I17">
        <v>537613344</v>
      </c>
      <c r="J17" s="6">
        <v>911676609</v>
      </c>
      <c r="K17" s="6">
        <v>942770401</v>
      </c>
    </row>
    <row r="18" spans="6:11" x14ac:dyDescent="0.3">
      <c r="F18" s="4" t="s">
        <v>5</v>
      </c>
      <c r="G18" s="102">
        <f>G13-G14</f>
        <v>2591547066</v>
      </c>
      <c r="H18" s="102">
        <f t="shared" ref="H18:K18" si="1">H13-H14</f>
        <v>2136042141</v>
      </c>
      <c r="I18" s="102">
        <f t="shared" si="1"/>
        <v>1858450301</v>
      </c>
      <c r="J18" s="102">
        <f t="shared" si="1"/>
        <v>1809609175</v>
      </c>
      <c r="K18" s="102">
        <f t="shared" si="1"/>
        <v>1727836281</v>
      </c>
    </row>
    <row r="19" spans="6:11" x14ac:dyDescent="0.3">
      <c r="F19" s="2" t="s">
        <v>126</v>
      </c>
      <c r="G19" s="101">
        <v>0</v>
      </c>
      <c r="H19">
        <v>0</v>
      </c>
      <c r="I19">
        <v>0</v>
      </c>
      <c r="J19">
        <v>0</v>
      </c>
      <c r="K19">
        <v>0</v>
      </c>
    </row>
    <row r="20" spans="6:11" x14ac:dyDescent="0.3">
      <c r="F20" s="2" t="s">
        <v>11</v>
      </c>
      <c r="G20" s="101">
        <v>0</v>
      </c>
      <c r="H20">
        <v>0</v>
      </c>
      <c r="I20">
        <v>0</v>
      </c>
      <c r="J20">
        <v>0</v>
      </c>
      <c r="K20">
        <v>0</v>
      </c>
    </row>
    <row r="21" spans="6:11" x14ac:dyDescent="0.3">
      <c r="F21" s="2" t="s">
        <v>73</v>
      </c>
      <c r="G21" s="101">
        <v>158197279</v>
      </c>
      <c r="H21">
        <v>107703132</v>
      </c>
      <c r="I21">
        <v>68516585</v>
      </c>
      <c r="J21" s="6">
        <v>114518588</v>
      </c>
      <c r="K21" s="6">
        <v>100680684</v>
      </c>
    </row>
    <row r="22" spans="6:11" x14ac:dyDescent="0.3">
      <c r="F22" s="4" t="s">
        <v>13</v>
      </c>
      <c r="G22" s="102">
        <f>G18-G19-G20+G21</f>
        <v>2749744345</v>
      </c>
      <c r="H22" s="102">
        <f t="shared" ref="H22:I22" si="2">H18-H19-H20+H21</f>
        <v>2243745273</v>
      </c>
      <c r="I22" s="102">
        <f t="shared" si="2"/>
        <v>1926966886</v>
      </c>
      <c r="J22" s="102">
        <f t="shared" ref="J22" si="3">J18-J19-J20+J21</f>
        <v>1924127763</v>
      </c>
      <c r="K22" s="102">
        <f t="shared" ref="K22" si="4">K18-K19-K20+K21</f>
        <v>1828516965</v>
      </c>
    </row>
    <row r="23" spans="6:11" x14ac:dyDescent="0.3">
      <c r="F23" s="8" t="s">
        <v>14</v>
      </c>
      <c r="G23" s="101">
        <v>0</v>
      </c>
      <c r="H23">
        <v>0</v>
      </c>
      <c r="I23">
        <v>0</v>
      </c>
      <c r="J23">
        <v>0</v>
      </c>
      <c r="K23">
        <v>0</v>
      </c>
    </row>
    <row r="24" spans="6:11" x14ac:dyDescent="0.3">
      <c r="F24" s="4" t="s">
        <v>15</v>
      </c>
      <c r="G24" s="102">
        <f>G22-G23</f>
        <v>2749744345</v>
      </c>
      <c r="H24" s="58">
        <v>2243745273</v>
      </c>
      <c r="I24" s="58">
        <v>1926966886</v>
      </c>
      <c r="J24" s="108">
        <f>J22</f>
        <v>1924127763</v>
      </c>
      <c r="K24" s="108">
        <f>K22</f>
        <v>1828516965</v>
      </c>
    </row>
    <row r="25" spans="6:11" x14ac:dyDescent="0.3">
      <c r="F25" s="4" t="s">
        <v>16</v>
      </c>
      <c r="G25" s="102">
        <v>726352523</v>
      </c>
      <c r="H25">
        <v>601117912</v>
      </c>
      <c r="I25">
        <v>486774815</v>
      </c>
      <c r="J25" s="6">
        <v>510077456</v>
      </c>
      <c r="K25" s="6">
        <v>483747430</v>
      </c>
    </row>
    <row r="26" spans="6:11" x14ac:dyDescent="0.3">
      <c r="F26" s="4" t="s">
        <v>7</v>
      </c>
      <c r="G26" s="102">
        <f>G24-G25</f>
        <v>2023391822</v>
      </c>
      <c r="H26" s="102">
        <f t="shared" ref="H26:K26" si="5">H24-H25</f>
        <v>1642627361</v>
      </c>
      <c r="I26" s="102">
        <f t="shared" si="5"/>
        <v>1440192071</v>
      </c>
      <c r="J26" s="102">
        <f t="shared" si="5"/>
        <v>1414050307</v>
      </c>
      <c r="K26" s="102">
        <f t="shared" si="5"/>
        <v>1344769535</v>
      </c>
    </row>
    <row r="27" spans="6:11" x14ac:dyDescent="0.3">
      <c r="F27" s="4" t="s">
        <v>76</v>
      </c>
      <c r="G27" s="102"/>
      <c r="H27" s="102"/>
      <c r="I27" s="102"/>
      <c r="J27" s="102"/>
      <c r="K27" s="102"/>
    </row>
    <row r="28" spans="6:11" x14ac:dyDescent="0.3">
      <c r="F28" s="8" t="s">
        <v>74</v>
      </c>
      <c r="G28" s="101">
        <v>11721987</v>
      </c>
      <c r="H28">
        <v>205229</v>
      </c>
      <c r="I28">
        <v>10011988</v>
      </c>
      <c r="J28">
        <v>0</v>
      </c>
      <c r="K28">
        <v>0</v>
      </c>
    </row>
    <row r="29" spans="6:11" x14ac:dyDescent="0.3">
      <c r="F29" s="2" t="s">
        <v>75</v>
      </c>
      <c r="G29" s="101">
        <v>2879190</v>
      </c>
      <c r="H29">
        <v>2554304</v>
      </c>
      <c r="I29">
        <v>2502997</v>
      </c>
      <c r="J29">
        <v>0</v>
      </c>
      <c r="K29">
        <v>0</v>
      </c>
    </row>
    <row r="30" spans="6:11" x14ac:dyDescent="0.3">
      <c r="F30" s="4" t="s">
        <v>20</v>
      </c>
      <c r="G30" s="102">
        <v>2014549025</v>
      </c>
      <c r="H30" s="58">
        <f>1642627361-205229+2554304</f>
        <v>1644976436</v>
      </c>
      <c r="I30" s="58">
        <f>1440192071+10011988-2502997</f>
        <v>1447701062</v>
      </c>
      <c r="J30" s="108">
        <f>J26</f>
        <v>1414050307</v>
      </c>
      <c r="K30" s="108">
        <f>K26</f>
        <v>1344769535</v>
      </c>
    </row>
    <row r="31" spans="6:11" x14ac:dyDescent="0.3">
      <c r="F31" s="2" t="s">
        <v>21</v>
      </c>
      <c r="G31" s="102">
        <v>31500000</v>
      </c>
      <c r="H31" s="58">
        <v>31500000</v>
      </c>
      <c r="I31" s="58">
        <v>31500000</v>
      </c>
      <c r="J31" s="108">
        <v>31500000</v>
      </c>
      <c r="K31" s="108">
        <v>31500000</v>
      </c>
    </row>
    <row r="32" spans="6:11" x14ac:dyDescent="0.3">
      <c r="F32" s="2"/>
      <c r="G32" s="101"/>
    </row>
    <row r="33" spans="6:11" x14ac:dyDescent="0.3">
      <c r="F33" s="4" t="s">
        <v>8</v>
      </c>
      <c r="G33" s="103">
        <f>G26/G31</f>
        <v>64.234661015873016</v>
      </c>
      <c r="H33" s="58">
        <v>52.14</v>
      </c>
      <c r="I33" s="58">
        <v>45.72</v>
      </c>
      <c r="J33" s="147">
        <f>J30/J31</f>
        <v>44.890485936507936</v>
      </c>
      <c r="K33" s="147">
        <f>K30/K31</f>
        <v>42.691096349206347</v>
      </c>
    </row>
    <row r="34" spans="6:11" x14ac:dyDescent="0.3">
      <c r="F34" s="2"/>
      <c r="G34" s="105"/>
    </row>
    <row r="36" spans="6:11" x14ac:dyDescent="0.3">
      <c r="J36" s="6"/>
      <c r="K36" s="6"/>
    </row>
    <row r="37" spans="6:11" x14ac:dyDescent="0.3">
      <c r="F37" s="58" t="s">
        <v>119</v>
      </c>
      <c r="G37" s="58">
        <v>13791469</v>
      </c>
      <c r="H37" s="108">
        <v>3288784</v>
      </c>
      <c r="I37" s="108">
        <v>1816132</v>
      </c>
      <c r="J37" s="58">
        <v>928127</v>
      </c>
      <c r="K37" s="58">
        <v>2502325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G56"/>
  <sheetViews>
    <sheetView showGridLines="0" topLeftCell="A16" zoomScaleSheetLayoutView="100" workbookViewId="0">
      <selection activeCell="I27" sqref="I27"/>
    </sheetView>
  </sheetViews>
  <sheetFormatPr defaultColWidth="8.88671875" defaultRowHeight="13.8" x14ac:dyDescent="0.3"/>
  <cols>
    <col min="1" max="1" width="2.6640625" style="12" customWidth="1"/>
    <col min="2" max="2" width="46.6640625" style="11" customWidth="1"/>
    <col min="3" max="4" width="17.5546875" style="11" customWidth="1"/>
    <col min="5" max="7" width="16.6640625" style="10" customWidth="1"/>
    <col min="8" max="16384" width="8.88671875" style="10"/>
  </cols>
  <sheetData>
    <row r="1" spans="1:7" ht="18" customHeight="1" x14ac:dyDescent="0.3">
      <c r="A1" s="12" t="s">
        <v>56</v>
      </c>
      <c r="B1" s="150" t="s">
        <v>874</v>
      </c>
      <c r="C1" s="150"/>
      <c r="D1" s="152" t="s">
        <v>55</v>
      </c>
    </row>
    <row r="2" spans="1:7" ht="14.4" thickBot="1" x14ac:dyDescent="0.35">
      <c r="A2" s="12" t="s">
        <v>54</v>
      </c>
      <c r="B2" s="151"/>
      <c r="C2" s="151"/>
      <c r="D2" s="153"/>
    </row>
    <row r="3" spans="1:7" ht="18.75" customHeight="1" thickTop="1" thickBot="1" x14ac:dyDescent="0.4">
      <c r="B3" s="46"/>
      <c r="C3" s="45"/>
      <c r="D3" s="45"/>
    </row>
    <row r="4" spans="1:7" ht="15" thickTop="1" x14ac:dyDescent="0.3">
      <c r="A4" s="12" t="s">
        <v>53</v>
      </c>
      <c r="B4" s="30" t="s">
        <v>52</v>
      </c>
      <c r="D4" s="44"/>
    </row>
    <row r="5" spans="1:7" x14ac:dyDescent="0.3">
      <c r="A5" s="12" t="s">
        <v>51</v>
      </c>
      <c r="B5" s="41" t="s">
        <v>50</v>
      </c>
      <c r="C5" s="40" t="s">
        <v>57</v>
      </c>
      <c r="D5" s="40" t="s">
        <v>120</v>
      </c>
      <c r="E5" s="109" t="s">
        <v>121</v>
      </c>
      <c r="F5" s="109" t="s">
        <v>129</v>
      </c>
      <c r="G5" s="109" t="s">
        <v>128</v>
      </c>
    </row>
    <row r="6" spans="1:7" x14ac:dyDescent="0.3">
      <c r="B6" s="39" t="s">
        <v>49</v>
      </c>
      <c r="C6" s="38">
        <v>383101877</v>
      </c>
      <c r="D6" s="38">
        <v>269743772</v>
      </c>
      <c r="E6" s="80">
        <v>166833748</v>
      </c>
      <c r="F6" s="110">
        <v>480524575</v>
      </c>
      <c r="G6" s="110">
        <v>191990392</v>
      </c>
    </row>
    <row r="7" spans="1:7" x14ac:dyDescent="0.3">
      <c r="B7" s="39" t="s">
        <v>48</v>
      </c>
      <c r="C7" s="38">
        <v>0</v>
      </c>
      <c r="D7" s="38">
        <v>0</v>
      </c>
      <c r="E7" s="80"/>
      <c r="F7" s="110">
        <v>847797172</v>
      </c>
      <c r="G7" s="110">
        <v>500000000</v>
      </c>
    </row>
    <row r="8" spans="1:7" x14ac:dyDescent="0.3">
      <c r="B8" s="39" t="s">
        <v>47</v>
      </c>
      <c r="C8" s="38">
        <v>1091494753</v>
      </c>
      <c r="D8" s="38">
        <v>1717322020</v>
      </c>
      <c r="E8" s="80">
        <v>1348927101</v>
      </c>
      <c r="F8" s="110">
        <v>1262292780</v>
      </c>
      <c r="G8" s="110">
        <v>1822852895</v>
      </c>
    </row>
    <row r="9" spans="1:7" x14ac:dyDescent="0.3">
      <c r="B9" s="39" t="s">
        <v>46</v>
      </c>
      <c r="C9" s="38">
        <v>22521632</v>
      </c>
      <c r="D9" s="38">
        <v>0</v>
      </c>
      <c r="E9" s="80"/>
      <c r="F9" s="80"/>
      <c r="G9" s="80"/>
    </row>
    <row r="10" spans="1:7" x14ac:dyDescent="0.3">
      <c r="B10" s="39" t="s">
        <v>83</v>
      </c>
      <c r="C10" s="38">
        <v>435633515</v>
      </c>
      <c r="D10" s="38">
        <v>1244197702</v>
      </c>
      <c r="E10" s="110">
        <v>1311435690</v>
      </c>
      <c r="F10" s="110">
        <v>169523023</v>
      </c>
      <c r="G10" s="110">
        <v>49507281</v>
      </c>
    </row>
    <row r="11" spans="1:7" x14ac:dyDescent="0.3">
      <c r="B11" s="39" t="s">
        <v>32</v>
      </c>
      <c r="C11" s="38">
        <v>2067670160</v>
      </c>
      <c r="D11" s="38">
        <v>610794216</v>
      </c>
      <c r="E11" s="80">
        <v>193377297</v>
      </c>
      <c r="F11" s="80">
        <v>13458959</v>
      </c>
      <c r="G11" s="80">
        <v>14021076</v>
      </c>
    </row>
    <row r="12" spans="1:7" x14ac:dyDescent="0.3">
      <c r="B12" s="111" t="s">
        <v>44</v>
      </c>
      <c r="C12" s="112">
        <f>SUBTOTAL(109,CurrentAssets32[2019])</f>
        <v>4000421937</v>
      </c>
      <c r="D12" s="112">
        <f>SUBTOTAL(109,CurrentAssets32[2018])</f>
        <v>3842057710</v>
      </c>
      <c r="E12" s="112">
        <f>SUBTOTAL(109,CurrentAssets32[2017])</f>
        <v>3020573836</v>
      </c>
      <c r="F12" s="112">
        <f>SUBTOTAL(109,CurrentAssets32[2016])</f>
        <v>2773596509</v>
      </c>
      <c r="G12" s="112">
        <f>SUBTOTAL(109,CurrentAssets32[2015])</f>
        <v>2578371644</v>
      </c>
    </row>
    <row r="13" spans="1:7" x14ac:dyDescent="0.3">
      <c r="B13" s="10"/>
      <c r="C13" s="10"/>
      <c r="D13" s="10"/>
    </row>
    <row r="14" spans="1:7" x14ac:dyDescent="0.3">
      <c r="A14" s="12" t="s">
        <v>43</v>
      </c>
      <c r="B14" s="41" t="s">
        <v>42</v>
      </c>
      <c r="C14" s="40" t="s">
        <v>57</v>
      </c>
      <c r="D14" s="40" t="s">
        <v>120</v>
      </c>
      <c r="E14" s="82" t="s">
        <v>121</v>
      </c>
      <c r="F14" s="82" t="s">
        <v>129</v>
      </c>
      <c r="G14" s="82" t="s">
        <v>128</v>
      </c>
    </row>
    <row r="15" spans="1:7" x14ac:dyDescent="0.3">
      <c r="B15" s="39" t="s">
        <v>41</v>
      </c>
      <c r="C15" s="38">
        <v>468716557</v>
      </c>
      <c r="D15" s="38">
        <v>511585227</v>
      </c>
      <c r="E15" s="80">
        <v>593536255</v>
      </c>
      <c r="F15" s="110">
        <v>595760075</v>
      </c>
      <c r="G15" s="110">
        <v>731713275</v>
      </c>
    </row>
    <row r="16" spans="1:7" x14ac:dyDescent="0.3">
      <c r="B16" s="39" t="s">
        <v>84</v>
      </c>
      <c r="C16" s="38">
        <v>3647084</v>
      </c>
      <c r="D16" s="38">
        <v>6188057</v>
      </c>
      <c r="E16" s="80">
        <v>9118422</v>
      </c>
      <c r="F16" s="110">
        <v>13142320</v>
      </c>
      <c r="G16" s="110">
        <v>7284910</v>
      </c>
    </row>
    <row r="17" spans="1:7" x14ac:dyDescent="0.3">
      <c r="B17" s="39" t="s">
        <v>85</v>
      </c>
      <c r="C17" s="38">
        <v>47513604</v>
      </c>
      <c r="D17" s="38">
        <v>58510013</v>
      </c>
      <c r="E17" s="80">
        <v>76756882</v>
      </c>
      <c r="F17" s="110">
        <v>81632588</v>
      </c>
      <c r="G17" s="110">
        <v>33726602</v>
      </c>
    </row>
    <row r="18" spans="1:7" x14ac:dyDescent="0.3">
      <c r="B18" s="39" t="s">
        <v>83</v>
      </c>
      <c r="C18" s="38">
        <v>51127555</v>
      </c>
      <c r="D18" s="38">
        <v>34928937</v>
      </c>
      <c r="E18" s="110">
        <v>41208034</v>
      </c>
      <c r="F18" s="110">
        <v>2706000</v>
      </c>
      <c r="G18" s="110">
        <v>2835912</v>
      </c>
    </row>
    <row r="19" spans="1:7" x14ac:dyDescent="0.3">
      <c r="B19" s="39" t="s">
        <v>86</v>
      </c>
      <c r="C19" s="38">
        <v>4921872</v>
      </c>
      <c r="D19" s="38">
        <v>5138448</v>
      </c>
      <c r="E19" s="110">
        <v>10366331</v>
      </c>
      <c r="F19" s="80"/>
      <c r="G19" s="80"/>
    </row>
    <row r="20" spans="1:7" x14ac:dyDescent="0.3">
      <c r="B20" s="95" t="s">
        <v>40</v>
      </c>
      <c r="C20" s="96">
        <f>SUBTOTAL(109,FixedAssets27[2019])</f>
        <v>575926672</v>
      </c>
      <c r="D20" s="96">
        <f>SUBTOTAL(109,FixedAssets27[2018])</f>
        <v>616350682</v>
      </c>
      <c r="E20" s="96">
        <f>SUBTOTAL(109,FixedAssets27[2017])</f>
        <v>730985924</v>
      </c>
      <c r="F20" s="96">
        <f>SUBTOTAL(109,FixedAssets27[2016])</f>
        <v>693240983</v>
      </c>
      <c r="G20" s="96">
        <f>SUBTOTAL(109,FixedAssets27[2015])</f>
        <v>775560699</v>
      </c>
    </row>
    <row r="21" spans="1:7" x14ac:dyDescent="0.3">
      <c r="A21" s="12" t="s">
        <v>39</v>
      </c>
      <c r="B21" s="10"/>
      <c r="C21" s="10"/>
      <c r="D21" s="10"/>
    </row>
    <row r="22" spans="1:7" x14ac:dyDescent="0.3">
      <c r="B22" s="41" t="s">
        <v>82</v>
      </c>
      <c r="C22" s="40" t="s">
        <v>57</v>
      </c>
      <c r="D22" s="40" t="s">
        <v>120</v>
      </c>
      <c r="E22" s="81" t="s">
        <v>121</v>
      </c>
      <c r="F22" s="81" t="s">
        <v>129</v>
      </c>
      <c r="G22" s="81" t="s">
        <v>128</v>
      </c>
    </row>
    <row r="23" spans="1:7" x14ac:dyDescent="0.3">
      <c r="B23" s="39" t="s">
        <v>81</v>
      </c>
      <c r="C23" s="38">
        <v>0</v>
      </c>
      <c r="D23" s="38">
        <v>0</v>
      </c>
      <c r="E23" s="80"/>
      <c r="F23" s="80"/>
      <c r="G23" s="80"/>
    </row>
    <row r="24" spans="1:7" ht="14.4" x14ac:dyDescent="0.3">
      <c r="B24" s="37" t="s">
        <v>80</v>
      </c>
      <c r="C24" s="36">
        <f>SUBTOTAL(109,OtherAssets[2019])</f>
        <v>0</v>
      </c>
      <c r="D24" s="36"/>
      <c r="E24" s="85"/>
      <c r="F24" s="146"/>
      <c r="G24" s="146"/>
    </row>
    <row r="25" spans="1:7" x14ac:dyDescent="0.3">
      <c r="A25" s="12" t="s">
        <v>38</v>
      </c>
      <c r="B25" s="35"/>
      <c r="C25" s="29"/>
      <c r="D25" s="28"/>
    </row>
    <row r="26" spans="1:7" ht="18.75" customHeight="1" thickBot="1" x14ac:dyDescent="0.4">
      <c r="B26" s="34" t="s">
        <v>37</v>
      </c>
      <c r="C26" s="55">
        <f>OtherAssets[[#Totals],[2019]]+FixedAssets27[[#Totals],[2019]]+CurrentAssets32[[#Totals],[2019]]</f>
        <v>4576348609</v>
      </c>
      <c r="D26" s="55">
        <f>CurrentAssets32[[#Totals],[2018]]+FixedAssets27[[#Totals],[2018]]</f>
        <v>4458408392</v>
      </c>
      <c r="E26" s="55">
        <f>CurrentAssets32[[#Totals],[2017]]+FixedAssets27[[#Totals],[2017]]</f>
        <v>3751559760</v>
      </c>
      <c r="F26" s="55">
        <f>CurrentAssets32[[#Totals],[2016]]+FixedAssets27[[#Totals],[2016]]</f>
        <v>3466837492</v>
      </c>
      <c r="G26" s="55">
        <f>CurrentAssets32[[#Totals],[2015]]+FixedAssets27[[#Totals],[2015]]</f>
        <v>3353932343</v>
      </c>
    </row>
    <row r="27" spans="1:7" ht="18.600000000000001" thickTop="1" thickBot="1" x14ac:dyDescent="0.4">
      <c r="A27" s="12" t="s">
        <v>36</v>
      </c>
      <c r="B27" s="32"/>
      <c r="C27" s="31"/>
      <c r="D27" s="31"/>
    </row>
    <row r="28" spans="1:7" ht="15" thickTop="1" x14ac:dyDescent="0.3">
      <c r="A28" s="12" t="s">
        <v>34</v>
      </c>
      <c r="B28" s="30" t="s">
        <v>35</v>
      </c>
      <c r="C28" s="29"/>
      <c r="D28" s="28"/>
    </row>
    <row r="29" spans="1:7" x14ac:dyDescent="0.3">
      <c r="B29" s="27" t="s">
        <v>33</v>
      </c>
      <c r="C29" s="26" t="s">
        <v>57</v>
      </c>
      <c r="D29" s="26" t="s">
        <v>120</v>
      </c>
      <c r="E29" s="79" t="s">
        <v>121</v>
      </c>
      <c r="F29" s="79" t="s">
        <v>129</v>
      </c>
      <c r="G29" s="79" t="s">
        <v>128</v>
      </c>
    </row>
    <row r="30" spans="1:7" x14ac:dyDescent="0.3">
      <c r="B30" s="25" t="s">
        <v>79</v>
      </c>
      <c r="C30" s="24">
        <v>200000000</v>
      </c>
      <c r="D30" s="24">
        <v>300000000</v>
      </c>
      <c r="E30" s="113">
        <v>0</v>
      </c>
      <c r="F30" s="78"/>
      <c r="G30" s="78"/>
    </row>
    <row r="31" spans="1:7" x14ac:dyDescent="0.3">
      <c r="B31" s="25" t="s">
        <v>87</v>
      </c>
      <c r="C31" s="24">
        <v>9665787</v>
      </c>
      <c r="D31" s="24">
        <v>6984584</v>
      </c>
      <c r="E31" s="78">
        <v>5220211</v>
      </c>
      <c r="F31" s="78"/>
      <c r="G31" s="78"/>
    </row>
    <row r="32" spans="1:7" x14ac:dyDescent="0.3">
      <c r="B32" s="25" t="s">
        <v>88</v>
      </c>
      <c r="C32" s="24">
        <v>2539270784</v>
      </c>
      <c r="D32" s="24">
        <v>2222763532</v>
      </c>
      <c r="E32" s="78">
        <v>1740557065</v>
      </c>
      <c r="F32" s="113">
        <v>1283487511</v>
      </c>
      <c r="G32" s="113">
        <v>1245243909</v>
      </c>
    </row>
    <row r="33" spans="1:7" x14ac:dyDescent="0.3">
      <c r="B33" s="25" t="s">
        <v>89</v>
      </c>
      <c r="C33" s="24">
        <v>460368335</v>
      </c>
      <c r="D33" s="24">
        <v>386211784</v>
      </c>
      <c r="E33" s="78">
        <v>381918199</v>
      </c>
      <c r="F33" s="113">
        <v>423337033</v>
      </c>
      <c r="G33" s="113">
        <v>365667085</v>
      </c>
    </row>
    <row r="34" spans="1:7" x14ac:dyDescent="0.3">
      <c r="B34" s="93" t="s">
        <v>65</v>
      </c>
      <c r="C34" s="94">
        <v>0</v>
      </c>
      <c r="D34" s="94">
        <v>0</v>
      </c>
      <c r="E34" s="78">
        <v>0</v>
      </c>
      <c r="F34" s="113">
        <v>5183998</v>
      </c>
      <c r="G34" s="113">
        <v>2646276</v>
      </c>
    </row>
    <row r="35" spans="1:7" x14ac:dyDescent="0.3">
      <c r="B35" s="93" t="s">
        <v>134</v>
      </c>
      <c r="C35" s="94">
        <v>0</v>
      </c>
      <c r="D35" s="94">
        <v>0</v>
      </c>
      <c r="E35" s="78">
        <v>0</v>
      </c>
      <c r="F35" s="113">
        <v>1844907</v>
      </c>
      <c r="G35" s="113">
        <v>1310915</v>
      </c>
    </row>
    <row r="36" spans="1:7" x14ac:dyDescent="0.3">
      <c r="B36" s="48" t="s">
        <v>31</v>
      </c>
      <c r="C36" s="49">
        <f>SUBTOTAL(109,CurrentLiabilities29[2019])</f>
        <v>3209304906</v>
      </c>
      <c r="D36" s="49">
        <f>SUBTOTAL(109,CurrentLiabilities29[2018])</f>
        <v>2915959900</v>
      </c>
      <c r="E36" s="49">
        <f>SUBTOTAL(109,CurrentLiabilities29[2017])</f>
        <v>2127695475</v>
      </c>
      <c r="F36" s="49">
        <f>SUBTOTAL(109,CurrentLiabilities29[2016])</f>
        <v>1713853449</v>
      </c>
      <c r="G36" s="49">
        <f>SUBTOTAL(109,CurrentLiabilities29[2015])</f>
        <v>1614868185</v>
      </c>
    </row>
    <row r="37" spans="1:7" x14ac:dyDescent="0.3">
      <c r="A37" s="12" t="s">
        <v>30</v>
      </c>
      <c r="B37" s="10"/>
      <c r="C37" s="10"/>
      <c r="D37" s="10"/>
    </row>
    <row r="38" spans="1:7" x14ac:dyDescent="0.3">
      <c r="B38" s="27" t="s">
        <v>78</v>
      </c>
      <c r="C38" s="26" t="s">
        <v>57</v>
      </c>
      <c r="D38" s="26" t="s">
        <v>120</v>
      </c>
      <c r="E38" s="79" t="s">
        <v>121</v>
      </c>
      <c r="F38" s="79" t="s">
        <v>129</v>
      </c>
      <c r="G38" s="79" t="s">
        <v>128</v>
      </c>
    </row>
    <row r="39" spans="1:7" x14ac:dyDescent="0.3">
      <c r="B39" s="25" t="s">
        <v>87</v>
      </c>
      <c r="C39" s="24">
        <v>64907949</v>
      </c>
      <c r="D39" s="24">
        <v>49861763</v>
      </c>
      <c r="E39" s="78">
        <v>44296120</v>
      </c>
      <c r="F39" s="78"/>
      <c r="G39" s="78"/>
    </row>
    <row r="40" spans="1:7" x14ac:dyDescent="0.3">
      <c r="B40" s="56" t="s">
        <v>77</v>
      </c>
      <c r="C40" s="57">
        <v>64907949</v>
      </c>
      <c r="D40" s="57">
        <v>49861763</v>
      </c>
      <c r="E40" s="114">
        <v>44296120</v>
      </c>
      <c r="F40" s="115">
        <v>44263099</v>
      </c>
      <c r="G40" s="115">
        <v>26893521</v>
      </c>
    </row>
    <row r="41" spans="1:7" x14ac:dyDescent="0.3">
      <c r="A41" s="12" t="s">
        <v>29</v>
      </c>
      <c r="B41" s="48" t="s">
        <v>90</v>
      </c>
      <c r="C41" s="49">
        <f>C40+C36</f>
        <v>3274212855</v>
      </c>
      <c r="D41" s="49">
        <f t="shared" ref="D41:G41" si="0">D40+D36</f>
        <v>2965821663</v>
      </c>
      <c r="E41" s="49">
        <f t="shared" si="0"/>
        <v>2171991595</v>
      </c>
      <c r="F41" s="49">
        <f t="shared" si="0"/>
        <v>1758116548</v>
      </c>
      <c r="G41" s="49">
        <f t="shared" si="0"/>
        <v>1641761706</v>
      </c>
    </row>
    <row r="42" spans="1:7" x14ac:dyDescent="0.3">
      <c r="B42" s="10"/>
      <c r="C42" s="10"/>
      <c r="D42" s="10"/>
    </row>
    <row r="43" spans="1:7" x14ac:dyDescent="0.3">
      <c r="B43" s="27" t="s">
        <v>28</v>
      </c>
      <c r="C43" s="26" t="s">
        <v>57</v>
      </c>
      <c r="D43" s="26" t="s">
        <v>120</v>
      </c>
      <c r="E43" s="79" t="s">
        <v>121</v>
      </c>
      <c r="F43" s="79" t="s">
        <v>129</v>
      </c>
      <c r="G43" s="79" t="s">
        <v>128</v>
      </c>
    </row>
    <row r="44" spans="1:7" x14ac:dyDescent="0.3">
      <c r="B44" s="25" t="s">
        <v>91</v>
      </c>
      <c r="C44" s="24">
        <v>315000000</v>
      </c>
      <c r="D44" s="24">
        <v>315000000</v>
      </c>
      <c r="E44" s="78">
        <v>315000000</v>
      </c>
      <c r="F44" s="78">
        <v>315000000</v>
      </c>
      <c r="G44" s="78">
        <v>315000000</v>
      </c>
    </row>
    <row r="45" spans="1:7" x14ac:dyDescent="0.3">
      <c r="B45" s="25" t="s">
        <v>92</v>
      </c>
      <c r="C45" s="24">
        <v>252000000</v>
      </c>
      <c r="D45" s="24">
        <v>252000000</v>
      </c>
      <c r="E45" s="78">
        <v>252000000</v>
      </c>
      <c r="F45" s="78">
        <v>252000000</v>
      </c>
      <c r="G45" s="78">
        <v>252000000</v>
      </c>
    </row>
    <row r="46" spans="1:7" x14ac:dyDescent="0.3">
      <c r="A46" s="12" t="s">
        <v>24</v>
      </c>
      <c r="B46" s="25" t="s">
        <v>93</v>
      </c>
      <c r="C46" s="24">
        <v>735135754</v>
      </c>
      <c r="D46" s="24">
        <v>925586729</v>
      </c>
      <c r="E46" s="78">
        <v>1013110293</v>
      </c>
      <c r="F46" s="113">
        <v>1141720944</v>
      </c>
      <c r="G46" s="113">
        <v>1145170637</v>
      </c>
    </row>
    <row r="47" spans="1:7" x14ac:dyDescent="0.3">
      <c r="B47" s="48" t="s">
        <v>25</v>
      </c>
      <c r="C47" s="49">
        <f>SUBTOTAL(109,OwnersEquity31[2019])</f>
        <v>1302135754</v>
      </c>
      <c r="D47" s="49">
        <f>SUBTOTAL(109,OwnersEquity31[2018])</f>
        <v>1492586729</v>
      </c>
      <c r="E47" s="49">
        <f>SUBTOTAL(109,OwnersEquity31[2017])</f>
        <v>1580110293</v>
      </c>
      <c r="F47" s="49">
        <f>SUBTOTAL(109,OwnersEquity31[2016])</f>
        <v>1708720944</v>
      </c>
      <c r="G47" s="49">
        <f>SUBTOTAL(109,OwnersEquity31[2015])</f>
        <v>1712170637</v>
      </c>
    </row>
    <row r="48" spans="1:7" x14ac:dyDescent="0.3">
      <c r="B48" s="21"/>
      <c r="C48" s="20"/>
      <c r="D48" s="19"/>
    </row>
    <row r="49" spans="1:7" ht="18" thickBot="1" x14ac:dyDescent="0.4">
      <c r="A49" s="12" t="s">
        <v>22</v>
      </c>
      <c r="B49" s="18" t="s">
        <v>23</v>
      </c>
      <c r="C49" s="50">
        <f>C41+C47</f>
        <v>4576348609</v>
      </c>
      <c r="D49" s="50">
        <f t="shared" ref="D49:G49" si="1">D41+D47</f>
        <v>4458408392</v>
      </c>
      <c r="E49" s="50">
        <f t="shared" si="1"/>
        <v>3752101888</v>
      </c>
      <c r="F49" s="50">
        <f t="shared" si="1"/>
        <v>3466837492</v>
      </c>
      <c r="G49" s="50">
        <f t="shared" si="1"/>
        <v>3353932343</v>
      </c>
    </row>
    <row r="50" spans="1:7" ht="14.4" thickTop="1" x14ac:dyDescent="0.3">
      <c r="C50" s="16"/>
      <c r="D50" s="15"/>
    </row>
    <row r="52" spans="1:7" ht="17.399999999999999" x14ac:dyDescent="0.35">
      <c r="B52" s="14"/>
      <c r="C52" s="13"/>
      <c r="D52" s="86"/>
    </row>
    <row r="55" spans="1:7" x14ac:dyDescent="0.3">
      <c r="C55" s="75">
        <v>2019</v>
      </c>
      <c r="D55" s="75">
        <v>2018</v>
      </c>
      <c r="E55" s="75">
        <v>2017</v>
      </c>
      <c r="F55" s="75">
        <v>2016</v>
      </c>
      <c r="G55" s="75">
        <v>2015</v>
      </c>
    </row>
    <row r="56" spans="1:7" x14ac:dyDescent="0.3">
      <c r="B56" s="75" t="s">
        <v>118</v>
      </c>
      <c r="C56" s="116">
        <v>3613588200</v>
      </c>
      <c r="D56" s="116">
        <v>4295648954</v>
      </c>
      <c r="E56" s="116">
        <v>3500119232</v>
      </c>
      <c r="F56" s="116">
        <v>3033620119</v>
      </c>
      <c r="G56" s="116">
        <v>4654268420</v>
      </c>
    </row>
  </sheetData>
  <mergeCells count="2">
    <mergeCell ref="B1:C2"/>
    <mergeCell ref="D1:D2"/>
  </mergeCells>
  <phoneticPr fontId="18" type="noConversion"/>
  <conditionalFormatting sqref="C52:D52">
    <cfRule type="cellIs" dxfId="0" priority="1" operator="lessThan">
      <formula>0</formula>
    </cfRule>
  </conditionalFormatting>
  <printOptions horizontalCentered="1" verticalCentered="1"/>
  <pageMargins left="0.5" right="0.5" top="0.5" bottom="0.5" header="0.5" footer="0.5"/>
  <pageSetup orientation="portrait" horizontalDpi="4294967294" r:id="rId1"/>
  <headerFooter alignWithMargins="0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D12:J33"/>
  <sheetViews>
    <sheetView topLeftCell="A19" workbookViewId="0">
      <selection activeCell="T48" sqref="T48"/>
    </sheetView>
  </sheetViews>
  <sheetFormatPr defaultRowHeight="14.4" x14ac:dyDescent="0.3"/>
  <cols>
    <col min="4" max="4" width="21.44140625" customWidth="1"/>
    <col min="5" max="5" width="9.88671875" customWidth="1"/>
    <col min="6" max="6" width="12" bestFit="1" customWidth="1"/>
    <col min="7" max="7" width="11" bestFit="1" customWidth="1"/>
    <col min="8" max="9" width="11" customWidth="1"/>
  </cols>
  <sheetData>
    <row r="12" spans="4:9" ht="21" x14ac:dyDescent="0.4">
      <c r="D12" s="107" t="s">
        <v>885</v>
      </c>
    </row>
    <row r="14" spans="4:9" x14ac:dyDescent="0.3">
      <c r="D14" s="60" t="s">
        <v>98</v>
      </c>
      <c r="E14" s="61" t="s">
        <v>57</v>
      </c>
      <c r="F14" s="117">
        <v>2018</v>
      </c>
      <c r="G14" s="117">
        <v>2017</v>
      </c>
      <c r="H14" s="117">
        <v>2016</v>
      </c>
      <c r="I14" s="117">
        <v>2015</v>
      </c>
    </row>
    <row r="15" spans="4:9" x14ac:dyDescent="0.3">
      <c r="D15" s="68" t="s">
        <v>99</v>
      </c>
      <c r="E15" s="63"/>
    </row>
    <row r="16" spans="4:9" x14ac:dyDescent="0.3">
      <c r="D16" s="64" t="s">
        <v>100</v>
      </c>
      <c r="E16" s="69">
        <f>Sheet2!G13/Sheet2!G11</f>
        <v>0.4898932783382976</v>
      </c>
      <c r="F16" s="69">
        <f>Sheet2!H13/Sheet2!H11</f>
        <v>0.45877136496462051</v>
      </c>
      <c r="G16" s="69">
        <f>Sheet2!I13/Sheet2!I11</f>
        <v>0.46352910189551155</v>
      </c>
      <c r="H16" s="69">
        <f>Sheet2!J13/Sheet2!J11</f>
        <v>0.47068365046765309</v>
      </c>
      <c r="I16" s="69">
        <f>Sheet2!K13/Sheet2!K11</f>
        <v>0.44989842577674127</v>
      </c>
    </row>
    <row r="17" spans="4:10" x14ac:dyDescent="0.3">
      <c r="D17" s="62" t="s">
        <v>101</v>
      </c>
      <c r="E17" s="70">
        <f>Sheet2!G18/Sheet2!G11</f>
        <v>0.29556338219332828</v>
      </c>
      <c r="F17" s="70">
        <f>Sheet2!H18/Sheet2!H11</f>
        <v>0.27333769992016826</v>
      </c>
      <c r="G17" s="70">
        <f>Sheet2!I18/Sheet2!I11</f>
        <v>0.26871323910097439</v>
      </c>
      <c r="H17" s="70">
        <f>Sheet2!J18/Sheet2!J11</f>
        <v>0.24656474840565668</v>
      </c>
      <c r="I17" s="70">
        <f>Sheet2!K18/Sheet2!K11</f>
        <v>0.23511730290375069</v>
      </c>
    </row>
    <row r="18" spans="4:10" x14ac:dyDescent="0.3">
      <c r="D18" s="64" t="s">
        <v>102</v>
      </c>
      <c r="E18" s="65">
        <v>64.23</v>
      </c>
      <c r="F18" s="65">
        <f>Sheet2!H33</f>
        <v>52.14</v>
      </c>
      <c r="G18" s="65">
        <f>Sheet2!I33</f>
        <v>45.72</v>
      </c>
      <c r="H18" s="119">
        <f>Sheet2!J33</f>
        <v>44.890485936507936</v>
      </c>
      <c r="I18" s="119">
        <f>Sheet2!K33</f>
        <v>42.691096349206347</v>
      </c>
    </row>
    <row r="19" spans="4:10" x14ac:dyDescent="0.3">
      <c r="D19" s="62" t="s">
        <v>103</v>
      </c>
      <c r="E19" s="70">
        <f>Sheet2!G26/'Balance sheet (2)'!C26</f>
        <v>0.44214110306647753</v>
      </c>
      <c r="F19" s="70">
        <f>Sheet2!H26/'Balance sheet (2)'!D26</f>
        <v>0.36843357911030955</v>
      </c>
      <c r="G19" s="70">
        <f>Sheet2!I26/'Balance sheet (2)'!E26</f>
        <v>0.38389154461983033</v>
      </c>
      <c r="H19" s="70">
        <f>Sheet2!J26/'Balance sheet (2)'!F26</f>
        <v>0.40787902815261234</v>
      </c>
      <c r="I19" s="70">
        <f>Sheet2!K26/'Balance sheet (2)'!G26</f>
        <v>0.4009530895298683</v>
      </c>
    </row>
    <row r="20" spans="4:10" x14ac:dyDescent="0.3">
      <c r="D20" s="64" t="s">
        <v>104</v>
      </c>
      <c r="E20" s="74">
        <f>Sheet2!G26/OwnersEquity31[[#Totals],[2019]]</f>
        <v>1.5539023606289826</v>
      </c>
      <c r="F20" s="74">
        <f>Sheet2!H26/OwnersEquity31[[#Totals],[2018]]</f>
        <v>1.1005238952516507</v>
      </c>
      <c r="G20" s="74">
        <f>Sheet2!I26/OwnersEquity31[[#Totals],[2017]]</f>
        <v>0.91145034456148566</v>
      </c>
      <c r="H20" s="74">
        <f>Sheet2!J26/OwnersEquity31[[#Totals],[2016]]</f>
        <v>0.82754899913019386</v>
      </c>
      <c r="I20" s="74">
        <f>Sheet2!K26/OwnersEquity31[[#Totals],[2015]]</f>
        <v>0.78541794020965916</v>
      </c>
    </row>
    <row r="21" spans="4:10" x14ac:dyDescent="0.3">
      <c r="D21" s="68" t="s">
        <v>95</v>
      </c>
      <c r="E21" s="63"/>
    </row>
    <row r="22" spans="4:10" x14ac:dyDescent="0.3">
      <c r="D22" s="64" t="s">
        <v>106</v>
      </c>
      <c r="E22" s="65">
        <f>CurrentAssets32[[#Totals],[2019]]/CurrentLiabilities29[[#Totals],[2019]]</f>
        <v>1.2465072824713401</v>
      </c>
      <c r="F22" s="65">
        <f>CurrentAssets32[[#Totals],[2018]]/CurrentLiabilities29[[#Totals],[2018]]</f>
        <v>1.3175962090562356</v>
      </c>
      <c r="G22" s="65">
        <f>CurrentAssets32[[#Totals],[2017]]/CurrentLiabilities29[[#Totals],[2017]]</f>
        <v>1.4196457488823677</v>
      </c>
      <c r="H22" s="65">
        <f>CurrentAssets32[[#Totals],[2016]]/CurrentLiabilities29[[#Totals],[2016]]</f>
        <v>1.6183393688756407</v>
      </c>
      <c r="I22" s="65">
        <f>CurrentAssets32[[#Totals],[2015]]/CurrentLiabilities29[[#Totals],[2015]]</f>
        <v>1.5966452667466478</v>
      </c>
    </row>
    <row r="23" spans="4:10" x14ac:dyDescent="0.3">
      <c r="D23" s="62" t="s">
        <v>105</v>
      </c>
      <c r="E23" s="71">
        <f>(CurrentAssets32[[#Totals],[2019]]-'Balance sheet (2)'!C8)/CurrentLiabilities29[[#Totals],[2019]]</f>
        <v>0.90640411840008572</v>
      </c>
      <c r="F23" s="71">
        <f>(CurrentAssets32[[#Totals],[2018]]-'Balance sheet (2)'!D8)/CurrentLiabilities29[[#Totals],[2018]]</f>
        <v>0.72865737625541416</v>
      </c>
      <c r="G23" s="71">
        <f>(CurrentAssets32[[#Totals],[2017]]-'Balance sheet (2)'!E8)/CurrentLiabilities29[[#Totals],[2017]]</f>
        <v>0.78566070880044525</v>
      </c>
      <c r="H23" s="71">
        <f>(CurrentAssets32[[#Totals],[2016]]-'Balance sheet (2)'!F8)/CurrentLiabilities29[[#Totals],[2016]]</f>
        <v>0.88181619605912986</v>
      </c>
      <c r="I23" s="71">
        <f>(CurrentAssets32[[#Totals],[2015]]-'Balance sheet (2)'!G8)/CurrentLiabilities29[[#Totals],[2015]]</f>
        <v>0.46785165254834715</v>
      </c>
    </row>
    <row r="24" spans="4:10" x14ac:dyDescent="0.3">
      <c r="D24" s="72" t="s">
        <v>96</v>
      </c>
      <c r="E24" s="65"/>
    </row>
    <row r="25" spans="4:10" x14ac:dyDescent="0.3">
      <c r="D25" s="62" t="s">
        <v>107</v>
      </c>
      <c r="E25" s="71">
        <f>Sheet2!G12/'Balance sheet (2)'!C8</f>
        <v>4.0977727201222747</v>
      </c>
      <c r="F25" s="71">
        <f>Sheet2!H12/'Balance sheet (2)'!D8</f>
        <v>2.4628576345862032</v>
      </c>
      <c r="G25" s="71">
        <f>Sheet2!I12/'Balance sheet (2)'!E8</f>
        <v>2.7505501981904357</v>
      </c>
      <c r="H25" s="71">
        <f>Sheet2!J12/'Balance sheet (2)'!F8</f>
        <v>3.0775776179279104</v>
      </c>
      <c r="I25" s="71">
        <f>Sheet2!K12/'Balance sheet (2)'!G8</f>
        <v>2.2177330228284822</v>
      </c>
    </row>
    <row r="26" spans="4:10" x14ac:dyDescent="0.3">
      <c r="D26" s="64" t="s">
        <v>108</v>
      </c>
      <c r="E26" s="73">
        <f>'Balance sheet (2)'!C9/(Sheet2!G11/365)</f>
        <v>0.93752800480615495</v>
      </c>
      <c r="F26" s="73">
        <f>'Balance sheet (2)'!D9/(Sheet2!H11/365)</f>
        <v>0</v>
      </c>
      <c r="G26" s="73">
        <f>'Balance sheet (2)'!E9/(Sheet2!I11/365)</f>
        <v>0</v>
      </c>
      <c r="H26" s="73">
        <f>'Balance sheet (2)'!F9/(Sheet2!J11/365)</f>
        <v>0</v>
      </c>
      <c r="I26" s="73">
        <f>'Balance sheet (2)'!G9/(Sheet2!K11/365)</f>
        <v>0</v>
      </c>
    </row>
    <row r="27" spans="4:10" x14ac:dyDescent="0.3">
      <c r="D27" s="62" t="s">
        <v>109</v>
      </c>
      <c r="E27" s="71">
        <f>'Balance sheet (2)'!C32/('Balance sheet (2)'!C56/365)</f>
        <v>256.48573795984834</v>
      </c>
      <c r="F27" s="71">
        <f>'Balance sheet (2)'!D32/('Balance sheet (2)'!D56/365)</f>
        <v>188.86754897057634</v>
      </c>
      <c r="G27" s="71">
        <f>'Balance sheet (2)'!E32/('Balance sheet (2)'!E56/365)</f>
        <v>181.50905343929725</v>
      </c>
      <c r="H27" s="71">
        <f>'Balance sheet (2)'!F32/('Balance sheet (2)'!F56/365)</f>
        <v>154.42702880986531</v>
      </c>
      <c r="I27" s="71">
        <f>'Balance sheet (2)'!G32/('Balance sheet (2)'!G56/365)</f>
        <v>97.655310302236501</v>
      </c>
      <c r="J27" s="71"/>
    </row>
    <row r="28" spans="4:10" x14ac:dyDescent="0.3">
      <c r="D28" s="64" t="s">
        <v>110</v>
      </c>
      <c r="E28" s="73">
        <f>Sheet2!G11/'Balance sheet (2)'!C26</f>
        <v>1.9159729485547152</v>
      </c>
      <c r="F28" s="73">
        <f>Sheet2!H11/'Balance sheet (2)'!D26</f>
        <v>1.7527922056270884</v>
      </c>
      <c r="G28" s="73">
        <f>Sheet2!I11/'Balance sheet (2)'!E26</f>
        <v>1.8435291909091167</v>
      </c>
      <c r="H28" s="73">
        <f>Sheet2!J11/'Balance sheet (2)'!F26</f>
        <v>2.1169973761204495</v>
      </c>
      <c r="I28" s="73">
        <f>Sheet2!K11/'Balance sheet (2)'!G26</f>
        <v>2.191107575064164</v>
      </c>
    </row>
    <row r="29" spans="4:10" x14ac:dyDescent="0.3">
      <c r="D29" s="68" t="s">
        <v>114</v>
      </c>
      <c r="E29" s="63"/>
    </row>
    <row r="30" spans="4:10" x14ac:dyDescent="0.3">
      <c r="D30" s="64" t="s">
        <v>115</v>
      </c>
      <c r="E30" s="73">
        <f>LongTermLiabilities30[[#Totals],[2019]]/'Balance sheet (2)'!C26</f>
        <v>0.71546403798015379</v>
      </c>
      <c r="F30" s="73">
        <f>LongTermLiabilities30[[#Totals],[2018]]/'Balance sheet (2)'!D26</f>
        <v>0.66521982784748002</v>
      </c>
      <c r="G30" s="73">
        <f>LongTermLiabilities30[[#Totals],[2017]]/'Balance sheet (2)'!E26</f>
        <v>0.57895694962886579</v>
      </c>
      <c r="H30" s="73">
        <f>LongTermLiabilities30[[#Totals],[2016]]/'Balance sheet (2)'!F26</f>
        <v>0.50712401491474346</v>
      </c>
      <c r="I30" s="73">
        <f>LongTermLiabilities30[[#Totals],[2015]]/'Balance sheet (2)'!G26</f>
        <v>0.48950352544425191</v>
      </c>
    </row>
    <row r="31" spans="4:10" x14ac:dyDescent="0.3">
      <c r="D31" s="62" t="s">
        <v>116</v>
      </c>
      <c r="E31" s="63">
        <f>(Sheet2!G37+Sheet2!G22)/Sheet2!G37</f>
        <v>200.38009105483977</v>
      </c>
      <c r="F31" s="63">
        <f>(Sheet2!H37+Sheet2!H22)/Sheet2!H37</f>
        <v>683.24160449576505</v>
      </c>
      <c r="G31" s="63">
        <f>(Sheet2!I37+Sheet2!I22)/Sheet2!I37</f>
        <v>1062.0279902562149</v>
      </c>
      <c r="H31" s="63">
        <f>(Sheet2!J37+Sheet2!J22)/Sheet2!J37</f>
        <v>2074.1298227505504</v>
      </c>
      <c r="I31" s="63">
        <f>(Sheet2!K37+Sheet2!K22)/Sheet2!K37</f>
        <v>731.72720969498369</v>
      </c>
    </row>
    <row r="32" spans="4:10" x14ac:dyDescent="0.3">
      <c r="D32" s="64"/>
      <c r="E32" s="65"/>
    </row>
    <row r="33" spans="4:9" x14ac:dyDescent="0.3">
      <c r="D33" s="68" t="s">
        <v>94</v>
      </c>
      <c r="E33" s="63">
        <v>22.37</v>
      </c>
      <c r="F33">
        <v>23.28</v>
      </c>
      <c r="G33">
        <v>22</v>
      </c>
      <c r="H33">
        <v>29.08</v>
      </c>
      <c r="I33">
        <v>33.54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C3:H24"/>
  <sheetViews>
    <sheetView workbookViewId="0">
      <selection activeCell="S62" sqref="S62"/>
    </sheetView>
  </sheetViews>
  <sheetFormatPr defaultRowHeight="14.4" x14ac:dyDescent="0.3"/>
  <cols>
    <col min="3" max="3" width="19.5546875" customWidth="1"/>
    <col min="4" max="4" width="10.44140625" customWidth="1"/>
    <col min="5" max="5" width="11" bestFit="1" customWidth="1"/>
  </cols>
  <sheetData>
    <row r="3" spans="3:8" ht="25.8" x14ac:dyDescent="0.5">
      <c r="C3" s="89" t="s">
        <v>97</v>
      </c>
    </row>
    <row r="5" spans="3:8" x14ac:dyDescent="0.3">
      <c r="C5" t="s">
        <v>98</v>
      </c>
      <c r="D5" t="s">
        <v>57</v>
      </c>
      <c r="E5" t="s">
        <v>120</v>
      </c>
      <c r="F5" t="s">
        <v>121</v>
      </c>
      <c r="G5" t="s">
        <v>129</v>
      </c>
      <c r="H5" t="s">
        <v>128</v>
      </c>
    </row>
    <row r="6" spans="3:8" x14ac:dyDescent="0.3">
      <c r="C6" s="58" t="s">
        <v>99</v>
      </c>
      <c r="E6" s="88"/>
      <c r="F6" s="88"/>
      <c r="G6" s="88"/>
      <c r="H6" s="88"/>
    </row>
    <row r="7" spans="3:8" x14ac:dyDescent="0.3">
      <c r="C7" t="s">
        <v>100</v>
      </c>
      <c r="D7" s="59">
        <f>Sheet1!B11/Sheet1!B9</f>
        <v>0.18026351580992028</v>
      </c>
      <c r="E7" s="100">
        <f>Sheet1!C11/Sheet1!C9</f>
        <v>0.17975555132009938</v>
      </c>
      <c r="F7" s="100">
        <f>Sheet1!D11/Sheet1!D9</f>
        <v>0.17941656738021808</v>
      </c>
      <c r="G7" s="100">
        <f>Sheet1!F11/Sheet1!F9</f>
        <v>0.17954475794416297</v>
      </c>
      <c r="H7" s="100">
        <f>Sheet1!G11/Sheet1!G9</f>
        <v>0.17976368740787732</v>
      </c>
    </row>
    <row r="8" spans="3:8" x14ac:dyDescent="0.3">
      <c r="C8" t="s">
        <v>101</v>
      </c>
      <c r="D8" s="66">
        <f>Sheet1!B15/Sheet1!B9</f>
        <v>6.1855343275780787E-2</v>
      </c>
      <c r="E8" s="100">
        <f>229808479/3661324088</f>
        <v>6.2766494709713877E-2</v>
      </c>
      <c r="F8" s="100">
        <f t="shared" ref="F8" si="0">146795605/1498238988</f>
        <v>9.797876452004331E-2</v>
      </c>
      <c r="G8" s="122">
        <f>Sheet1!F15/Sheet1!F9</f>
        <v>6.38297136028914E-2</v>
      </c>
      <c r="H8" s="122">
        <f>Sheet1!G15/Sheet1!G9</f>
        <v>5.7453978480030941E-2</v>
      </c>
    </row>
    <row r="9" spans="3:8" x14ac:dyDescent="0.3">
      <c r="C9" t="s">
        <v>102</v>
      </c>
      <c r="D9">
        <v>10.37</v>
      </c>
      <c r="E9" s="6">
        <f>Sheet1!C31</f>
        <v>11.02318362541806</v>
      </c>
      <c r="F9" s="6">
        <f>Sheet1!D31</f>
        <v>10.47</v>
      </c>
      <c r="G9" s="88">
        <f>Sheet1!F31</f>
        <v>11.746294350769231</v>
      </c>
      <c r="H9" s="88">
        <f>Sheet1!G31</f>
        <v>9.0050405415384613</v>
      </c>
    </row>
    <row r="10" spans="3:8" x14ac:dyDescent="0.3">
      <c r="C10" t="s">
        <v>103</v>
      </c>
      <c r="D10" s="66">
        <f>Sheet1!B25/'Balance sheet'!D23</f>
        <v>9.1788845133096389E-2</v>
      </c>
      <c r="E10" s="100">
        <f>Sheet1!C25/'Balance sheet'!E23</f>
        <v>7.9879231274789048E-2</v>
      </c>
      <c r="F10" s="100">
        <f>Sheet1!D25/'Balance sheet'!F23</f>
        <v>9.5894088706281688E-2</v>
      </c>
      <c r="G10" s="100">
        <f>Sheet1!F25/'Balance sheet'!F23</f>
        <v>7.7931501794599248E-2</v>
      </c>
      <c r="H10" s="100">
        <f>Sheet1!G25/'Balance sheet'!H23</f>
        <v>5.5212309935538016E-2</v>
      </c>
    </row>
    <row r="11" spans="3:8" x14ac:dyDescent="0.3">
      <c r="C11" t="s">
        <v>104</v>
      </c>
      <c r="D11" s="66">
        <f>Sheet1!B25/'Balance sheet'!D46</f>
        <v>0.19775448060328621</v>
      </c>
      <c r="E11" s="100">
        <f>Sheet1!C25/OwnersEquity[[#Totals],[2018]]</f>
        <v>0.21225659878390035</v>
      </c>
      <c r="F11" s="100">
        <f>Sheet1!D25/OwnersEquity[[#Totals],[2017]]</f>
        <v>0.26493881764105415</v>
      </c>
      <c r="G11" s="100">
        <f>Sheet1!F25/OwnersEquity[[#Totals],[2016]]</f>
        <v>0.28578944554110819</v>
      </c>
      <c r="H11" s="100">
        <f>Sheet1!G25/OwnersEquity[[#Totals],[2015]]</f>
        <v>0.27832055997154709</v>
      </c>
    </row>
    <row r="12" spans="3:8" x14ac:dyDescent="0.3">
      <c r="C12" s="58" t="s">
        <v>95</v>
      </c>
      <c r="E12" s="88"/>
      <c r="F12" s="88"/>
      <c r="G12" s="88"/>
      <c r="H12" s="88"/>
    </row>
    <row r="13" spans="3:8" x14ac:dyDescent="0.3">
      <c r="C13" t="s">
        <v>106</v>
      </c>
      <c r="D13">
        <f>'Balance sheet'!D15/'Balance sheet'!D33</f>
        <v>2.4535598495456088</v>
      </c>
      <c r="E13" s="88">
        <f>CurrentAssets[[#Totals],[2018]]/CurrentLiabilities[[#Totals],[2018]]</f>
        <v>1.8477325637694408</v>
      </c>
      <c r="F13" s="88">
        <f>CurrentAssets[[#Totals],[2017]]/CurrentLiabilities[[#Totals],[2017]]</f>
        <v>1.8609431076593721</v>
      </c>
      <c r="G13" s="88">
        <f>CurrentAssets[[#Totals],[2016]]/CurrentLiabilities[[#Totals],[2016]]</f>
        <v>1.4260848358368194</v>
      </c>
      <c r="H13" s="88">
        <f>CurrentAssets[[#Totals],[2015]]/CurrentLiabilities[[#Totals],[2015]]</f>
        <v>1.3438546290907689</v>
      </c>
    </row>
    <row r="14" spans="3:8" x14ac:dyDescent="0.3">
      <c r="C14" t="s">
        <v>105</v>
      </c>
      <c r="D14" s="67">
        <f>('Balance sheet'!D15-'Balance sheet'!D8)/'Balance sheet'!D33</f>
        <v>1.3478131091971226</v>
      </c>
      <c r="E14" s="88">
        <f>(CurrentAssets[[#Totals],[2018]]-'Balance sheet'!E8)/CurrentLiabilities[[#Totals],[2018]]</f>
        <v>0.99478662674782914</v>
      </c>
      <c r="F14" s="88">
        <f>(CurrentAssets[[#Totals],[2017]]-'Balance sheet'!F8)/CurrentLiabilities[[#Totals],[2017]]</f>
        <v>1.1261556012653842</v>
      </c>
      <c r="G14" s="88">
        <f>(CurrentAssets[[#Totals],[2016]]-'Balance sheet'!G8)/CurrentLiabilities[[#Totals],[2016]]</f>
        <v>0.63076233554905037</v>
      </c>
      <c r="H14" s="88">
        <f>(CurrentAssets[[#Totals],[2015]]-'Balance sheet'!H8)/CurrentLiabilities[[#Totals],[2015]]</f>
        <v>0.61404335673548138</v>
      </c>
    </row>
    <row r="15" spans="3:8" x14ac:dyDescent="0.3">
      <c r="C15" s="58" t="s">
        <v>96</v>
      </c>
      <c r="E15" s="88"/>
      <c r="F15" s="88"/>
      <c r="G15" s="88"/>
      <c r="H15" s="88"/>
    </row>
    <row r="16" spans="3:8" x14ac:dyDescent="0.3">
      <c r="C16" t="s">
        <v>107</v>
      </c>
      <c r="D16" s="67">
        <f>Sheet1!B10/'Balance sheet'!D8</f>
        <v>4.583792428565606</v>
      </c>
      <c r="E16" s="88">
        <f>Sheet1!C10/'Balance sheet'!E8</f>
        <v>4.0003415417372459</v>
      </c>
      <c r="F16" s="88">
        <v>4.47</v>
      </c>
      <c r="G16" s="88">
        <f>Sheet1!F10/'Balance sheet'!G8</f>
        <v>3.2040702171012603</v>
      </c>
      <c r="H16" s="88">
        <f>Sheet1!G10/'Balance sheet'!H8</f>
        <v>2.9808082113133025</v>
      </c>
    </row>
    <row r="17" spans="3:8" x14ac:dyDescent="0.3">
      <c r="C17" t="s">
        <v>108</v>
      </c>
      <c r="D17" s="67">
        <f>('Balance sheet'!D9/((Sheet1!B9/365)))</f>
        <v>0.41513333486512322</v>
      </c>
      <c r="E17" s="88">
        <f>'Balance sheet'!E9/(Sheet1!C9/365)</f>
        <v>0.23205604846199565</v>
      </c>
      <c r="F17" s="88">
        <f>'Balance sheet'!F9/(Sheet1!D9/365)</f>
        <v>0.23310295893240443</v>
      </c>
      <c r="G17" s="88">
        <f>'Balance sheet'!G9/(Sheet1!F9/365)</f>
        <v>0.89028637066216953</v>
      </c>
      <c r="H17" s="88">
        <f>('Balance sheet'!H9/(Sheet1!G9/365))</f>
        <v>1.1319173880096507</v>
      </c>
    </row>
    <row r="18" spans="3:8" x14ac:dyDescent="0.3">
      <c r="C18" t="s">
        <v>109</v>
      </c>
      <c r="D18" s="67">
        <f>('Balance sheet'!D27+'Balance sheet'!D28)/(('Balance sheet'!D55/365))</f>
        <v>66.810348435794623</v>
      </c>
      <c r="E18" s="67">
        <f>('Balance sheet'!E27+'Balance sheet'!E28)/(('Balance sheet'!E55/365))</f>
        <v>82.642771935409712</v>
      </c>
      <c r="F18" s="67">
        <f>('Balance sheet'!F27+'Balance sheet'!F28)/(('Balance sheet'!F55/365))</f>
        <v>91.082218689957756</v>
      </c>
      <c r="G18" s="67">
        <f>('Balance sheet'!G27+'Balance sheet'!G28)/(('Balance sheet'!G55/365))</f>
        <v>105.58158877899731</v>
      </c>
      <c r="H18" s="67">
        <f>('Balance sheet'!H27+'Balance sheet'!H28)/(('Balance sheet'!H55/365))</f>
        <v>99.42408753004996</v>
      </c>
    </row>
    <row r="19" spans="3:8" x14ac:dyDescent="0.3">
      <c r="C19" t="s">
        <v>110</v>
      </c>
      <c r="D19" s="67">
        <f>Sheet1!B9/'Balance sheet'!D23</f>
        <v>2.1036558505423844</v>
      </c>
      <c r="E19" s="88">
        <f>Sheet1!C9/'Balance sheet'!E23</f>
        <v>1.8930083888678666</v>
      </c>
      <c r="F19" s="88">
        <f>Sheet1!D9/'Balance sheet'!F23</f>
        <v>2.2165951570180105</v>
      </c>
      <c r="G19" s="88">
        <f>Sheet1!F9/'Balance sheet'!G23</f>
        <v>1.7540241366617342</v>
      </c>
      <c r="H19" s="88">
        <f>Sheet1!G9/'Balance sheet'!H23</f>
        <v>1.603954940803568</v>
      </c>
    </row>
    <row r="20" spans="3:8" x14ac:dyDescent="0.3">
      <c r="C20" s="58" t="s">
        <v>114</v>
      </c>
      <c r="E20" s="88"/>
      <c r="F20" s="88"/>
      <c r="G20" s="88"/>
      <c r="H20" s="88"/>
    </row>
    <row r="21" spans="3:8" x14ac:dyDescent="0.3">
      <c r="C21" t="s">
        <v>115</v>
      </c>
      <c r="D21" s="67">
        <f>('Balance sheet'!D33+'Balance sheet'!D39)/'Balance sheet'!D23</f>
        <v>0.53584442257349751</v>
      </c>
      <c r="E21" s="118">
        <f>(CurrentLiabilities[[#Totals],[2018]]+LongTermLiabilities[[#Totals],[2018]])/'Balance sheet'!E23</f>
        <v>0.62366667640748097</v>
      </c>
      <c r="F21" s="118">
        <f>(CurrentLiabilities[[#Totals],[2017]]+LongTermLiabilities[[#Totals],[2017]])/'Balance sheet'!F23</f>
        <v>0.63805194889862671</v>
      </c>
      <c r="G21" s="118">
        <f>(CurrentLiabilities[[#Totals],[2016]]+LongTermLiabilities[[#Totals],[2016]])/'Balance sheet'!G23</f>
        <v>0.75563094156365673</v>
      </c>
      <c r="H21" s="118">
        <f>(CurrentLiabilities[[#Totals],[2015]]+LongTermLiabilities[[#Totals],[2015]])/'Balance sheet'!H23</f>
        <v>0.80162331603111903</v>
      </c>
    </row>
    <row r="22" spans="3:8" x14ac:dyDescent="0.3">
      <c r="C22" t="s">
        <v>116</v>
      </c>
      <c r="D22">
        <v>0</v>
      </c>
      <c r="E22" s="88">
        <v>0</v>
      </c>
      <c r="F22" s="88">
        <v>0</v>
      </c>
      <c r="G22" s="88"/>
      <c r="H22" s="88"/>
    </row>
    <row r="23" spans="3:8" x14ac:dyDescent="0.3">
      <c r="E23" s="88"/>
      <c r="F23" s="88"/>
      <c r="G23" s="88"/>
      <c r="H23" s="88"/>
    </row>
    <row r="24" spans="3:8" x14ac:dyDescent="0.3">
      <c r="C24" s="58" t="s">
        <v>94</v>
      </c>
      <c r="D24">
        <f>Sheet1!B32/Sheet1!B31</f>
        <v>37.102750031722287</v>
      </c>
      <c r="E24" s="88">
        <v>40.11</v>
      </c>
      <c r="F24" s="88">
        <v>34.68</v>
      </c>
      <c r="G24" s="88">
        <v>30.31</v>
      </c>
      <c r="H24" s="88">
        <v>39.28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G4:Q32"/>
  <sheetViews>
    <sheetView topLeftCell="A55" workbookViewId="0">
      <selection activeCell="I78" sqref="I78"/>
    </sheetView>
  </sheetViews>
  <sheetFormatPr defaultRowHeight="14.4" x14ac:dyDescent="0.3"/>
  <cols>
    <col min="7" max="7" width="21.44140625" customWidth="1"/>
    <col min="8" max="8" width="9.88671875" customWidth="1"/>
    <col min="9" max="9" width="12" bestFit="1" customWidth="1"/>
    <col min="10" max="10" width="11" bestFit="1" customWidth="1"/>
    <col min="11" max="12" width="11" customWidth="1"/>
    <col min="13" max="14" width="10.44140625" customWidth="1"/>
  </cols>
  <sheetData>
    <row r="4" spans="7:17" ht="25.8" x14ac:dyDescent="0.5">
      <c r="H4" s="123" t="s">
        <v>139</v>
      </c>
      <c r="I4" s="124"/>
      <c r="J4" s="125"/>
      <c r="K4" s="125"/>
      <c r="L4" s="154"/>
      <c r="M4" s="154"/>
      <c r="N4" s="154"/>
      <c r="O4" s="154"/>
      <c r="P4" s="154"/>
      <c r="Q4" s="154"/>
    </row>
    <row r="8" spans="7:17" x14ac:dyDescent="0.3">
      <c r="G8" s="60" t="s">
        <v>98</v>
      </c>
      <c r="H8" s="61" t="s">
        <v>57</v>
      </c>
      <c r="I8" s="117">
        <v>2018</v>
      </c>
      <c r="J8" s="117">
        <v>2017</v>
      </c>
      <c r="K8" s="117">
        <v>2016</v>
      </c>
      <c r="L8" s="117">
        <v>2015</v>
      </c>
    </row>
    <row r="9" spans="7:17" x14ac:dyDescent="0.3">
      <c r="G9" s="68" t="s">
        <v>135</v>
      </c>
      <c r="H9" s="63"/>
    </row>
    <row r="10" spans="7:17" x14ac:dyDescent="0.3">
      <c r="G10" s="72" t="s">
        <v>97</v>
      </c>
      <c r="H10" s="69">
        <f>Sheet8!D7</f>
        <v>0.18026351580992028</v>
      </c>
      <c r="I10" s="69">
        <f>Sheet8!E7</f>
        <v>0.17975555132009938</v>
      </c>
      <c r="J10" s="69">
        <f>Sheet8!F7</f>
        <v>0.17941656738021808</v>
      </c>
      <c r="K10" s="69">
        <f>Sheet8!G7</f>
        <v>0.17954475794416297</v>
      </c>
      <c r="L10" s="69">
        <f>Sheet8!H7</f>
        <v>0.17976368740787732</v>
      </c>
    </row>
    <row r="11" spans="7:17" x14ac:dyDescent="0.3">
      <c r="G11" s="68" t="s">
        <v>874</v>
      </c>
      <c r="H11" s="70">
        <f>Sheet7!$E$16</f>
        <v>0.4898932783382976</v>
      </c>
      <c r="I11" s="70">
        <f>Sheet7!$F16</f>
        <v>0.45877136496462051</v>
      </c>
      <c r="J11" s="70">
        <f>Sheet7!$G$16</f>
        <v>0.46352910189551155</v>
      </c>
      <c r="K11" s="70">
        <f>Sheet7!$H$16</f>
        <v>0.47068365046765309</v>
      </c>
      <c r="L11" s="70">
        <f>Sheet7!$I$16</f>
        <v>0.44989842577674127</v>
      </c>
    </row>
    <row r="12" spans="7:17" x14ac:dyDescent="0.3">
      <c r="G12" s="72" t="s">
        <v>136</v>
      </c>
      <c r="H12" s="65"/>
      <c r="I12" s="65"/>
      <c r="J12" s="65"/>
      <c r="K12" s="65"/>
      <c r="L12" s="65"/>
    </row>
    <row r="13" spans="7:17" x14ac:dyDescent="0.3">
      <c r="G13" s="68" t="str">
        <f>G10</f>
        <v>Kohinoor chemicals</v>
      </c>
      <c r="H13" s="120">
        <f>Sheet8!D9</f>
        <v>10.37</v>
      </c>
      <c r="I13" s="120">
        <f>Sheet8!E9</f>
        <v>11.02318362541806</v>
      </c>
      <c r="J13" s="120">
        <f>Sheet8!F9</f>
        <v>10.47</v>
      </c>
      <c r="K13" s="120">
        <f>Sheet8!G9</f>
        <v>11.746294350769231</v>
      </c>
      <c r="L13" s="120">
        <f>Sheet8!H9</f>
        <v>9.0050405415384613</v>
      </c>
    </row>
    <row r="14" spans="7:17" x14ac:dyDescent="0.3">
      <c r="G14" s="72" t="s">
        <v>874</v>
      </c>
      <c r="H14" s="121">
        <f>Sheet7!$E$18</f>
        <v>64.23</v>
      </c>
      <c r="I14" s="121">
        <f>Sheet7!$F$18</f>
        <v>52.14</v>
      </c>
      <c r="J14" s="121">
        <f>Sheet7!$G$18</f>
        <v>45.72</v>
      </c>
      <c r="K14" s="121">
        <f>Sheet7!$H$18</f>
        <v>44.890485936507936</v>
      </c>
      <c r="L14" s="121">
        <f>Sheet7!$I$18</f>
        <v>42.691096349206347</v>
      </c>
    </row>
    <row r="15" spans="7:17" x14ac:dyDescent="0.3">
      <c r="G15" s="68" t="s">
        <v>94</v>
      </c>
      <c r="H15" s="63"/>
      <c r="I15" s="63"/>
      <c r="J15" s="63"/>
      <c r="K15" s="63"/>
      <c r="L15" s="63"/>
    </row>
    <row r="16" spans="7:17" x14ac:dyDescent="0.3">
      <c r="G16" s="72" t="str">
        <f>G13</f>
        <v>Kohinoor chemicals</v>
      </c>
      <c r="H16" s="65">
        <f>Sheet8!D24</f>
        <v>37.102750031722287</v>
      </c>
      <c r="I16" s="65">
        <f>Sheet8!E24</f>
        <v>40.11</v>
      </c>
      <c r="J16" s="65">
        <f>Sheet8!F24</f>
        <v>34.68</v>
      </c>
      <c r="K16" s="65">
        <f>Sheet8!G24</f>
        <v>30.31</v>
      </c>
      <c r="L16" s="65">
        <f>Sheet8!H24</f>
        <v>39.28</v>
      </c>
    </row>
    <row r="17" spans="7:12" x14ac:dyDescent="0.3">
      <c r="G17" s="68" t="str">
        <f>G14</f>
        <v>Marico Bangladesh</v>
      </c>
      <c r="H17" s="71">
        <f>Sheet7!$E$33</f>
        <v>22.37</v>
      </c>
      <c r="I17" s="71">
        <f>Sheet7!$F$33</f>
        <v>23.28</v>
      </c>
      <c r="J17" s="71">
        <f>Sheet7!$G$33</f>
        <v>22</v>
      </c>
      <c r="K17" s="71">
        <f>Sheet7!$H$33</f>
        <v>29.08</v>
      </c>
      <c r="L17" s="71">
        <f>Sheet7!$I$33</f>
        <v>33.54</v>
      </c>
    </row>
    <row r="18" spans="7:12" x14ac:dyDescent="0.3">
      <c r="G18" s="72" t="s">
        <v>137</v>
      </c>
      <c r="H18" s="65"/>
      <c r="I18" s="65"/>
      <c r="J18" s="65"/>
      <c r="K18" s="65"/>
      <c r="L18" s="65"/>
    </row>
    <row r="19" spans="7:12" x14ac:dyDescent="0.3">
      <c r="G19" s="68" t="s">
        <v>97</v>
      </c>
      <c r="H19" s="71">
        <f>Sheet8!D13</f>
        <v>2.4535598495456088</v>
      </c>
      <c r="I19" s="71">
        <f>Sheet8!E13</f>
        <v>1.8477325637694408</v>
      </c>
      <c r="J19" s="71">
        <f>Sheet8!F13</f>
        <v>1.8609431076593721</v>
      </c>
      <c r="K19" s="71">
        <f>Sheet8!G13</f>
        <v>1.4260848358368194</v>
      </c>
      <c r="L19" s="71">
        <f>Sheet8!H13</f>
        <v>1.3438546290907689</v>
      </c>
    </row>
    <row r="20" spans="7:12" x14ac:dyDescent="0.3">
      <c r="G20" s="72" t="s">
        <v>874</v>
      </c>
      <c r="H20" s="73">
        <f>Sheet7!$E$22</f>
        <v>1.2465072824713401</v>
      </c>
      <c r="I20" s="73">
        <f>Sheet7!$F$22</f>
        <v>1.3175962090562356</v>
      </c>
      <c r="J20" s="73">
        <f>Sheet7!$G$22</f>
        <v>1.4196457488823677</v>
      </c>
      <c r="K20" s="73">
        <f>Sheet7!$H$22</f>
        <v>1.6183393688756407</v>
      </c>
      <c r="L20" s="73">
        <f>Sheet7!$I$22</f>
        <v>1.5966452667466478</v>
      </c>
    </row>
    <row r="21" spans="7:12" x14ac:dyDescent="0.3">
      <c r="G21" s="68" t="s">
        <v>138</v>
      </c>
      <c r="H21" s="71"/>
      <c r="I21" s="71"/>
      <c r="J21" s="71"/>
      <c r="K21" s="71"/>
      <c r="L21" s="71"/>
    </row>
    <row r="22" spans="7:12" x14ac:dyDescent="0.3">
      <c r="G22" s="72" t="s">
        <v>97</v>
      </c>
      <c r="H22" s="73">
        <f>Sheet8!D19</f>
        <v>2.1036558505423844</v>
      </c>
      <c r="I22" s="73">
        <f>Sheet8!E19</f>
        <v>1.8930083888678666</v>
      </c>
      <c r="J22" s="73">
        <f>Sheet8!F19</f>
        <v>2.2165951570180105</v>
      </c>
      <c r="K22" s="73">
        <f>Sheet8!G19</f>
        <v>1.7540241366617342</v>
      </c>
      <c r="L22" s="73">
        <f>Sheet8!H19</f>
        <v>1.603954940803568</v>
      </c>
    </row>
    <row r="23" spans="7:12" x14ac:dyDescent="0.3">
      <c r="G23" s="68" t="s">
        <v>874</v>
      </c>
      <c r="H23" s="71">
        <f>Sheet7!E28</f>
        <v>1.9159729485547152</v>
      </c>
      <c r="I23" s="71">
        <f>Sheet7!F28</f>
        <v>1.7527922056270884</v>
      </c>
      <c r="J23" s="71">
        <f>Sheet7!G28</f>
        <v>1.8435291909091167</v>
      </c>
      <c r="K23" s="71">
        <f>Sheet7!H28</f>
        <v>2.1169973761204495</v>
      </c>
      <c r="L23" s="71">
        <f>Sheet7!I28</f>
        <v>2.191107575064164</v>
      </c>
    </row>
    <row r="24" spans="7:12" x14ac:dyDescent="0.3">
      <c r="G24" s="72" t="s">
        <v>115</v>
      </c>
      <c r="H24" s="73"/>
      <c r="I24" s="73"/>
      <c r="J24" s="73"/>
      <c r="K24" s="73"/>
      <c r="L24" s="73"/>
    </row>
    <row r="25" spans="7:12" x14ac:dyDescent="0.3">
      <c r="G25" s="68" t="s">
        <v>97</v>
      </c>
      <c r="H25" s="71">
        <f>Sheet8!D21</f>
        <v>0.53584442257349751</v>
      </c>
      <c r="I25" s="71">
        <f>Sheet8!E21</f>
        <v>0.62366667640748097</v>
      </c>
      <c r="J25" s="71">
        <f>Sheet8!F21</f>
        <v>0.63805194889862671</v>
      </c>
      <c r="K25" s="71">
        <f>Sheet8!G21</f>
        <v>0.75563094156365673</v>
      </c>
      <c r="L25" s="71">
        <f>Sheet8!H21</f>
        <v>0.80162331603111903</v>
      </c>
    </row>
    <row r="26" spans="7:12" x14ac:dyDescent="0.3">
      <c r="G26" s="72" t="s">
        <v>874</v>
      </c>
      <c r="H26" s="73">
        <f>Sheet7!E30</f>
        <v>0.71546403798015379</v>
      </c>
      <c r="I26" s="73">
        <f>Sheet7!F30</f>
        <v>0.66521982784748002</v>
      </c>
      <c r="J26" s="73">
        <f>Sheet7!G30</f>
        <v>0.57895694962886579</v>
      </c>
      <c r="K26" s="73">
        <f>Sheet7!H30</f>
        <v>0.50712401491474346</v>
      </c>
      <c r="L26" s="73">
        <f>Sheet7!I30</f>
        <v>0.48950352544425191</v>
      </c>
    </row>
    <row r="27" spans="7:12" x14ac:dyDescent="0.3">
      <c r="G27" s="136" t="s">
        <v>850</v>
      </c>
      <c r="H27" s="137"/>
      <c r="I27" s="137"/>
      <c r="J27" s="137"/>
      <c r="K27" s="137"/>
      <c r="L27" s="137"/>
    </row>
    <row r="28" spans="7:12" x14ac:dyDescent="0.3">
      <c r="G28" s="136" t="s">
        <v>97</v>
      </c>
      <c r="H28" s="138">
        <f>Kohinoor!E4</f>
        <v>1.2235094889999999E-2</v>
      </c>
      <c r="I28" s="138">
        <f>Kohinoor!F4</f>
        <v>1.86831093E-2</v>
      </c>
      <c r="J28" s="138">
        <f>Kohinoor!G4</f>
        <v>1.6950819079999999E-2</v>
      </c>
      <c r="K28" s="138">
        <f>Kohinoor!H4</f>
        <v>2.6300345700000002E-2</v>
      </c>
      <c r="L28" s="138">
        <f>Kohinoor!I4</f>
        <v>1.8514599440000001E-2</v>
      </c>
    </row>
    <row r="29" spans="7:12" x14ac:dyDescent="0.3">
      <c r="G29" s="136" t="s">
        <v>874</v>
      </c>
      <c r="H29" s="139">
        <f>MARICO!AW5</f>
        <v>1.9256125999999998E-2</v>
      </c>
      <c r="I29" s="139">
        <f>MARICO!AM5</f>
        <v>1.7148204E-2</v>
      </c>
      <c r="J29" s="139">
        <f>MARICO!AC5</f>
        <v>1.2195493999999999E-2</v>
      </c>
      <c r="K29" s="139">
        <f>MARICO!S5</f>
        <v>1.3086192E-2</v>
      </c>
      <c r="L29" s="139">
        <f>MARICO!I5</f>
        <v>1.7847475000000002E-2</v>
      </c>
    </row>
    <row r="30" spans="7:12" x14ac:dyDescent="0.3">
      <c r="G30" s="136" t="s">
        <v>883</v>
      </c>
      <c r="H30" s="139"/>
      <c r="I30" s="139"/>
      <c r="J30" s="139"/>
      <c r="K30" s="139"/>
      <c r="L30" s="139"/>
    </row>
    <row r="31" spans="7:12" x14ac:dyDescent="0.3">
      <c r="G31" s="136" t="s">
        <v>97</v>
      </c>
      <c r="H31" s="139">
        <f>Kohinoor!E2</f>
        <v>4.7542865370000002E-4</v>
      </c>
      <c r="I31" s="139">
        <f>Kohinoor!F2</f>
        <v>8.097389527E-4</v>
      </c>
      <c r="J31" s="139">
        <f>Kohinoor!G2</f>
        <v>8.2175722699999996E-4</v>
      </c>
      <c r="K31" s="139">
        <f>Kohinoor!H2</f>
        <v>1.5306303790000001E-3</v>
      </c>
      <c r="L31" s="139">
        <f>Kohinoor!I2</f>
        <v>7.8719383760000004E-5</v>
      </c>
    </row>
    <row r="32" spans="7:12" x14ac:dyDescent="0.3">
      <c r="G32" s="136" t="s">
        <v>874</v>
      </c>
      <c r="H32" s="139">
        <f>MARICO!AW4</f>
        <v>2.1329970000000002E-3</v>
      </c>
      <c r="I32" s="139">
        <f>MARICO!AM4</f>
        <v>8.5552399999999998E-4</v>
      </c>
      <c r="J32" s="139">
        <f>MARICO!AC4</f>
        <v>6.4200499999999996E-4</v>
      </c>
      <c r="K32" s="139">
        <f>MARICO!S4</f>
        <v>-1.553986E-3</v>
      </c>
      <c r="L32" s="139">
        <f>MARICO!I4</f>
        <v>1.2999999999999999E-3</v>
      </c>
    </row>
  </sheetData>
  <mergeCells count="3">
    <mergeCell ref="L4:M4"/>
    <mergeCell ref="N4:O4"/>
    <mergeCell ref="P4:Q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9"/>
  <sheetViews>
    <sheetView topLeftCell="AA1" workbookViewId="0">
      <selection activeCell="AO4" sqref="AO4"/>
    </sheetView>
  </sheetViews>
  <sheetFormatPr defaultRowHeight="14.4" x14ac:dyDescent="0.3"/>
  <sheetData>
    <row r="1" spans="1:49" x14ac:dyDescent="0.3">
      <c r="A1" t="s">
        <v>870</v>
      </c>
    </row>
    <row r="2" spans="1:49" x14ac:dyDescent="0.3">
      <c r="A2">
        <v>2015</v>
      </c>
      <c r="K2">
        <v>2016</v>
      </c>
      <c r="U2">
        <v>2017</v>
      </c>
      <c r="AE2">
        <v>2018</v>
      </c>
      <c r="AO2">
        <v>2019</v>
      </c>
    </row>
    <row r="3" spans="1:49" x14ac:dyDescent="0.3">
      <c r="A3" t="s">
        <v>868</v>
      </c>
      <c r="B3" t="s">
        <v>867</v>
      </c>
      <c r="C3" t="s">
        <v>866</v>
      </c>
      <c r="D3" t="s">
        <v>865</v>
      </c>
      <c r="E3" t="s">
        <v>864</v>
      </c>
      <c r="F3" t="s">
        <v>863</v>
      </c>
      <c r="G3" t="s">
        <v>869</v>
      </c>
      <c r="K3" t="s">
        <v>868</v>
      </c>
      <c r="L3" t="s">
        <v>867</v>
      </c>
      <c r="M3" t="s">
        <v>866</v>
      </c>
      <c r="N3" t="s">
        <v>865</v>
      </c>
      <c r="O3" t="s">
        <v>864</v>
      </c>
      <c r="P3" t="s">
        <v>863</v>
      </c>
      <c r="Q3" t="s">
        <v>869</v>
      </c>
      <c r="U3" t="s">
        <v>868</v>
      </c>
      <c r="V3" t="s">
        <v>867</v>
      </c>
      <c r="W3" t="s">
        <v>866</v>
      </c>
      <c r="X3" t="s">
        <v>865</v>
      </c>
      <c r="Y3" t="s">
        <v>864</v>
      </c>
      <c r="Z3" t="s">
        <v>863</v>
      </c>
      <c r="AA3" t="s">
        <v>869</v>
      </c>
      <c r="AE3" t="s">
        <v>868</v>
      </c>
      <c r="AF3" t="s">
        <v>867</v>
      </c>
      <c r="AG3" t="s">
        <v>866</v>
      </c>
      <c r="AH3" t="s">
        <v>865</v>
      </c>
      <c r="AI3" t="s">
        <v>864</v>
      </c>
      <c r="AJ3" t="s">
        <v>863</v>
      </c>
      <c r="AK3" t="s">
        <v>869</v>
      </c>
      <c r="AO3" t="s">
        <v>868</v>
      </c>
      <c r="AP3" t="s">
        <v>867</v>
      </c>
      <c r="AQ3" t="s">
        <v>866</v>
      </c>
      <c r="AR3" t="s">
        <v>865</v>
      </c>
      <c r="AS3" t="s">
        <v>864</v>
      </c>
      <c r="AT3" t="s">
        <v>863</v>
      </c>
      <c r="AU3" t="s">
        <v>862</v>
      </c>
    </row>
    <row r="4" spans="1:49" x14ac:dyDescent="0.3">
      <c r="A4" t="s">
        <v>142</v>
      </c>
      <c r="B4">
        <v>1420.5</v>
      </c>
      <c r="C4">
        <v>1435</v>
      </c>
      <c r="D4">
        <v>1411</v>
      </c>
      <c r="E4">
        <v>1417.9</v>
      </c>
      <c r="F4">
        <v>1306</v>
      </c>
      <c r="G4" s="66">
        <v>-2.7000000000000001E-3</v>
      </c>
      <c r="H4" s="58" t="s">
        <v>861</v>
      </c>
      <c r="I4" s="66">
        <v>1.2999999999999999E-3</v>
      </c>
      <c r="K4" t="s">
        <v>860</v>
      </c>
      <c r="L4">
        <v>957.5</v>
      </c>
      <c r="M4">
        <v>958</v>
      </c>
      <c r="N4">
        <v>899</v>
      </c>
      <c r="O4">
        <v>923.2</v>
      </c>
      <c r="P4">
        <v>96363</v>
      </c>
      <c r="Q4">
        <v>-3.3602010000000002E-2</v>
      </c>
      <c r="R4" s="58" t="s">
        <v>856</v>
      </c>
      <c r="S4">
        <v>-1.553986E-3</v>
      </c>
      <c r="U4" t="s">
        <v>859</v>
      </c>
      <c r="V4">
        <v>1095</v>
      </c>
      <c r="W4">
        <v>1114.9000000000001</v>
      </c>
      <c r="X4">
        <v>1095</v>
      </c>
      <c r="Y4">
        <v>1106.0999999999999</v>
      </c>
      <c r="Z4">
        <v>883</v>
      </c>
      <c r="AA4">
        <v>5.4540500000000002E-3</v>
      </c>
      <c r="AB4" s="58" t="s">
        <v>856</v>
      </c>
      <c r="AC4">
        <v>6.4200499999999996E-4</v>
      </c>
      <c r="AE4" t="s">
        <v>858</v>
      </c>
      <c r="AF4">
        <v>1210</v>
      </c>
      <c r="AG4">
        <v>1210</v>
      </c>
      <c r="AH4">
        <v>1199</v>
      </c>
      <c r="AI4">
        <v>1200.2</v>
      </c>
      <c r="AJ4">
        <v>1694</v>
      </c>
      <c r="AK4">
        <v>-7.1966249999999999E-3</v>
      </c>
      <c r="AL4" s="58" t="s">
        <v>856</v>
      </c>
      <c r="AM4">
        <v>8.5552399999999998E-4</v>
      </c>
      <c r="AO4" t="s">
        <v>857</v>
      </c>
      <c r="AP4">
        <v>1656.4</v>
      </c>
      <c r="AQ4">
        <v>1699</v>
      </c>
      <c r="AR4">
        <v>1656</v>
      </c>
      <c r="AS4">
        <v>1673.3</v>
      </c>
      <c r="AT4">
        <v>4480</v>
      </c>
      <c r="AU4">
        <v>1.0507881E-2</v>
      </c>
      <c r="AV4" s="58" t="s">
        <v>856</v>
      </c>
      <c r="AW4">
        <v>2.1329970000000002E-3</v>
      </c>
    </row>
    <row r="5" spans="1:49" x14ac:dyDescent="0.3">
      <c r="A5" t="s">
        <v>855</v>
      </c>
      <c r="B5">
        <v>1432</v>
      </c>
      <c r="C5">
        <v>1432</v>
      </c>
      <c r="D5">
        <v>1420</v>
      </c>
      <c r="E5">
        <v>1421.7</v>
      </c>
      <c r="F5">
        <v>2322</v>
      </c>
      <c r="G5" s="66">
        <v>-0.01</v>
      </c>
      <c r="H5" s="58" t="s">
        <v>850</v>
      </c>
      <c r="I5">
        <v>1.7847475000000002E-2</v>
      </c>
      <c r="K5" t="s">
        <v>854</v>
      </c>
      <c r="L5">
        <v>962.6</v>
      </c>
      <c r="M5">
        <v>962.6</v>
      </c>
      <c r="N5">
        <v>954.3</v>
      </c>
      <c r="O5">
        <v>955.3</v>
      </c>
      <c r="P5">
        <v>31759</v>
      </c>
      <c r="Q5">
        <v>-2.4018379999999999E-3</v>
      </c>
      <c r="R5" s="58" t="s">
        <v>850</v>
      </c>
      <c r="S5">
        <v>1.3086192E-2</v>
      </c>
      <c r="U5" t="s">
        <v>853</v>
      </c>
      <c r="V5">
        <v>1090</v>
      </c>
      <c r="W5">
        <v>1105</v>
      </c>
      <c r="X5">
        <v>1090</v>
      </c>
      <c r="Y5">
        <v>1100.0999999999999</v>
      </c>
      <c r="Z5">
        <v>1318</v>
      </c>
      <c r="AA5">
        <v>3.5577450000000002E-3</v>
      </c>
      <c r="AB5" s="58" t="s">
        <v>850</v>
      </c>
      <c r="AC5">
        <v>1.2195493999999999E-2</v>
      </c>
      <c r="AE5" t="s">
        <v>852</v>
      </c>
      <c r="AF5">
        <v>1215</v>
      </c>
      <c r="AG5">
        <v>1230</v>
      </c>
      <c r="AH5">
        <v>1200</v>
      </c>
      <c r="AI5">
        <v>1208.9000000000001</v>
      </c>
      <c r="AJ5">
        <v>1200</v>
      </c>
      <c r="AK5">
        <v>9.0142729999999997E-3</v>
      </c>
      <c r="AL5" s="58" t="s">
        <v>850</v>
      </c>
      <c r="AM5">
        <v>1.7148204E-2</v>
      </c>
      <c r="AO5" t="s">
        <v>851</v>
      </c>
      <c r="AP5">
        <v>1658</v>
      </c>
      <c r="AQ5">
        <v>1660</v>
      </c>
      <c r="AR5">
        <v>1642</v>
      </c>
      <c r="AS5">
        <v>1655.9</v>
      </c>
      <c r="AT5">
        <v>289</v>
      </c>
      <c r="AU5">
        <v>3.8799640000000001E-3</v>
      </c>
      <c r="AV5" s="58" t="s">
        <v>850</v>
      </c>
      <c r="AW5">
        <v>1.9256125999999998E-2</v>
      </c>
    </row>
    <row r="6" spans="1:49" x14ac:dyDescent="0.3">
      <c r="A6" t="s">
        <v>849</v>
      </c>
      <c r="B6">
        <v>1452</v>
      </c>
      <c r="C6">
        <v>1452</v>
      </c>
      <c r="D6">
        <v>1430</v>
      </c>
      <c r="E6">
        <v>1436</v>
      </c>
      <c r="F6">
        <v>899</v>
      </c>
      <c r="G6" s="66">
        <v>-8.9999999999999993E-3</v>
      </c>
      <c r="H6" s="58" t="s">
        <v>844</v>
      </c>
      <c r="I6">
        <v>13.23</v>
      </c>
      <c r="K6" t="s">
        <v>848</v>
      </c>
      <c r="L6">
        <v>995.1</v>
      </c>
      <c r="M6">
        <v>1019.5</v>
      </c>
      <c r="N6">
        <v>936.1</v>
      </c>
      <c r="O6">
        <v>957.6</v>
      </c>
      <c r="P6">
        <v>53264</v>
      </c>
      <c r="Q6">
        <v>-4.0480962000000002E-2</v>
      </c>
      <c r="R6" s="58" t="s">
        <v>844</v>
      </c>
      <c r="S6">
        <v>-8.4210467199999997</v>
      </c>
      <c r="U6" t="s">
        <v>847</v>
      </c>
      <c r="V6">
        <v>1090</v>
      </c>
      <c r="W6">
        <v>1105.2</v>
      </c>
      <c r="X6">
        <v>1090</v>
      </c>
      <c r="Y6">
        <v>1096.2</v>
      </c>
      <c r="Z6">
        <v>519</v>
      </c>
      <c r="AA6">
        <v>-4.4500950000000003E-3</v>
      </c>
      <c r="AB6" s="58" t="s">
        <v>844</v>
      </c>
      <c r="AC6">
        <v>18.99595854</v>
      </c>
      <c r="AE6" t="s">
        <v>846</v>
      </c>
      <c r="AF6">
        <v>1219.9000000000001</v>
      </c>
      <c r="AG6">
        <v>1259</v>
      </c>
      <c r="AH6">
        <v>1180</v>
      </c>
      <c r="AI6">
        <v>1198.0999999999999</v>
      </c>
      <c r="AJ6">
        <v>1271</v>
      </c>
      <c r="AK6">
        <v>6.8913350000000002E-3</v>
      </c>
      <c r="AL6" s="58" t="s">
        <v>844</v>
      </c>
      <c r="AM6">
        <v>20.044087050000002</v>
      </c>
      <c r="AO6" t="s">
        <v>845</v>
      </c>
      <c r="AP6">
        <v>1626.1</v>
      </c>
      <c r="AQ6">
        <v>1667</v>
      </c>
      <c r="AR6">
        <v>1626.1</v>
      </c>
      <c r="AS6">
        <v>1649.5</v>
      </c>
      <c r="AT6">
        <v>5900</v>
      </c>
      <c r="AU6">
        <v>2.1872530000000001E-3</v>
      </c>
      <c r="AV6" s="58" t="s">
        <v>844</v>
      </c>
      <c r="AW6">
        <v>9.0277341900000003</v>
      </c>
    </row>
    <row r="7" spans="1:49" x14ac:dyDescent="0.3">
      <c r="A7" t="s">
        <v>843</v>
      </c>
      <c r="B7">
        <v>1452</v>
      </c>
      <c r="C7">
        <v>1468</v>
      </c>
      <c r="D7">
        <v>1446</v>
      </c>
      <c r="E7">
        <v>1449.1</v>
      </c>
      <c r="F7">
        <v>492</v>
      </c>
      <c r="G7" s="66">
        <v>6.9999999999999999E-4</v>
      </c>
      <c r="K7" t="s">
        <v>842</v>
      </c>
      <c r="L7">
        <v>1100</v>
      </c>
      <c r="M7">
        <v>1124.5</v>
      </c>
      <c r="N7">
        <v>998</v>
      </c>
      <c r="O7">
        <v>998</v>
      </c>
      <c r="P7">
        <v>24238</v>
      </c>
      <c r="Q7">
        <v>-6.2470642999999999E-2</v>
      </c>
      <c r="U7" t="s">
        <v>841</v>
      </c>
      <c r="V7">
        <v>1100</v>
      </c>
      <c r="W7">
        <v>1105</v>
      </c>
      <c r="X7">
        <v>1092</v>
      </c>
      <c r="Y7">
        <v>1101.0999999999999</v>
      </c>
      <c r="Z7">
        <v>448</v>
      </c>
      <c r="AA7">
        <v>-5.2398590000000004E-3</v>
      </c>
      <c r="AE7" t="s">
        <v>840</v>
      </c>
      <c r="AF7">
        <v>1200</v>
      </c>
      <c r="AG7">
        <v>1215</v>
      </c>
      <c r="AH7">
        <v>1175</v>
      </c>
      <c r="AI7">
        <v>1189.9000000000001</v>
      </c>
      <c r="AJ7">
        <v>2286</v>
      </c>
      <c r="AK7">
        <v>-8.8296539999999993E-3</v>
      </c>
      <c r="AO7" t="s">
        <v>839</v>
      </c>
      <c r="AP7">
        <v>1660</v>
      </c>
      <c r="AQ7">
        <v>1670</v>
      </c>
      <c r="AR7">
        <v>1631.5</v>
      </c>
      <c r="AS7">
        <v>1645.9</v>
      </c>
      <c r="AT7">
        <v>1160</v>
      </c>
      <c r="AU7">
        <v>-2.7266119999999998E-3</v>
      </c>
    </row>
    <row r="8" spans="1:49" x14ac:dyDescent="0.3">
      <c r="A8" t="s">
        <v>838</v>
      </c>
      <c r="B8">
        <v>1489.5</v>
      </c>
      <c r="C8">
        <v>1489.5</v>
      </c>
      <c r="D8">
        <v>1440.5</v>
      </c>
      <c r="E8">
        <v>1448.1</v>
      </c>
      <c r="F8">
        <v>1387</v>
      </c>
      <c r="G8" s="66">
        <v>1.2999999999999999E-3</v>
      </c>
      <c r="K8" t="s">
        <v>837</v>
      </c>
      <c r="L8">
        <v>1140</v>
      </c>
      <c r="M8">
        <v>1140</v>
      </c>
      <c r="N8">
        <v>1064.5</v>
      </c>
      <c r="O8">
        <v>1064.5</v>
      </c>
      <c r="P8">
        <v>28321</v>
      </c>
      <c r="Q8">
        <v>-6.2444952999999997E-2</v>
      </c>
      <c r="U8" t="s">
        <v>836</v>
      </c>
      <c r="V8">
        <v>1101</v>
      </c>
      <c r="W8">
        <v>1110</v>
      </c>
      <c r="X8">
        <v>1100</v>
      </c>
      <c r="Y8">
        <v>1106.9000000000001</v>
      </c>
      <c r="Z8">
        <v>1326</v>
      </c>
      <c r="AA8">
        <v>6.3642150000000003E-3</v>
      </c>
      <c r="AE8" t="s">
        <v>835</v>
      </c>
      <c r="AF8">
        <v>1200</v>
      </c>
      <c r="AG8">
        <v>1238.5999999999999</v>
      </c>
      <c r="AH8">
        <v>1195</v>
      </c>
      <c r="AI8">
        <v>1200.5</v>
      </c>
      <c r="AJ8">
        <v>9750</v>
      </c>
      <c r="AK8">
        <v>1.7372881E-2</v>
      </c>
      <c r="AO8" t="s">
        <v>834</v>
      </c>
      <c r="AP8">
        <v>1660</v>
      </c>
      <c r="AQ8">
        <v>1660</v>
      </c>
      <c r="AR8">
        <v>1646.1</v>
      </c>
      <c r="AS8">
        <v>1650.4</v>
      </c>
      <c r="AT8">
        <v>1876</v>
      </c>
      <c r="AU8">
        <v>-5.6633330000000004E-3</v>
      </c>
    </row>
    <row r="9" spans="1:49" x14ac:dyDescent="0.3">
      <c r="A9" t="s">
        <v>833</v>
      </c>
      <c r="B9">
        <v>1516.9</v>
      </c>
      <c r="C9">
        <v>1516.9</v>
      </c>
      <c r="D9">
        <v>1439</v>
      </c>
      <c r="E9">
        <v>1446.2</v>
      </c>
      <c r="F9">
        <v>2367</v>
      </c>
      <c r="G9" s="66">
        <v>-1.26E-2</v>
      </c>
      <c r="K9" t="s">
        <v>832</v>
      </c>
      <c r="L9">
        <v>1141.5</v>
      </c>
      <c r="M9">
        <v>1149</v>
      </c>
      <c r="N9">
        <v>1130</v>
      </c>
      <c r="O9">
        <v>1135.4000000000001</v>
      </c>
      <c r="P9">
        <v>2193</v>
      </c>
      <c r="Q9">
        <v>-3.8603259999999999E-3</v>
      </c>
      <c r="U9" t="s">
        <v>831</v>
      </c>
      <c r="V9">
        <v>1119.5</v>
      </c>
      <c r="W9">
        <v>1119.5</v>
      </c>
      <c r="X9">
        <v>1099</v>
      </c>
      <c r="Y9">
        <v>1099.9000000000001</v>
      </c>
      <c r="Z9">
        <v>913</v>
      </c>
      <c r="AA9">
        <v>-6.2341890000000002E-3</v>
      </c>
      <c r="AE9" t="s">
        <v>830</v>
      </c>
      <c r="AF9">
        <v>1180</v>
      </c>
      <c r="AG9">
        <v>1180.0999999999999</v>
      </c>
      <c r="AH9">
        <v>1180</v>
      </c>
      <c r="AI9">
        <v>1180</v>
      </c>
      <c r="AJ9">
        <v>454</v>
      </c>
      <c r="AK9">
        <v>4.2553189999999996E-3</v>
      </c>
      <c r="AO9" t="s">
        <v>829</v>
      </c>
      <c r="AP9">
        <v>1655.5</v>
      </c>
      <c r="AQ9">
        <v>1671</v>
      </c>
      <c r="AR9">
        <v>1655.5</v>
      </c>
      <c r="AS9">
        <v>1659.8</v>
      </c>
      <c r="AT9">
        <v>948</v>
      </c>
      <c r="AU9">
        <v>2.6579680000000001E-3</v>
      </c>
    </row>
    <row r="10" spans="1:49" x14ac:dyDescent="0.3">
      <c r="A10" t="s">
        <v>828</v>
      </c>
      <c r="B10">
        <v>1474</v>
      </c>
      <c r="C10">
        <v>1474</v>
      </c>
      <c r="D10">
        <v>1464.1</v>
      </c>
      <c r="E10">
        <v>1464.7</v>
      </c>
      <c r="F10">
        <v>1259</v>
      </c>
      <c r="G10" s="66">
        <v>-3.7000000000000002E-3</v>
      </c>
      <c r="K10" t="s">
        <v>827</v>
      </c>
      <c r="L10">
        <v>1155.0999999999999</v>
      </c>
      <c r="M10">
        <v>1155.0999999999999</v>
      </c>
      <c r="N10">
        <v>1136</v>
      </c>
      <c r="O10">
        <v>1139.8</v>
      </c>
      <c r="P10">
        <v>3189</v>
      </c>
      <c r="Q10">
        <v>-1.3672551E-2</v>
      </c>
      <c r="U10" t="s">
        <v>826</v>
      </c>
      <c r="V10">
        <v>1106</v>
      </c>
      <c r="W10">
        <v>1130</v>
      </c>
      <c r="X10">
        <v>1095.0999999999999</v>
      </c>
      <c r="Y10">
        <v>1106.8</v>
      </c>
      <c r="Z10">
        <v>612</v>
      </c>
      <c r="AA10">
        <v>4.8116210000000003E-3</v>
      </c>
      <c r="AE10" t="s">
        <v>825</v>
      </c>
      <c r="AF10">
        <v>1200</v>
      </c>
      <c r="AG10">
        <v>1200</v>
      </c>
      <c r="AH10">
        <v>1175</v>
      </c>
      <c r="AI10">
        <v>1175</v>
      </c>
      <c r="AJ10">
        <v>5720</v>
      </c>
      <c r="AK10">
        <v>-2.124115E-2</v>
      </c>
      <c r="AO10" t="s">
        <v>824</v>
      </c>
      <c r="AP10">
        <v>1660.9</v>
      </c>
      <c r="AQ10">
        <v>1664.9</v>
      </c>
      <c r="AR10">
        <v>1654</v>
      </c>
      <c r="AS10">
        <v>1655.4</v>
      </c>
      <c r="AT10">
        <v>1088</v>
      </c>
      <c r="AU10">
        <v>-3.3114580000000002E-3</v>
      </c>
    </row>
    <row r="11" spans="1:49" x14ac:dyDescent="0.3">
      <c r="A11" t="s">
        <v>823</v>
      </c>
      <c r="B11">
        <v>1499</v>
      </c>
      <c r="C11">
        <v>1499</v>
      </c>
      <c r="D11">
        <v>1461</v>
      </c>
      <c r="E11">
        <v>1470.2</v>
      </c>
      <c r="F11">
        <v>5278</v>
      </c>
      <c r="G11" s="66">
        <v>7.0000000000000001E-3</v>
      </c>
      <c r="K11" t="s">
        <v>822</v>
      </c>
      <c r="L11">
        <v>1175</v>
      </c>
      <c r="M11">
        <v>1175</v>
      </c>
      <c r="N11">
        <v>1150</v>
      </c>
      <c r="O11">
        <v>1155.5999999999999</v>
      </c>
      <c r="P11">
        <v>1245</v>
      </c>
      <c r="Q11">
        <v>-1.5924379999999998E-2</v>
      </c>
      <c r="U11" t="s">
        <v>821</v>
      </c>
      <c r="V11">
        <v>1100</v>
      </c>
      <c r="W11">
        <v>1104</v>
      </c>
      <c r="X11">
        <v>1100</v>
      </c>
      <c r="Y11">
        <v>1101.5</v>
      </c>
      <c r="Z11">
        <v>1054</v>
      </c>
      <c r="AA11">
        <v>-6.3148400000000004E-3</v>
      </c>
      <c r="AE11" t="s">
        <v>820</v>
      </c>
      <c r="AF11">
        <v>1200</v>
      </c>
      <c r="AG11">
        <v>1215</v>
      </c>
      <c r="AH11">
        <v>1200</v>
      </c>
      <c r="AI11">
        <v>1200.5</v>
      </c>
      <c r="AJ11">
        <v>245</v>
      </c>
      <c r="AK11">
        <v>-1.2015471999999999E-2</v>
      </c>
      <c r="AO11" t="s">
        <v>819</v>
      </c>
      <c r="AP11">
        <v>1685</v>
      </c>
      <c r="AQ11">
        <v>1685</v>
      </c>
      <c r="AR11">
        <v>1660</v>
      </c>
      <c r="AS11">
        <v>1660.9</v>
      </c>
      <c r="AT11">
        <v>4878</v>
      </c>
      <c r="AU11">
        <v>-1.3307194E-2</v>
      </c>
    </row>
    <row r="12" spans="1:49" x14ac:dyDescent="0.3">
      <c r="A12" t="s">
        <v>818</v>
      </c>
      <c r="B12">
        <v>1460</v>
      </c>
      <c r="C12">
        <v>1460</v>
      </c>
      <c r="D12">
        <v>1460</v>
      </c>
      <c r="E12">
        <v>1460</v>
      </c>
      <c r="F12">
        <v>61</v>
      </c>
      <c r="G12" s="66">
        <v>2.5000000000000001E-3</v>
      </c>
      <c r="K12" t="s">
        <v>817</v>
      </c>
      <c r="L12">
        <v>1178.0999999999999</v>
      </c>
      <c r="M12">
        <v>1179.8</v>
      </c>
      <c r="N12">
        <v>1171</v>
      </c>
      <c r="O12">
        <v>1174.3</v>
      </c>
      <c r="P12">
        <v>1779</v>
      </c>
      <c r="Q12">
        <v>-2.1244050000000002E-3</v>
      </c>
      <c r="U12" t="s">
        <v>816</v>
      </c>
      <c r="V12">
        <v>1115</v>
      </c>
      <c r="W12">
        <v>1125</v>
      </c>
      <c r="X12">
        <v>1108</v>
      </c>
      <c r="Y12">
        <v>1108.5</v>
      </c>
      <c r="Z12">
        <v>185</v>
      </c>
      <c r="AA12">
        <v>-1.2296177E-2</v>
      </c>
      <c r="AE12" t="s">
        <v>815</v>
      </c>
      <c r="AF12">
        <v>1215</v>
      </c>
      <c r="AG12">
        <v>1251</v>
      </c>
      <c r="AH12">
        <v>1205</v>
      </c>
      <c r="AI12">
        <v>1215.0999999999999</v>
      </c>
      <c r="AJ12">
        <v>3019</v>
      </c>
      <c r="AK12">
        <v>-7.3523399999999997E-3</v>
      </c>
      <c r="AO12" t="s">
        <v>814</v>
      </c>
      <c r="AP12">
        <v>1695</v>
      </c>
      <c r="AQ12">
        <v>1700</v>
      </c>
      <c r="AR12">
        <v>1681.1</v>
      </c>
      <c r="AS12">
        <v>1683.3</v>
      </c>
      <c r="AT12">
        <v>875</v>
      </c>
      <c r="AU12">
        <v>-4.2590950000000001E-3</v>
      </c>
    </row>
    <row r="13" spans="1:49" x14ac:dyDescent="0.3">
      <c r="A13" t="s">
        <v>813</v>
      </c>
      <c r="B13">
        <v>1465.1</v>
      </c>
      <c r="C13">
        <v>1470</v>
      </c>
      <c r="D13">
        <v>1451</v>
      </c>
      <c r="E13">
        <v>1456.3</v>
      </c>
      <c r="F13">
        <v>1142</v>
      </c>
      <c r="G13" s="66">
        <v>-4.3E-3</v>
      </c>
      <c r="K13" t="s">
        <v>812</v>
      </c>
      <c r="L13">
        <v>1210</v>
      </c>
      <c r="M13">
        <v>1210</v>
      </c>
      <c r="N13">
        <v>1175.5</v>
      </c>
      <c r="O13">
        <v>1176.8</v>
      </c>
      <c r="P13">
        <v>2058</v>
      </c>
      <c r="Q13">
        <v>-1.1839785E-2</v>
      </c>
      <c r="U13" t="s">
        <v>811</v>
      </c>
      <c r="V13">
        <v>1111</v>
      </c>
      <c r="W13">
        <v>1128.5999999999999</v>
      </c>
      <c r="X13">
        <v>1111</v>
      </c>
      <c r="Y13">
        <v>1122.3</v>
      </c>
      <c r="Z13">
        <v>203</v>
      </c>
      <c r="AA13">
        <v>8.0840740000000001E-3</v>
      </c>
      <c r="AE13" s="126">
        <v>43446</v>
      </c>
      <c r="AF13">
        <v>1240</v>
      </c>
      <c r="AG13">
        <v>1240</v>
      </c>
      <c r="AH13">
        <v>1216</v>
      </c>
      <c r="AI13">
        <v>1224.0999999999999</v>
      </c>
      <c r="AJ13">
        <v>419</v>
      </c>
      <c r="AK13">
        <v>-1.6154959E-2</v>
      </c>
      <c r="AO13" t="s">
        <v>810</v>
      </c>
      <c r="AP13">
        <v>1698</v>
      </c>
      <c r="AQ13">
        <v>1700</v>
      </c>
      <c r="AR13">
        <v>1690</v>
      </c>
      <c r="AS13">
        <v>1690.5</v>
      </c>
      <c r="AT13">
        <v>895</v>
      </c>
      <c r="AU13">
        <v>7.1035300000000005E-4</v>
      </c>
    </row>
    <row r="14" spans="1:49" x14ac:dyDescent="0.3">
      <c r="A14" t="s">
        <v>809</v>
      </c>
      <c r="B14">
        <v>1475.5</v>
      </c>
      <c r="C14">
        <v>1494.9</v>
      </c>
      <c r="D14">
        <v>1460</v>
      </c>
      <c r="E14">
        <v>1462.6</v>
      </c>
      <c r="F14">
        <v>13604</v>
      </c>
      <c r="G14" s="66">
        <v>-2.6599999999999999E-2</v>
      </c>
      <c r="K14" t="s">
        <v>808</v>
      </c>
      <c r="L14">
        <v>1195</v>
      </c>
      <c r="M14">
        <v>1200</v>
      </c>
      <c r="N14">
        <v>1186</v>
      </c>
      <c r="O14">
        <v>1190.9000000000001</v>
      </c>
      <c r="P14">
        <v>1959</v>
      </c>
      <c r="Q14">
        <v>-3.5977240000000001E-3</v>
      </c>
      <c r="U14" t="s">
        <v>807</v>
      </c>
      <c r="V14">
        <v>1115</v>
      </c>
      <c r="W14">
        <v>1139.5</v>
      </c>
      <c r="X14">
        <v>1110</v>
      </c>
      <c r="Y14">
        <v>1113.3</v>
      </c>
      <c r="Z14">
        <v>345</v>
      </c>
      <c r="AA14">
        <v>-7.2231140000000001E-3</v>
      </c>
      <c r="AE14" s="126">
        <v>43416</v>
      </c>
      <c r="AF14">
        <v>1216.9000000000001</v>
      </c>
      <c r="AG14">
        <v>1275</v>
      </c>
      <c r="AH14">
        <v>1201.0999999999999</v>
      </c>
      <c r="AI14">
        <v>1244.2</v>
      </c>
      <c r="AJ14">
        <v>2337</v>
      </c>
      <c r="AK14">
        <v>-7.4192260000000001E-3</v>
      </c>
      <c r="AO14" s="126">
        <v>43811</v>
      </c>
      <c r="AP14">
        <v>1686.3</v>
      </c>
      <c r="AQ14">
        <v>1699</v>
      </c>
      <c r="AR14">
        <v>1686.2</v>
      </c>
      <c r="AS14">
        <v>1689.3</v>
      </c>
      <c r="AT14">
        <v>338</v>
      </c>
      <c r="AU14">
        <v>2.3139910000000001E-3</v>
      </c>
    </row>
    <row r="15" spans="1:49" x14ac:dyDescent="0.3">
      <c r="A15" t="s">
        <v>806</v>
      </c>
      <c r="B15">
        <v>1530</v>
      </c>
      <c r="C15">
        <v>1530</v>
      </c>
      <c r="D15">
        <v>1450</v>
      </c>
      <c r="E15">
        <v>1502.6</v>
      </c>
      <c r="F15">
        <v>2797</v>
      </c>
      <c r="G15" s="66">
        <v>1.34E-2</v>
      </c>
      <c r="K15" s="126">
        <v>42716</v>
      </c>
      <c r="L15">
        <v>1204</v>
      </c>
      <c r="M15">
        <v>1204</v>
      </c>
      <c r="N15">
        <v>1192.5</v>
      </c>
      <c r="O15">
        <v>1195.2</v>
      </c>
      <c r="P15">
        <v>1183</v>
      </c>
      <c r="Q15">
        <v>-1.5037589999999999E-3</v>
      </c>
      <c r="U15" s="126">
        <v>43081</v>
      </c>
      <c r="V15">
        <v>1122</v>
      </c>
      <c r="W15">
        <v>1122</v>
      </c>
      <c r="X15">
        <v>1121.3</v>
      </c>
      <c r="Y15">
        <v>1121.4000000000001</v>
      </c>
      <c r="Z15">
        <v>58</v>
      </c>
      <c r="AA15">
        <v>-2.0953379000000001E-2</v>
      </c>
      <c r="AE15" s="126">
        <v>43385</v>
      </c>
      <c r="AF15">
        <v>1246.5</v>
      </c>
      <c r="AG15">
        <v>1280</v>
      </c>
      <c r="AH15">
        <v>1246.5</v>
      </c>
      <c r="AI15">
        <v>1253.5</v>
      </c>
      <c r="AJ15">
        <v>6336</v>
      </c>
      <c r="AK15">
        <v>2.2347280000000001E-2</v>
      </c>
      <c r="AO15" s="126">
        <v>43781</v>
      </c>
      <c r="AP15">
        <v>1692</v>
      </c>
      <c r="AQ15">
        <v>1695</v>
      </c>
      <c r="AR15">
        <v>1680</v>
      </c>
      <c r="AS15">
        <v>1685.4</v>
      </c>
      <c r="AT15">
        <v>1329</v>
      </c>
      <c r="AU15">
        <v>-2.721893E-3</v>
      </c>
    </row>
    <row r="16" spans="1:49" x14ac:dyDescent="0.3">
      <c r="A16" t="s">
        <v>805</v>
      </c>
      <c r="B16">
        <v>1499</v>
      </c>
      <c r="C16">
        <v>1499</v>
      </c>
      <c r="D16">
        <v>1480</v>
      </c>
      <c r="E16">
        <v>1482.7</v>
      </c>
      <c r="F16">
        <v>244</v>
      </c>
      <c r="G16" s="66">
        <v>-1.0999999999999999E-2</v>
      </c>
      <c r="K16" s="126">
        <v>42686</v>
      </c>
      <c r="L16">
        <v>1205</v>
      </c>
      <c r="M16">
        <v>1206</v>
      </c>
      <c r="N16">
        <v>1196</v>
      </c>
      <c r="O16">
        <v>1197</v>
      </c>
      <c r="P16">
        <v>1298</v>
      </c>
      <c r="Q16">
        <v>-6.3091479999999997E-3</v>
      </c>
      <c r="U16" s="126">
        <v>43051</v>
      </c>
      <c r="V16">
        <v>1124.9000000000001</v>
      </c>
      <c r="W16">
        <v>1150</v>
      </c>
      <c r="X16">
        <v>1124.9000000000001</v>
      </c>
      <c r="Y16">
        <v>1145.4000000000001</v>
      </c>
      <c r="Z16">
        <v>7032</v>
      </c>
      <c r="AA16">
        <v>1.6056062999999999E-2</v>
      </c>
      <c r="AE16" s="126">
        <v>43355</v>
      </c>
      <c r="AF16">
        <v>1192.8</v>
      </c>
      <c r="AG16">
        <v>1247</v>
      </c>
      <c r="AH16">
        <v>1191</v>
      </c>
      <c r="AI16">
        <v>1226.0999999999999</v>
      </c>
      <c r="AJ16">
        <v>1942</v>
      </c>
      <c r="AK16">
        <v>4.4111386000000002E-2</v>
      </c>
      <c r="AO16" s="126">
        <v>43750</v>
      </c>
      <c r="AP16">
        <v>1707</v>
      </c>
      <c r="AQ16">
        <v>1707</v>
      </c>
      <c r="AR16">
        <v>1689.2</v>
      </c>
      <c r="AS16">
        <v>1690</v>
      </c>
      <c r="AT16">
        <v>2151</v>
      </c>
      <c r="AU16">
        <v>2.3674199999999999E-4</v>
      </c>
    </row>
    <row r="17" spans="1:47" x14ac:dyDescent="0.3">
      <c r="A17" s="126">
        <v>42289</v>
      </c>
      <c r="B17">
        <v>1560</v>
      </c>
      <c r="C17">
        <v>1560</v>
      </c>
      <c r="D17">
        <v>1485</v>
      </c>
      <c r="E17">
        <v>1499.2</v>
      </c>
      <c r="F17">
        <v>303</v>
      </c>
      <c r="G17" s="66">
        <v>4.4999999999999997E-3</v>
      </c>
      <c r="K17" s="126">
        <v>42594</v>
      </c>
      <c r="L17">
        <v>1206</v>
      </c>
      <c r="M17">
        <v>1211</v>
      </c>
      <c r="N17">
        <v>1204.0999999999999</v>
      </c>
      <c r="O17">
        <v>1204.5999999999999</v>
      </c>
      <c r="P17">
        <v>516</v>
      </c>
      <c r="Q17">
        <v>-9.9518999999999996E-4</v>
      </c>
      <c r="U17" s="126">
        <v>43020</v>
      </c>
      <c r="V17">
        <v>1125</v>
      </c>
      <c r="W17">
        <v>1136.5</v>
      </c>
      <c r="X17">
        <v>1120.0999999999999</v>
      </c>
      <c r="Y17">
        <v>1127.3</v>
      </c>
      <c r="Z17">
        <v>184</v>
      </c>
      <c r="AA17">
        <v>-5.9959439999999996E-3</v>
      </c>
      <c r="AE17" s="126">
        <v>43263</v>
      </c>
      <c r="AF17">
        <v>1161.3</v>
      </c>
      <c r="AG17">
        <v>1197.5</v>
      </c>
      <c r="AH17">
        <v>1161</v>
      </c>
      <c r="AI17">
        <v>1174.3</v>
      </c>
      <c r="AJ17">
        <v>701</v>
      </c>
      <c r="AK17">
        <v>7.8098179999999996E-3</v>
      </c>
      <c r="AO17" s="126">
        <v>43720</v>
      </c>
      <c r="AP17">
        <v>1706.1</v>
      </c>
      <c r="AQ17">
        <v>1706.5</v>
      </c>
      <c r="AR17">
        <v>1681.5</v>
      </c>
      <c r="AS17">
        <v>1689.6</v>
      </c>
      <c r="AT17">
        <v>2333</v>
      </c>
      <c r="AU17">
        <v>-1.0946555E-2</v>
      </c>
    </row>
    <row r="18" spans="1:47" x14ac:dyDescent="0.3">
      <c r="A18" s="126">
        <v>42259</v>
      </c>
      <c r="B18">
        <v>1490.2</v>
      </c>
      <c r="C18">
        <v>1500</v>
      </c>
      <c r="D18">
        <v>1480</v>
      </c>
      <c r="E18">
        <v>1492.5</v>
      </c>
      <c r="F18">
        <v>393</v>
      </c>
      <c r="G18" s="66">
        <v>-3.8E-3</v>
      </c>
      <c r="K18" s="126">
        <v>42563</v>
      </c>
      <c r="L18">
        <v>1207</v>
      </c>
      <c r="M18">
        <v>1210</v>
      </c>
      <c r="N18">
        <v>1205</v>
      </c>
      <c r="O18">
        <v>1205.8</v>
      </c>
      <c r="P18">
        <v>1473</v>
      </c>
      <c r="Q18">
        <v>-2.2341750000000001E-3</v>
      </c>
      <c r="U18" s="126">
        <v>42928</v>
      </c>
      <c r="V18">
        <v>1110</v>
      </c>
      <c r="W18">
        <v>1135</v>
      </c>
      <c r="X18">
        <v>1110</v>
      </c>
      <c r="Y18">
        <v>1134.0999999999999</v>
      </c>
      <c r="Z18">
        <v>8237</v>
      </c>
      <c r="AA18">
        <v>1.9232498000000001E-2</v>
      </c>
      <c r="AE18" s="126">
        <v>43232</v>
      </c>
      <c r="AF18">
        <v>1195</v>
      </c>
      <c r="AG18">
        <v>1195</v>
      </c>
      <c r="AH18">
        <v>1160.2</v>
      </c>
      <c r="AI18">
        <v>1165.2</v>
      </c>
      <c r="AJ18">
        <v>1054</v>
      </c>
      <c r="AK18">
        <v>-7.4111929999999999E-3</v>
      </c>
      <c r="AO18" s="126">
        <v>43689</v>
      </c>
      <c r="AP18">
        <v>1720</v>
      </c>
      <c r="AQ18">
        <v>1720</v>
      </c>
      <c r="AR18">
        <v>1701</v>
      </c>
      <c r="AS18">
        <v>1708.3</v>
      </c>
      <c r="AT18">
        <v>1042</v>
      </c>
      <c r="AU18">
        <v>-4.9510719999999999E-3</v>
      </c>
    </row>
    <row r="19" spans="1:47" x14ac:dyDescent="0.3">
      <c r="A19" s="126">
        <v>42228</v>
      </c>
      <c r="B19">
        <v>1487.7</v>
      </c>
      <c r="C19">
        <v>1514.8</v>
      </c>
      <c r="D19">
        <v>1487.5</v>
      </c>
      <c r="E19">
        <v>1498.2</v>
      </c>
      <c r="F19">
        <v>254</v>
      </c>
      <c r="G19" s="66">
        <v>-4.1000000000000003E-3</v>
      </c>
      <c r="K19" s="126">
        <v>42533</v>
      </c>
      <c r="L19">
        <v>1215</v>
      </c>
      <c r="M19">
        <v>1215</v>
      </c>
      <c r="N19">
        <v>1206</v>
      </c>
      <c r="O19">
        <v>1208.5</v>
      </c>
      <c r="P19">
        <v>606</v>
      </c>
      <c r="Q19">
        <v>3.1543119999999998E-3</v>
      </c>
      <c r="U19" s="126">
        <v>42898</v>
      </c>
      <c r="V19">
        <v>1090</v>
      </c>
      <c r="W19">
        <v>1120</v>
      </c>
      <c r="X19">
        <v>1090</v>
      </c>
      <c r="Y19">
        <v>1112.7</v>
      </c>
      <c r="Z19">
        <v>4440</v>
      </c>
      <c r="AA19">
        <v>1.4126868000000001E-2</v>
      </c>
      <c r="AE19" s="126">
        <v>43202</v>
      </c>
      <c r="AF19">
        <v>1192.7</v>
      </c>
      <c r="AG19">
        <v>1200</v>
      </c>
      <c r="AH19">
        <v>1160</v>
      </c>
      <c r="AI19">
        <v>1173.9000000000001</v>
      </c>
      <c r="AJ19">
        <v>8926</v>
      </c>
      <c r="AK19">
        <v>-1.5680026999999999E-2</v>
      </c>
      <c r="AO19" s="126">
        <v>43597</v>
      </c>
      <c r="AP19">
        <v>1708</v>
      </c>
      <c r="AQ19">
        <v>1722.9</v>
      </c>
      <c r="AR19">
        <v>1708</v>
      </c>
      <c r="AS19">
        <v>1716.8</v>
      </c>
      <c r="AT19">
        <v>2913</v>
      </c>
      <c r="AU19">
        <v>9.3283600000000004E-4</v>
      </c>
    </row>
    <row r="20" spans="1:47" x14ac:dyDescent="0.3">
      <c r="A20" s="126">
        <v>42197</v>
      </c>
      <c r="B20">
        <v>1491.1</v>
      </c>
      <c r="C20">
        <v>1513</v>
      </c>
      <c r="D20">
        <v>1491.1</v>
      </c>
      <c r="E20">
        <v>1504.4</v>
      </c>
      <c r="F20">
        <v>425</v>
      </c>
      <c r="G20" s="66">
        <v>8.3999999999999995E-3</v>
      </c>
      <c r="K20" s="126">
        <v>42502</v>
      </c>
      <c r="L20">
        <v>1206.2</v>
      </c>
      <c r="M20">
        <v>1219</v>
      </c>
      <c r="N20">
        <v>1203</v>
      </c>
      <c r="O20">
        <v>1204.7</v>
      </c>
      <c r="P20">
        <v>1685</v>
      </c>
      <c r="Q20">
        <v>-1.7401389999999999E-3</v>
      </c>
      <c r="U20" s="126">
        <v>42867</v>
      </c>
      <c r="V20">
        <v>1099</v>
      </c>
      <c r="W20">
        <v>1100</v>
      </c>
      <c r="X20">
        <v>1090</v>
      </c>
      <c r="Y20">
        <v>1097.2</v>
      </c>
      <c r="Z20">
        <v>4315</v>
      </c>
      <c r="AA20">
        <v>1.8094089000000001E-2</v>
      </c>
      <c r="AE20" s="126">
        <v>43171</v>
      </c>
      <c r="AF20">
        <v>1182.0999999999999</v>
      </c>
      <c r="AG20">
        <v>1220</v>
      </c>
      <c r="AH20">
        <v>1182.0999999999999</v>
      </c>
      <c r="AI20">
        <v>1192.5999999999999</v>
      </c>
      <c r="AJ20">
        <v>3430</v>
      </c>
      <c r="AK20">
        <v>1.0164322999999999E-2</v>
      </c>
      <c r="AO20" s="126">
        <v>43567</v>
      </c>
      <c r="AP20">
        <v>1717.9</v>
      </c>
      <c r="AQ20">
        <v>1725</v>
      </c>
      <c r="AR20">
        <v>1712.2</v>
      </c>
      <c r="AS20">
        <v>1715.2</v>
      </c>
      <c r="AT20">
        <v>291</v>
      </c>
      <c r="AU20">
        <v>-1.5716860000000001E-3</v>
      </c>
    </row>
    <row r="21" spans="1:47" x14ac:dyDescent="0.3">
      <c r="A21" s="126">
        <v>42167</v>
      </c>
      <c r="B21">
        <v>1498.9</v>
      </c>
      <c r="C21">
        <v>1504</v>
      </c>
      <c r="D21">
        <v>1490</v>
      </c>
      <c r="E21">
        <v>1491.8</v>
      </c>
      <c r="F21">
        <v>2535</v>
      </c>
      <c r="G21" s="66">
        <v>-1.1999999999999999E-3</v>
      </c>
      <c r="K21" s="126">
        <v>42472</v>
      </c>
      <c r="L21">
        <v>1202.3</v>
      </c>
      <c r="M21">
        <v>1215</v>
      </c>
      <c r="N21">
        <v>1202.2</v>
      </c>
      <c r="O21">
        <v>1206.8</v>
      </c>
      <c r="P21">
        <v>563</v>
      </c>
      <c r="Q21">
        <v>-1.2438625E-2</v>
      </c>
      <c r="U21" s="126">
        <v>42837</v>
      </c>
      <c r="V21">
        <v>1077.5</v>
      </c>
      <c r="W21">
        <v>1084</v>
      </c>
      <c r="X21">
        <v>1076</v>
      </c>
      <c r="Y21">
        <v>1077.7</v>
      </c>
      <c r="Z21">
        <v>641</v>
      </c>
      <c r="AA21">
        <v>-2.12963E-3</v>
      </c>
      <c r="AE21" s="126">
        <v>43143</v>
      </c>
      <c r="AF21">
        <v>1220</v>
      </c>
      <c r="AG21">
        <v>1220.0999999999999</v>
      </c>
      <c r="AH21">
        <v>1165</v>
      </c>
      <c r="AI21">
        <v>1180.5999999999999</v>
      </c>
      <c r="AJ21">
        <v>2523</v>
      </c>
      <c r="AK21">
        <v>-2.7432242999999999E-2</v>
      </c>
      <c r="AO21" s="126">
        <v>43536</v>
      </c>
      <c r="AP21">
        <v>1706</v>
      </c>
      <c r="AQ21">
        <v>1725</v>
      </c>
      <c r="AR21">
        <v>1706</v>
      </c>
      <c r="AS21">
        <v>1717.9</v>
      </c>
      <c r="AT21">
        <v>696</v>
      </c>
      <c r="AU21">
        <v>4.5611369999999998E-3</v>
      </c>
    </row>
    <row r="22" spans="1:47" x14ac:dyDescent="0.3">
      <c r="A22" s="126">
        <v>42075</v>
      </c>
      <c r="B22">
        <v>1480</v>
      </c>
      <c r="C22">
        <v>1512.3</v>
      </c>
      <c r="D22">
        <v>1480</v>
      </c>
      <c r="E22">
        <v>1493.6</v>
      </c>
      <c r="F22">
        <v>1761</v>
      </c>
      <c r="G22" s="66">
        <v>8.9999999999999998E-4</v>
      </c>
      <c r="K22" s="126">
        <v>42381</v>
      </c>
      <c r="L22">
        <v>1201.3</v>
      </c>
      <c r="M22">
        <v>1222.9000000000001</v>
      </c>
      <c r="N22">
        <v>1201.3</v>
      </c>
      <c r="O22">
        <v>1222</v>
      </c>
      <c r="P22">
        <v>166</v>
      </c>
      <c r="Q22">
        <v>1.6892734999999999E-2</v>
      </c>
      <c r="U22" s="126">
        <v>42806</v>
      </c>
      <c r="V22">
        <v>1079</v>
      </c>
      <c r="W22">
        <v>1099</v>
      </c>
      <c r="X22">
        <v>1079</v>
      </c>
      <c r="Y22">
        <v>1080</v>
      </c>
      <c r="Z22">
        <v>536</v>
      </c>
      <c r="AA22">
        <v>-3.8738240000000001E-3</v>
      </c>
      <c r="AE22" t="s">
        <v>804</v>
      </c>
      <c r="AF22">
        <v>1289</v>
      </c>
      <c r="AG22">
        <v>1289</v>
      </c>
      <c r="AH22">
        <v>1206.8</v>
      </c>
      <c r="AI22">
        <v>1213.9000000000001</v>
      </c>
      <c r="AJ22">
        <v>7355</v>
      </c>
      <c r="AK22">
        <v>-5.6945308E-2</v>
      </c>
      <c r="AO22" s="126">
        <v>43508</v>
      </c>
      <c r="AP22">
        <v>1710</v>
      </c>
      <c r="AQ22">
        <v>1715</v>
      </c>
      <c r="AR22">
        <v>1708</v>
      </c>
      <c r="AS22">
        <v>1710.1</v>
      </c>
      <c r="AT22">
        <v>253</v>
      </c>
      <c r="AU22">
        <v>5.8820069999999999E-3</v>
      </c>
    </row>
    <row r="23" spans="1:47" x14ac:dyDescent="0.3">
      <c r="A23" s="126">
        <v>42047</v>
      </c>
      <c r="B23">
        <v>1481</v>
      </c>
      <c r="C23">
        <v>1515</v>
      </c>
      <c r="D23">
        <v>1479</v>
      </c>
      <c r="E23">
        <v>1492.2</v>
      </c>
      <c r="F23">
        <v>1119</v>
      </c>
      <c r="G23" s="66">
        <v>-1.6999999999999999E-3</v>
      </c>
      <c r="K23" t="s">
        <v>803</v>
      </c>
      <c r="L23">
        <v>1201.0999999999999</v>
      </c>
      <c r="M23">
        <v>1205.3</v>
      </c>
      <c r="N23">
        <v>1201.0999999999999</v>
      </c>
      <c r="O23">
        <v>1201.7</v>
      </c>
      <c r="P23">
        <v>306</v>
      </c>
      <c r="Q23">
        <v>-1.9931900000000002E-3</v>
      </c>
      <c r="U23" t="s">
        <v>802</v>
      </c>
      <c r="V23">
        <v>1105</v>
      </c>
      <c r="W23">
        <v>1105</v>
      </c>
      <c r="X23">
        <v>1083</v>
      </c>
      <c r="Y23">
        <v>1084.2</v>
      </c>
      <c r="Z23">
        <v>1545</v>
      </c>
      <c r="AA23">
        <v>-9.0485329999999992E-3</v>
      </c>
      <c r="AE23" t="s">
        <v>801</v>
      </c>
      <c r="AF23">
        <v>1360.1</v>
      </c>
      <c r="AG23">
        <v>1396</v>
      </c>
      <c r="AH23">
        <v>1268.0999999999999</v>
      </c>
      <c r="AI23">
        <v>1287.2</v>
      </c>
      <c r="AJ23">
        <v>6345</v>
      </c>
      <c r="AK23">
        <v>-4.8069812000000003E-2</v>
      </c>
      <c r="AO23" s="126">
        <v>43477</v>
      </c>
      <c r="AP23">
        <v>1702.5</v>
      </c>
      <c r="AQ23">
        <v>1710</v>
      </c>
      <c r="AR23">
        <v>1695</v>
      </c>
      <c r="AS23">
        <v>1700.1</v>
      </c>
      <c r="AT23">
        <v>1328</v>
      </c>
      <c r="AU23">
        <v>-1.2336980000000001E-3</v>
      </c>
    </row>
    <row r="24" spans="1:47" x14ac:dyDescent="0.3">
      <c r="A24" s="126">
        <v>42016</v>
      </c>
      <c r="B24">
        <v>1470</v>
      </c>
      <c r="C24">
        <v>1533.9</v>
      </c>
      <c r="D24">
        <v>1455</v>
      </c>
      <c r="E24">
        <v>1494.7</v>
      </c>
      <c r="F24">
        <v>3291</v>
      </c>
      <c r="G24" s="66">
        <v>5.4000000000000003E-3</v>
      </c>
      <c r="K24" t="s">
        <v>800</v>
      </c>
      <c r="L24">
        <v>1197</v>
      </c>
      <c r="M24">
        <v>1210.2</v>
      </c>
      <c r="N24">
        <v>1196.2</v>
      </c>
      <c r="O24">
        <v>1204.0999999999999</v>
      </c>
      <c r="P24">
        <v>217</v>
      </c>
      <c r="Q24">
        <v>8.3118600000000003E-4</v>
      </c>
      <c r="U24" t="s">
        <v>799</v>
      </c>
      <c r="V24">
        <v>1087</v>
      </c>
      <c r="W24">
        <v>1099</v>
      </c>
      <c r="X24">
        <v>1087</v>
      </c>
      <c r="Y24">
        <v>1094.0999999999999</v>
      </c>
      <c r="Z24">
        <v>1753</v>
      </c>
      <c r="AA24">
        <v>-1.2779550000000001E-3</v>
      </c>
      <c r="AE24" t="s">
        <v>798</v>
      </c>
      <c r="AF24">
        <v>1318</v>
      </c>
      <c r="AG24">
        <v>1352.4</v>
      </c>
      <c r="AH24">
        <v>1318</v>
      </c>
      <c r="AI24">
        <v>1352.2</v>
      </c>
      <c r="AJ24">
        <v>32664</v>
      </c>
      <c r="AK24">
        <v>6.2298687999999998E-2</v>
      </c>
      <c r="AO24" t="s">
        <v>797</v>
      </c>
      <c r="AP24">
        <v>1710</v>
      </c>
      <c r="AQ24">
        <v>1719</v>
      </c>
      <c r="AR24">
        <v>1700</v>
      </c>
      <c r="AS24">
        <v>1702.2</v>
      </c>
      <c r="AT24">
        <v>899</v>
      </c>
      <c r="AU24">
        <v>-1.70078E-3</v>
      </c>
    </row>
    <row r="25" spans="1:47" x14ac:dyDescent="0.3">
      <c r="A25" t="s">
        <v>796</v>
      </c>
      <c r="B25">
        <v>1463.1</v>
      </c>
      <c r="C25">
        <v>1499.9</v>
      </c>
      <c r="D25">
        <v>1463.1</v>
      </c>
      <c r="E25">
        <v>1486.6</v>
      </c>
      <c r="F25">
        <v>349</v>
      </c>
      <c r="G25" s="66">
        <v>-2.9999999999999997E-4</v>
      </c>
      <c r="K25" t="s">
        <v>795</v>
      </c>
      <c r="L25">
        <v>1192.5</v>
      </c>
      <c r="M25">
        <v>1220</v>
      </c>
      <c r="N25">
        <v>1192.5</v>
      </c>
      <c r="O25">
        <v>1203.0999999999999</v>
      </c>
      <c r="P25">
        <v>566</v>
      </c>
      <c r="Q25">
        <v>8.5505909999999997E-3</v>
      </c>
      <c r="U25" t="s">
        <v>794</v>
      </c>
      <c r="V25">
        <v>1095.3</v>
      </c>
      <c r="W25">
        <v>1101.4000000000001</v>
      </c>
      <c r="X25">
        <v>1094</v>
      </c>
      <c r="Y25">
        <v>1095.5</v>
      </c>
      <c r="Z25">
        <v>1731</v>
      </c>
      <c r="AA25">
        <v>-1.4583899999999999E-3</v>
      </c>
      <c r="AE25" t="s">
        <v>793</v>
      </c>
      <c r="AF25">
        <v>1229</v>
      </c>
      <c r="AG25">
        <v>1272.9000000000001</v>
      </c>
      <c r="AH25">
        <v>1229</v>
      </c>
      <c r="AI25">
        <v>1272.9000000000001</v>
      </c>
      <c r="AJ25">
        <v>14647</v>
      </c>
      <c r="AK25">
        <v>6.2432184000000002E-2</v>
      </c>
      <c r="AO25" t="s">
        <v>792</v>
      </c>
      <c r="AP25">
        <v>1710</v>
      </c>
      <c r="AQ25">
        <v>1713.8</v>
      </c>
      <c r="AR25">
        <v>1699</v>
      </c>
      <c r="AS25">
        <v>1705.1</v>
      </c>
      <c r="AT25">
        <v>7872</v>
      </c>
      <c r="AU25">
        <v>-1.873207E-3</v>
      </c>
    </row>
    <row r="26" spans="1:47" x14ac:dyDescent="0.3">
      <c r="A26" t="s">
        <v>791</v>
      </c>
      <c r="B26">
        <v>1500</v>
      </c>
      <c r="C26">
        <v>1500</v>
      </c>
      <c r="D26">
        <v>1481</v>
      </c>
      <c r="E26">
        <v>1487.1</v>
      </c>
      <c r="F26">
        <v>755</v>
      </c>
      <c r="G26" s="66">
        <v>-4.3E-3</v>
      </c>
      <c r="K26" t="s">
        <v>790</v>
      </c>
      <c r="L26">
        <v>1192</v>
      </c>
      <c r="M26">
        <v>1200</v>
      </c>
      <c r="N26">
        <v>1191.7</v>
      </c>
      <c r="O26">
        <v>1192.9000000000001</v>
      </c>
      <c r="P26">
        <v>992</v>
      </c>
      <c r="Q26">
        <v>-2.7587359999999999E-3</v>
      </c>
      <c r="U26" t="s">
        <v>789</v>
      </c>
      <c r="V26">
        <v>1100.0999999999999</v>
      </c>
      <c r="W26">
        <v>1108</v>
      </c>
      <c r="X26">
        <v>1096</v>
      </c>
      <c r="Y26">
        <v>1097.0999999999999</v>
      </c>
      <c r="Z26">
        <v>2469</v>
      </c>
      <c r="AA26">
        <v>-3.9041219999999999E-3</v>
      </c>
      <c r="AE26" t="s">
        <v>788</v>
      </c>
      <c r="AF26">
        <v>1186.5</v>
      </c>
      <c r="AG26">
        <v>1212</v>
      </c>
      <c r="AH26">
        <v>1186.5</v>
      </c>
      <c r="AI26">
        <v>1198.0999999999999</v>
      </c>
      <c r="AJ26">
        <v>2056</v>
      </c>
      <c r="AK26">
        <v>1.9659573999999999E-2</v>
      </c>
      <c r="AO26" t="s">
        <v>787</v>
      </c>
      <c r="AP26">
        <v>1725</v>
      </c>
      <c r="AQ26">
        <v>1725</v>
      </c>
      <c r="AR26">
        <v>1703.8</v>
      </c>
      <c r="AS26">
        <v>1708.3</v>
      </c>
      <c r="AT26">
        <v>1617</v>
      </c>
      <c r="AU26">
        <v>-8.9917620000000004E-3</v>
      </c>
    </row>
    <row r="27" spans="1:47" x14ac:dyDescent="0.3">
      <c r="A27" t="s">
        <v>786</v>
      </c>
      <c r="B27">
        <v>1493</v>
      </c>
      <c r="C27">
        <v>1500</v>
      </c>
      <c r="D27">
        <v>1492</v>
      </c>
      <c r="E27">
        <v>1493.5</v>
      </c>
      <c r="F27">
        <v>275</v>
      </c>
      <c r="G27" s="66">
        <v>-3.5000000000000001E-3</v>
      </c>
      <c r="K27" t="s">
        <v>785</v>
      </c>
      <c r="L27">
        <v>1198</v>
      </c>
      <c r="M27">
        <v>1200</v>
      </c>
      <c r="N27">
        <v>1189</v>
      </c>
      <c r="O27">
        <v>1196.2</v>
      </c>
      <c r="P27">
        <v>1641</v>
      </c>
      <c r="Q27">
        <v>3.4393090000000002E-3</v>
      </c>
      <c r="U27" t="s">
        <v>784</v>
      </c>
      <c r="V27">
        <v>1113.8</v>
      </c>
      <c r="W27">
        <v>1113.8</v>
      </c>
      <c r="X27">
        <v>1093.0999999999999</v>
      </c>
      <c r="Y27">
        <v>1101.4000000000001</v>
      </c>
      <c r="Z27">
        <v>1114</v>
      </c>
      <c r="AA27">
        <v>2.5486979999999998E-3</v>
      </c>
      <c r="AE27" t="s">
        <v>783</v>
      </c>
      <c r="AF27">
        <v>1178</v>
      </c>
      <c r="AG27">
        <v>1178</v>
      </c>
      <c r="AH27">
        <v>1161</v>
      </c>
      <c r="AI27">
        <v>1175</v>
      </c>
      <c r="AJ27">
        <v>83</v>
      </c>
      <c r="AK27">
        <v>5.2185820000000003E-3</v>
      </c>
      <c r="AO27" t="s">
        <v>782</v>
      </c>
      <c r="AP27">
        <v>1720</v>
      </c>
      <c r="AQ27">
        <v>1742.1</v>
      </c>
      <c r="AR27">
        <v>1720</v>
      </c>
      <c r="AS27">
        <v>1723.8</v>
      </c>
      <c r="AT27">
        <v>846</v>
      </c>
      <c r="AU27">
        <v>-8.1150000000000005E-4</v>
      </c>
    </row>
    <row r="28" spans="1:47" x14ac:dyDescent="0.3">
      <c r="A28" t="s">
        <v>781</v>
      </c>
      <c r="B28">
        <v>1492</v>
      </c>
      <c r="C28">
        <v>1500</v>
      </c>
      <c r="D28">
        <v>1492</v>
      </c>
      <c r="E28">
        <v>1498.7</v>
      </c>
      <c r="F28">
        <v>1231</v>
      </c>
      <c r="G28" s="66">
        <v>4.0000000000000001E-3</v>
      </c>
      <c r="K28" t="s">
        <v>780</v>
      </c>
      <c r="L28">
        <v>1200.0999999999999</v>
      </c>
      <c r="M28">
        <v>1200.0999999999999</v>
      </c>
      <c r="N28">
        <v>1190</v>
      </c>
      <c r="O28">
        <v>1192.0999999999999</v>
      </c>
      <c r="P28">
        <v>2210</v>
      </c>
      <c r="Q28">
        <v>-6.5833330000000002E-3</v>
      </c>
      <c r="U28" t="s">
        <v>779</v>
      </c>
      <c r="V28">
        <v>1118</v>
      </c>
      <c r="W28">
        <v>1118</v>
      </c>
      <c r="X28">
        <v>1094</v>
      </c>
      <c r="Y28">
        <v>1098.5999999999999</v>
      </c>
      <c r="Z28">
        <v>4241</v>
      </c>
      <c r="AA28">
        <v>1.458523E-3</v>
      </c>
      <c r="AE28" t="s">
        <v>778</v>
      </c>
      <c r="AF28">
        <v>1183.4000000000001</v>
      </c>
      <c r="AG28">
        <v>1183.4000000000001</v>
      </c>
      <c r="AH28">
        <v>1132</v>
      </c>
      <c r="AI28">
        <v>1168.9000000000001</v>
      </c>
      <c r="AJ28">
        <v>136</v>
      </c>
      <c r="AK28">
        <v>-4.6832430000000001E-3</v>
      </c>
      <c r="AO28" t="s">
        <v>777</v>
      </c>
      <c r="AP28">
        <v>1723.2</v>
      </c>
      <c r="AQ28">
        <v>1726.5</v>
      </c>
      <c r="AR28">
        <v>1723.1</v>
      </c>
      <c r="AS28">
        <v>1725.2</v>
      </c>
      <c r="AT28">
        <v>210</v>
      </c>
      <c r="AU28">
        <v>-3.1203049999999999E-3</v>
      </c>
    </row>
    <row r="29" spans="1:47" x14ac:dyDescent="0.3">
      <c r="A29" t="s">
        <v>776</v>
      </c>
      <c r="B29">
        <v>1515</v>
      </c>
      <c r="C29">
        <v>1515.1</v>
      </c>
      <c r="D29">
        <v>1480</v>
      </c>
      <c r="E29">
        <v>1492.8</v>
      </c>
      <c r="F29">
        <v>1289</v>
      </c>
      <c r="G29" s="66">
        <v>-1.7600000000000001E-2</v>
      </c>
      <c r="K29" t="s">
        <v>775</v>
      </c>
      <c r="L29">
        <v>1216</v>
      </c>
      <c r="M29">
        <v>1220</v>
      </c>
      <c r="N29">
        <v>1199.5</v>
      </c>
      <c r="O29">
        <v>1200</v>
      </c>
      <c r="P29">
        <v>30339</v>
      </c>
      <c r="Q29">
        <v>-1.0798779999999999E-2</v>
      </c>
      <c r="U29" t="s">
        <v>774</v>
      </c>
      <c r="V29">
        <v>1093.2</v>
      </c>
      <c r="W29">
        <v>1100</v>
      </c>
      <c r="X29">
        <v>1085</v>
      </c>
      <c r="Y29">
        <v>1097</v>
      </c>
      <c r="Z29">
        <v>1314</v>
      </c>
      <c r="AA29">
        <v>3.4760339999999998E-3</v>
      </c>
      <c r="AE29" t="s">
        <v>773</v>
      </c>
      <c r="AF29">
        <v>1170</v>
      </c>
      <c r="AG29">
        <v>1175</v>
      </c>
      <c r="AH29">
        <v>1170</v>
      </c>
      <c r="AI29">
        <v>1174.4000000000001</v>
      </c>
      <c r="AJ29">
        <v>229</v>
      </c>
      <c r="AK29">
        <v>5.221262E-3</v>
      </c>
      <c r="AO29" t="s">
        <v>772</v>
      </c>
      <c r="AP29">
        <v>1750</v>
      </c>
      <c r="AQ29">
        <v>1750</v>
      </c>
      <c r="AR29">
        <v>1715.3</v>
      </c>
      <c r="AS29">
        <v>1730.6</v>
      </c>
      <c r="AT29">
        <v>2192</v>
      </c>
      <c r="AU29">
        <v>-8.4226209999999999E-3</v>
      </c>
    </row>
    <row r="30" spans="1:47" x14ac:dyDescent="0.3">
      <c r="A30" t="s">
        <v>771</v>
      </c>
      <c r="B30">
        <v>1521</v>
      </c>
      <c r="C30">
        <v>1538</v>
      </c>
      <c r="D30">
        <v>1515</v>
      </c>
      <c r="E30">
        <v>1519.6</v>
      </c>
      <c r="F30">
        <v>1044</v>
      </c>
      <c r="G30" s="66">
        <v>1E-4</v>
      </c>
      <c r="K30" t="s">
        <v>770</v>
      </c>
      <c r="L30">
        <v>1213.2</v>
      </c>
      <c r="M30">
        <v>1213.2</v>
      </c>
      <c r="N30">
        <v>1213.0999999999999</v>
      </c>
      <c r="O30">
        <v>1213.0999999999999</v>
      </c>
      <c r="P30">
        <v>50</v>
      </c>
      <c r="Q30">
        <v>-4.5950599999999998E-3</v>
      </c>
      <c r="U30" t="s">
        <v>769</v>
      </c>
      <c r="V30">
        <v>1091.0999999999999</v>
      </c>
      <c r="W30">
        <v>1097</v>
      </c>
      <c r="X30">
        <v>1085</v>
      </c>
      <c r="Y30">
        <v>1093.2</v>
      </c>
      <c r="Z30">
        <v>1648</v>
      </c>
      <c r="AA30">
        <v>1.9246630000000001E-3</v>
      </c>
      <c r="AE30" t="s">
        <v>768</v>
      </c>
      <c r="AF30">
        <v>1171.8</v>
      </c>
      <c r="AG30">
        <v>1171.8</v>
      </c>
      <c r="AH30">
        <v>1166</v>
      </c>
      <c r="AI30">
        <v>1168.3</v>
      </c>
      <c r="AJ30">
        <v>15</v>
      </c>
      <c r="AK30">
        <v>1.8747819999999998E-2</v>
      </c>
      <c r="AO30" t="s">
        <v>767</v>
      </c>
      <c r="AP30">
        <v>1716.3</v>
      </c>
      <c r="AQ30">
        <v>1749</v>
      </c>
      <c r="AR30">
        <v>1716.3</v>
      </c>
      <c r="AS30">
        <v>1745.3</v>
      </c>
      <c r="AT30">
        <v>7561</v>
      </c>
      <c r="AU30">
        <v>1.7905051000000002E-2</v>
      </c>
    </row>
    <row r="31" spans="1:47" x14ac:dyDescent="0.3">
      <c r="A31" t="s">
        <v>766</v>
      </c>
      <c r="B31">
        <v>1520</v>
      </c>
      <c r="C31">
        <v>1529</v>
      </c>
      <c r="D31">
        <v>1516.1</v>
      </c>
      <c r="E31">
        <v>1519.5</v>
      </c>
      <c r="F31">
        <v>944</v>
      </c>
      <c r="G31" s="66">
        <v>5.1999999999999998E-3</v>
      </c>
      <c r="K31" t="s">
        <v>765</v>
      </c>
      <c r="L31">
        <v>1226.9000000000001</v>
      </c>
      <c r="M31">
        <v>1235</v>
      </c>
      <c r="N31">
        <v>1215</v>
      </c>
      <c r="O31">
        <v>1218.7</v>
      </c>
      <c r="P31">
        <v>1366</v>
      </c>
      <c r="Q31">
        <v>6.5686800000000001E-4</v>
      </c>
      <c r="U31" t="s">
        <v>764</v>
      </c>
      <c r="V31">
        <v>1095.3</v>
      </c>
      <c r="W31">
        <v>1109.9000000000001</v>
      </c>
      <c r="X31">
        <v>1090</v>
      </c>
      <c r="Y31">
        <v>1091.0999999999999</v>
      </c>
      <c r="Z31">
        <v>1844</v>
      </c>
      <c r="AA31">
        <v>-7.5495720000000001E-3</v>
      </c>
      <c r="AE31" t="s">
        <v>763</v>
      </c>
      <c r="AF31">
        <v>1120</v>
      </c>
      <c r="AG31">
        <v>1153</v>
      </c>
      <c r="AH31">
        <v>1120</v>
      </c>
      <c r="AI31">
        <v>1146.8</v>
      </c>
      <c r="AJ31">
        <v>16</v>
      </c>
      <c r="AK31">
        <v>-8.6445370000000007E-3</v>
      </c>
      <c r="AO31" t="s">
        <v>762</v>
      </c>
      <c r="AP31">
        <v>1702</v>
      </c>
      <c r="AQ31">
        <v>1717.5</v>
      </c>
      <c r="AR31">
        <v>1702</v>
      </c>
      <c r="AS31">
        <v>1714.6</v>
      </c>
      <c r="AT31">
        <v>5112</v>
      </c>
      <c r="AU31">
        <v>1.9283589999999999E-3</v>
      </c>
    </row>
    <row r="32" spans="1:47" x14ac:dyDescent="0.3">
      <c r="A32" t="s">
        <v>761</v>
      </c>
      <c r="B32">
        <v>1508</v>
      </c>
      <c r="C32">
        <v>1524.8</v>
      </c>
      <c r="D32">
        <v>1482.7</v>
      </c>
      <c r="E32">
        <v>1511.6</v>
      </c>
      <c r="F32">
        <v>1404</v>
      </c>
      <c r="G32" s="66">
        <v>1.9900000000000001E-2</v>
      </c>
      <c r="K32" t="s">
        <v>760</v>
      </c>
      <c r="L32">
        <v>1216.0999999999999</v>
      </c>
      <c r="M32">
        <v>1228.8</v>
      </c>
      <c r="N32">
        <v>1212.0999999999999</v>
      </c>
      <c r="O32">
        <v>1217.9000000000001</v>
      </c>
      <c r="P32">
        <v>669</v>
      </c>
      <c r="Q32">
        <v>-1.5042458999999999E-2</v>
      </c>
      <c r="U32" t="s">
        <v>759</v>
      </c>
      <c r="V32">
        <v>1100</v>
      </c>
      <c r="W32">
        <v>1135</v>
      </c>
      <c r="X32">
        <v>1091</v>
      </c>
      <c r="Y32">
        <v>1099.4000000000001</v>
      </c>
      <c r="Z32">
        <v>2285</v>
      </c>
      <c r="AA32">
        <v>-1.5580228999999999E-2</v>
      </c>
      <c r="AE32" t="s">
        <v>758</v>
      </c>
      <c r="AF32">
        <v>1156.8</v>
      </c>
      <c r="AG32">
        <v>1156.8</v>
      </c>
      <c r="AH32">
        <v>1156.8</v>
      </c>
      <c r="AI32">
        <v>1156.8</v>
      </c>
      <c r="AJ32">
        <v>15</v>
      </c>
      <c r="AK32">
        <v>-7.7740299999999997E-4</v>
      </c>
      <c r="AO32" t="s">
        <v>757</v>
      </c>
      <c r="AP32">
        <v>1706.2</v>
      </c>
      <c r="AQ32">
        <v>1715</v>
      </c>
      <c r="AR32">
        <v>1706.2</v>
      </c>
      <c r="AS32">
        <v>1711.3</v>
      </c>
      <c r="AT32">
        <v>3010</v>
      </c>
      <c r="AU32">
        <v>1.2872269999999999E-3</v>
      </c>
    </row>
    <row r="33" spans="1:47" x14ac:dyDescent="0.3">
      <c r="A33" t="s">
        <v>756</v>
      </c>
      <c r="B33">
        <v>1467.3</v>
      </c>
      <c r="C33">
        <v>1485</v>
      </c>
      <c r="D33">
        <v>1466</v>
      </c>
      <c r="E33">
        <v>1482.1</v>
      </c>
      <c r="F33">
        <v>428</v>
      </c>
      <c r="G33" s="66">
        <v>-6.9999999999999999E-4</v>
      </c>
      <c r="K33" t="s">
        <v>755</v>
      </c>
      <c r="L33">
        <v>1210</v>
      </c>
      <c r="M33">
        <v>1240</v>
      </c>
      <c r="N33">
        <v>1208</v>
      </c>
      <c r="O33">
        <v>1236.5</v>
      </c>
      <c r="P33">
        <v>1640</v>
      </c>
      <c r="Q33">
        <v>1.9541557000000001E-2</v>
      </c>
      <c r="U33" t="s">
        <v>754</v>
      </c>
      <c r="V33">
        <v>1135</v>
      </c>
      <c r="W33">
        <v>1135</v>
      </c>
      <c r="X33">
        <v>1102.7</v>
      </c>
      <c r="Y33">
        <v>1116.8</v>
      </c>
      <c r="Z33">
        <v>2896</v>
      </c>
      <c r="AA33">
        <v>2.9636279999999998E-3</v>
      </c>
      <c r="AE33" s="126">
        <v>43445</v>
      </c>
      <c r="AF33">
        <v>1153.3</v>
      </c>
      <c r="AG33">
        <v>1185</v>
      </c>
      <c r="AH33">
        <v>1153</v>
      </c>
      <c r="AI33">
        <v>1157.7</v>
      </c>
      <c r="AJ33">
        <v>1940</v>
      </c>
      <c r="AK33">
        <v>1.6685694000000001E-2</v>
      </c>
      <c r="AO33" t="s">
        <v>753</v>
      </c>
      <c r="AP33">
        <v>1701</v>
      </c>
      <c r="AQ33">
        <v>1727</v>
      </c>
      <c r="AR33">
        <v>1700</v>
      </c>
      <c r="AS33">
        <v>1709.1</v>
      </c>
      <c r="AT33">
        <v>1208</v>
      </c>
      <c r="AU33">
        <v>-7.6641699999999997E-3</v>
      </c>
    </row>
    <row r="34" spans="1:47" x14ac:dyDescent="0.3">
      <c r="A34" t="s">
        <v>752</v>
      </c>
      <c r="B34">
        <v>1500</v>
      </c>
      <c r="C34">
        <v>1500</v>
      </c>
      <c r="D34">
        <v>1455</v>
      </c>
      <c r="E34">
        <v>1483.1</v>
      </c>
      <c r="F34">
        <v>1710</v>
      </c>
      <c r="G34" s="66">
        <v>-1.5100000000000001E-2</v>
      </c>
      <c r="K34" t="s">
        <v>751</v>
      </c>
      <c r="L34">
        <v>1224</v>
      </c>
      <c r="M34">
        <v>1224</v>
      </c>
      <c r="N34">
        <v>1207.5999999999999</v>
      </c>
      <c r="O34">
        <v>1212.8</v>
      </c>
      <c r="P34">
        <v>454</v>
      </c>
      <c r="Q34">
        <v>9.9042599999999998E-4</v>
      </c>
      <c r="U34" t="s">
        <v>750</v>
      </c>
      <c r="V34">
        <v>1110</v>
      </c>
      <c r="W34">
        <v>1146.9000000000001</v>
      </c>
      <c r="X34">
        <v>1110</v>
      </c>
      <c r="Y34">
        <v>1113.5</v>
      </c>
      <c r="Z34">
        <v>5619</v>
      </c>
      <c r="AA34">
        <v>5.3268329999999996E-3</v>
      </c>
      <c r="AE34" s="126">
        <v>43415</v>
      </c>
      <c r="AF34">
        <v>1126</v>
      </c>
      <c r="AG34">
        <v>1150</v>
      </c>
      <c r="AH34">
        <v>1126</v>
      </c>
      <c r="AI34">
        <v>1138.7</v>
      </c>
      <c r="AJ34">
        <v>41</v>
      </c>
      <c r="AK34">
        <v>5.2719400000000003E-4</v>
      </c>
      <c r="AO34" t="s">
        <v>749</v>
      </c>
      <c r="AP34">
        <v>1705</v>
      </c>
      <c r="AQ34">
        <v>1735</v>
      </c>
      <c r="AR34">
        <v>1703</v>
      </c>
      <c r="AS34">
        <v>1722.3</v>
      </c>
      <c r="AT34">
        <v>1423</v>
      </c>
      <c r="AU34">
        <v>2.2695530000000001E-3</v>
      </c>
    </row>
    <row r="35" spans="1:47" x14ac:dyDescent="0.3">
      <c r="A35" t="s">
        <v>748</v>
      </c>
      <c r="B35">
        <v>1495</v>
      </c>
      <c r="C35">
        <v>1525</v>
      </c>
      <c r="D35">
        <v>1480</v>
      </c>
      <c r="E35">
        <v>1505.8</v>
      </c>
      <c r="F35">
        <v>746</v>
      </c>
      <c r="G35" s="66">
        <v>1.2E-2</v>
      </c>
      <c r="K35" t="s">
        <v>747</v>
      </c>
      <c r="L35">
        <v>1239.9000000000001</v>
      </c>
      <c r="M35">
        <v>1239.9000000000001</v>
      </c>
      <c r="N35">
        <v>1206</v>
      </c>
      <c r="O35">
        <v>1211.5999999999999</v>
      </c>
      <c r="P35">
        <v>885</v>
      </c>
      <c r="Q35">
        <v>6.3958799999999996E-3</v>
      </c>
      <c r="U35" t="s">
        <v>746</v>
      </c>
      <c r="V35">
        <v>1115</v>
      </c>
      <c r="W35">
        <v>1134.9000000000001</v>
      </c>
      <c r="X35">
        <v>1102.4000000000001</v>
      </c>
      <c r="Y35">
        <v>1107.5999999999999</v>
      </c>
      <c r="Z35">
        <v>6914</v>
      </c>
      <c r="AA35">
        <v>-1.8781005999999999E-2</v>
      </c>
      <c r="AE35" s="126">
        <v>43323</v>
      </c>
      <c r="AF35">
        <v>1135</v>
      </c>
      <c r="AG35">
        <v>1149</v>
      </c>
      <c r="AH35">
        <v>1135</v>
      </c>
      <c r="AI35">
        <v>1138.0999999999999</v>
      </c>
      <c r="AJ35">
        <v>112</v>
      </c>
      <c r="AK35">
        <v>-6.0262010000000001E-3</v>
      </c>
      <c r="AO35" s="126">
        <v>43810</v>
      </c>
      <c r="AP35">
        <v>1711.2</v>
      </c>
      <c r="AQ35">
        <v>1727</v>
      </c>
      <c r="AR35">
        <v>1711.2</v>
      </c>
      <c r="AS35">
        <v>1718.4</v>
      </c>
      <c r="AT35">
        <v>743</v>
      </c>
      <c r="AU35">
        <v>1.7647756000000001E-2</v>
      </c>
    </row>
    <row r="36" spans="1:47" x14ac:dyDescent="0.3">
      <c r="A36" t="s">
        <v>745</v>
      </c>
      <c r="B36">
        <v>1500</v>
      </c>
      <c r="C36">
        <v>1510</v>
      </c>
      <c r="D36">
        <v>1470.2</v>
      </c>
      <c r="E36">
        <v>1488</v>
      </c>
      <c r="F36">
        <v>863</v>
      </c>
      <c r="G36" s="66">
        <v>-4.7999999999999996E-3</v>
      </c>
      <c r="K36" t="s">
        <v>744</v>
      </c>
      <c r="L36">
        <v>1229.5</v>
      </c>
      <c r="M36">
        <v>1229.5</v>
      </c>
      <c r="N36">
        <v>1197</v>
      </c>
      <c r="O36">
        <v>1203.9000000000001</v>
      </c>
      <c r="P36">
        <v>1384</v>
      </c>
      <c r="Q36">
        <v>1.0661518E-2</v>
      </c>
      <c r="U36" s="126">
        <v>43080</v>
      </c>
      <c r="V36">
        <v>1095</v>
      </c>
      <c r="W36">
        <v>1145</v>
      </c>
      <c r="X36">
        <v>1095</v>
      </c>
      <c r="Y36">
        <v>1128.8</v>
      </c>
      <c r="Z36">
        <v>7378</v>
      </c>
      <c r="AA36">
        <v>7.767164E-3</v>
      </c>
      <c r="AE36" s="126">
        <v>43292</v>
      </c>
      <c r="AF36">
        <v>1145</v>
      </c>
      <c r="AG36">
        <v>1145</v>
      </c>
      <c r="AH36">
        <v>1145</v>
      </c>
      <c r="AI36">
        <v>1145</v>
      </c>
      <c r="AJ36">
        <v>12</v>
      </c>
      <c r="AK36" s="127">
        <v>8.7299999999999994E-5</v>
      </c>
      <c r="AO36" s="126">
        <v>43780</v>
      </c>
      <c r="AP36">
        <v>1686.2</v>
      </c>
      <c r="AQ36">
        <v>1692</v>
      </c>
      <c r="AR36">
        <v>1686.2</v>
      </c>
      <c r="AS36">
        <v>1688.6</v>
      </c>
      <c r="AT36">
        <v>300</v>
      </c>
      <c r="AU36">
        <v>-1.3602219999999999E-3</v>
      </c>
    </row>
    <row r="37" spans="1:47" x14ac:dyDescent="0.3">
      <c r="A37" s="126">
        <v>42349</v>
      </c>
      <c r="B37">
        <v>1525.6</v>
      </c>
      <c r="C37">
        <v>1525.6</v>
      </c>
      <c r="D37">
        <v>1482.1</v>
      </c>
      <c r="E37">
        <v>1495.2</v>
      </c>
      <c r="F37">
        <v>600</v>
      </c>
      <c r="G37" s="66">
        <v>-2.1700000000000001E-2</v>
      </c>
      <c r="K37" s="126">
        <v>42624</v>
      </c>
      <c r="L37">
        <v>1210</v>
      </c>
      <c r="M37">
        <v>1210</v>
      </c>
      <c r="N37">
        <v>1188</v>
      </c>
      <c r="O37">
        <v>1191.2</v>
      </c>
      <c r="P37">
        <v>885</v>
      </c>
      <c r="Q37">
        <v>-1.3662333E-2</v>
      </c>
      <c r="U37" s="126">
        <v>42989</v>
      </c>
      <c r="V37">
        <v>1105</v>
      </c>
      <c r="W37">
        <v>1130</v>
      </c>
      <c r="X37">
        <v>1105</v>
      </c>
      <c r="Y37">
        <v>1120.0999999999999</v>
      </c>
      <c r="Z37">
        <v>11856</v>
      </c>
      <c r="AA37">
        <v>1.577945E-2</v>
      </c>
      <c r="AE37" s="126">
        <v>43262</v>
      </c>
      <c r="AF37">
        <v>1155</v>
      </c>
      <c r="AG37">
        <v>1155</v>
      </c>
      <c r="AH37">
        <v>1128</v>
      </c>
      <c r="AI37">
        <v>1144.9000000000001</v>
      </c>
      <c r="AJ37">
        <v>8</v>
      </c>
      <c r="AK37">
        <v>1.0057345000000001E-2</v>
      </c>
      <c r="AO37" s="126">
        <v>43657</v>
      </c>
      <c r="AP37">
        <v>1703.5</v>
      </c>
      <c r="AQ37">
        <v>1703.5</v>
      </c>
      <c r="AR37">
        <v>1687</v>
      </c>
      <c r="AS37">
        <v>1690.9</v>
      </c>
      <c r="AT37">
        <v>1518</v>
      </c>
      <c r="AU37">
        <v>-1.0043719999999999E-3</v>
      </c>
    </row>
    <row r="38" spans="1:47" x14ac:dyDescent="0.3">
      <c r="A38" s="126">
        <v>42319</v>
      </c>
      <c r="B38">
        <v>1535</v>
      </c>
      <c r="C38">
        <v>1540</v>
      </c>
      <c r="D38">
        <v>1521.3</v>
      </c>
      <c r="E38">
        <v>1528.4</v>
      </c>
      <c r="F38">
        <v>422</v>
      </c>
      <c r="G38" s="66">
        <v>-1.4800000000000001E-2</v>
      </c>
      <c r="K38" s="126">
        <v>42593</v>
      </c>
      <c r="L38">
        <v>1191</v>
      </c>
      <c r="M38">
        <v>1219</v>
      </c>
      <c r="N38">
        <v>1191</v>
      </c>
      <c r="O38">
        <v>1207.7</v>
      </c>
      <c r="P38">
        <v>224</v>
      </c>
      <c r="Q38">
        <v>1.7096177000000001E-2</v>
      </c>
      <c r="U38" s="126">
        <v>42958</v>
      </c>
      <c r="V38">
        <v>1090</v>
      </c>
      <c r="W38">
        <v>1110</v>
      </c>
      <c r="X38">
        <v>1090</v>
      </c>
      <c r="Y38">
        <v>1102.7</v>
      </c>
      <c r="Z38">
        <v>1256</v>
      </c>
      <c r="AA38">
        <v>-6.3440299999999996E-4</v>
      </c>
      <c r="AE38" s="126">
        <v>43231</v>
      </c>
      <c r="AF38">
        <v>1183.8</v>
      </c>
      <c r="AG38">
        <v>1185</v>
      </c>
      <c r="AH38">
        <v>1128</v>
      </c>
      <c r="AI38">
        <v>1133.5</v>
      </c>
      <c r="AJ38">
        <v>212</v>
      </c>
      <c r="AK38">
        <v>-2.2001725999999999E-2</v>
      </c>
      <c r="AO38" s="126">
        <v>43627</v>
      </c>
      <c r="AP38">
        <v>1691.1</v>
      </c>
      <c r="AQ38">
        <v>1700</v>
      </c>
      <c r="AR38">
        <v>1690.1</v>
      </c>
      <c r="AS38">
        <v>1692.6</v>
      </c>
      <c r="AT38">
        <v>2014</v>
      </c>
      <c r="AU38">
        <v>-8.2644599999999999E-4</v>
      </c>
    </row>
    <row r="39" spans="1:47" x14ac:dyDescent="0.3">
      <c r="A39" s="126">
        <v>42288</v>
      </c>
      <c r="B39">
        <v>1550</v>
      </c>
      <c r="C39">
        <v>1577.8</v>
      </c>
      <c r="D39">
        <v>1520.5</v>
      </c>
      <c r="E39">
        <v>1551.3</v>
      </c>
      <c r="F39">
        <v>196</v>
      </c>
      <c r="G39" s="66">
        <v>-2.3E-3</v>
      </c>
      <c r="K39" s="126">
        <v>42562</v>
      </c>
      <c r="L39">
        <v>1194.9000000000001</v>
      </c>
      <c r="M39">
        <v>1197</v>
      </c>
      <c r="N39">
        <v>1180.2</v>
      </c>
      <c r="O39">
        <v>1187.4000000000001</v>
      </c>
      <c r="P39">
        <v>1886</v>
      </c>
      <c r="Q39">
        <v>-4.4436989999999997E-3</v>
      </c>
      <c r="U39" s="126">
        <v>42927</v>
      </c>
      <c r="V39">
        <v>1103</v>
      </c>
      <c r="W39">
        <v>1115</v>
      </c>
      <c r="X39">
        <v>1095</v>
      </c>
      <c r="Y39">
        <v>1103.4000000000001</v>
      </c>
      <c r="Z39">
        <v>263</v>
      </c>
      <c r="AA39">
        <v>-1.357589E-3</v>
      </c>
      <c r="AE39" s="126">
        <v>43201</v>
      </c>
      <c r="AF39">
        <v>1150</v>
      </c>
      <c r="AG39">
        <v>1163</v>
      </c>
      <c r="AH39">
        <v>1150</v>
      </c>
      <c r="AI39">
        <v>1159</v>
      </c>
      <c r="AJ39">
        <v>35</v>
      </c>
      <c r="AK39">
        <v>-4.1244200000000002E-3</v>
      </c>
      <c r="AO39" s="126">
        <v>43596</v>
      </c>
      <c r="AP39">
        <v>1686</v>
      </c>
      <c r="AQ39">
        <v>1708</v>
      </c>
      <c r="AR39">
        <v>1686</v>
      </c>
      <c r="AS39">
        <v>1694</v>
      </c>
      <c r="AT39">
        <v>2076</v>
      </c>
      <c r="AU39">
        <v>8.8626299999999998E-4</v>
      </c>
    </row>
    <row r="40" spans="1:47" x14ac:dyDescent="0.3">
      <c r="A40" s="126">
        <v>42258</v>
      </c>
      <c r="B40">
        <v>1599.7</v>
      </c>
      <c r="C40">
        <v>1599.7</v>
      </c>
      <c r="D40">
        <v>1535.5</v>
      </c>
      <c r="E40">
        <v>1554.8</v>
      </c>
      <c r="F40">
        <v>488</v>
      </c>
      <c r="G40" s="66">
        <v>-9.9000000000000008E-3</v>
      </c>
      <c r="K40" s="126">
        <v>42532</v>
      </c>
      <c r="L40">
        <v>1193</v>
      </c>
      <c r="M40">
        <v>1193</v>
      </c>
      <c r="N40">
        <v>1190</v>
      </c>
      <c r="O40">
        <v>1192.7</v>
      </c>
      <c r="P40">
        <v>406</v>
      </c>
      <c r="Q40">
        <v>2.605918E-3</v>
      </c>
      <c r="U40" s="126">
        <v>42897</v>
      </c>
      <c r="V40">
        <v>1105</v>
      </c>
      <c r="W40">
        <v>1125</v>
      </c>
      <c r="X40">
        <v>1102.0999999999999</v>
      </c>
      <c r="Y40">
        <v>1104.9000000000001</v>
      </c>
      <c r="Z40">
        <v>792</v>
      </c>
      <c r="AA40">
        <v>-3.5173159999999999E-3</v>
      </c>
      <c r="AE40" s="126">
        <v>43111</v>
      </c>
      <c r="AF40">
        <v>1146</v>
      </c>
      <c r="AG40">
        <v>1167.5</v>
      </c>
      <c r="AH40">
        <v>1144</v>
      </c>
      <c r="AI40">
        <v>1163.8</v>
      </c>
      <c r="AJ40">
        <v>173</v>
      </c>
      <c r="AK40">
        <v>-9.4428700000000003E-4</v>
      </c>
      <c r="AO40" s="126">
        <v>43566</v>
      </c>
      <c r="AP40">
        <v>1697</v>
      </c>
      <c r="AQ40">
        <v>1703</v>
      </c>
      <c r="AR40">
        <v>1687</v>
      </c>
      <c r="AS40">
        <v>1692.5</v>
      </c>
      <c r="AT40">
        <v>1881</v>
      </c>
      <c r="AU40">
        <v>-2.1813470000000001E-3</v>
      </c>
    </row>
    <row r="41" spans="1:47" x14ac:dyDescent="0.3">
      <c r="A41" s="126">
        <v>42135</v>
      </c>
      <c r="B41">
        <v>1570</v>
      </c>
      <c r="C41">
        <v>1593</v>
      </c>
      <c r="D41">
        <v>1565</v>
      </c>
      <c r="E41">
        <v>1570.3</v>
      </c>
      <c r="F41">
        <v>1188</v>
      </c>
      <c r="G41" s="66">
        <v>1.1000000000000001E-3</v>
      </c>
      <c r="K41" s="126">
        <v>42440</v>
      </c>
      <c r="L41">
        <v>1187</v>
      </c>
      <c r="M41">
        <v>1190</v>
      </c>
      <c r="N41">
        <v>1186.0999999999999</v>
      </c>
      <c r="O41">
        <v>1189.5999999999999</v>
      </c>
      <c r="P41">
        <v>1212</v>
      </c>
      <c r="Q41">
        <v>1.178253E-3</v>
      </c>
      <c r="U41" s="126">
        <v>42866</v>
      </c>
      <c r="V41">
        <v>1095</v>
      </c>
      <c r="W41">
        <v>1110</v>
      </c>
      <c r="X41">
        <v>1095</v>
      </c>
      <c r="Y41">
        <v>1108.8</v>
      </c>
      <c r="Z41">
        <v>646</v>
      </c>
      <c r="AA41">
        <v>-9.0106300000000002E-4</v>
      </c>
      <c r="AE41" t="s">
        <v>743</v>
      </c>
      <c r="AF41">
        <v>1149</v>
      </c>
      <c r="AG41">
        <v>1185</v>
      </c>
      <c r="AH41">
        <v>1149</v>
      </c>
      <c r="AI41">
        <v>1164.9000000000001</v>
      </c>
      <c r="AJ41">
        <v>178</v>
      </c>
      <c r="AK41">
        <v>3.4271507999999999E-2</v>
      </c>
      <c r="AO41" s="126">
        <v>43535</v>
      </c>
      <c r="AP41">
        <v>1690</v>
      </c>
      <c r="AQ41">
        <v>1709.9</v>
      </c>
      <c r="AR41">
        <v>1690</v>
      </c>
      <c r="AS41">
        <v>1696.2</v>
      </c>
      <c r="AT41">
        <v>2426</v>
      </c>
      <c r="AU41">
        <v>-5.1612899999999998E-3</v>
      </c>
    </row>
    <row r="42" spans="1:47" x14ac:dyDescent="0.3">
      <c r="A42" s="126">
        <v>42105</v>
      </c>
      <c r="B42">
        <v>1571</v>
      </c>
      <c r="C42">
        <v>1575</v>
      </c>
      <c r="D42">
        <v>1567</v>
      </c>
      <c r="E42">
        <v>1568.5</v>
      </c>
      <c r="F42">
        <v>1129</v>
      </c>
      <c r="G42" s="66">
        <v>-4.7999999999999996E-3</v>
      </c>
      <c r="K42" s="126">
        <v>42411</v>
      </c>
      <c r="L42">
        <v>1190</v>
      </c>
      <c r="M42">
        <v>1194</v>
      </c>
      <c r="N42">
        <v>1187</v>
      </c>
      <c r="O42">
        <v>1188.2</v>
      </c>
      <c r="P42">
        <v>667</v>
      </c>
      <c r="Q42">
        <v>2.9543339999999999E-3</v>
      </c>
      <c r="U42" s="126">
        <v>42777</v>
      </c>
      <c r="V42">
        <v>1104</v>
      </c>
      <c r="W42">
        <v>1111</v>
      </c>
      <c r="X42">
        <v>1104</v>
      </c>
      <c r="Y42">
        <v>1109.8</v>
      </c>
      <c r="Z42">
        <v>3478</v>
      </c>
      <c r="AA42">
        <v>4.7985509999999999E-3</v>
      </c>
      <c r="AE42" t="s">
        <v>742</v>
      </c>
      <c r="AF42">
        <v>1127</v>
      </c>
      <c r="AG42">
        <v>1127</v>
      </c>
      <c r="AH42">
        <v>1125</v>
      </c>
      <c r="AI42">
        <v>1126.3</v>
      </c>
      <c r="AJ42">
        <v>165</v>
      </c>
      <c r="AK42">
        <v>-3.7268142999999997E-2</v>
      </c>
      <c r="AO42" t="s">
        <v>741</v>
      </c>
      <c r="AP42">
        <v>1670</v>
      </c>
      <c r="AQ42">
        <v>1722</v>
      </c>
      <c r="AR42">
        <v>1670</v>
      </c>
      <c r="AS42">
        <v>1705</v>
      </c>
      <c r="AT42">
        <v>2519</v>
      </c>
      <c r="AU42">
        <v>8.6966809999999995E-3</v>
      </c>
    </row>
    <row r="43" spans="1:47" x14ac:dyDescent="0.3">
      <c r="A43" s="126">
        <v>42074</v>
      </c>
      <c r="B43">
        <v>1590</v>
      </c>
      <c r="C43">
        <v>1590</v>
      </c>
      <c r="D43">
        <v>1571</v>
      </c>
      <c r="E43">
        <v>1576</v>
      </c>
      <c r="F43">
        <v>241</v>
      </c>
      <c r="G43" s="66">
        <v>6.9999999999999999E-4</v>
      </c>
      <c r="K43" s="126">
        <v>42380</v>
      </c>
      <c r="L43">
        <v>1193.8</v>
      </c>
      <c r="M43">
        <v>1193.8</v>
      </c>
      <c r="N43">
        <v>1180</v>
      </c>
      <c r="O43">
        <v>1184.7</v>
      </c>
      <c r="P43">
        <v>479</v>
      </c>
      <c r="Q43">
        <v>5.0671400000000001E-4</v>
      </c>
      <c r="U43" s="126">
        <v>42746</v>
      </c>
      <c r="V43">
        <v>1103</v>
      </c>
      <c r="W43">
        <v>1113</v>
      </c>
      <c r="X43">
        <v>1100</v>
      </c>
      <c r="Y43">
        <v>1104.5</v>
      </c>
      <c r="Z43">
        <v>5412</v>
      </c>
      <c r="AA43">
        <v>-5.8505850000000002E-3</v>
      </c>
      <c r="AE43" t="s">
        <v>740</v>
      </c>
      <c r="AF43">
        <v>1154</v>
      </c>
      <c r="AG43">
        <v>1175</v>
      </c>
      <c r="AH43">
        <v>1136</v>
      </c>
      <c r="AI43">
        <v>1169.9000000000001</v>
      </c>
      <c r="AJ43">
        <v>2174</v>
      </c>
      <c r="AK43">
        <v>2.8121978999999998E-2</v>
      </c>
      <c r="AO43" t="s">
        <v>739</v>
      </c>
      <c r="AP43">
        <v>1681.5</v>
      </c>
      <c r="AQ43">
        <v>1709</v>
      </c>
      <c r="AR43">
        <v>1681.5</v>
      </c>
      <c r="AS43">
        <v>1690.3</v>
      </c>
      <c r="AT43">
        <v>2559</v>
      </c>
      <c r="AU43">
        <v>-8.2757000000000002E-4</v>
      </c>
    </row>
    <row r="44" spans="1:47" x14ac:dyDescent="0.3">
      <c r="A44" s="126">
        <v>42046</v>
      </c>
      <c r="B44">
        <v>1575</v>
      </c>
      <c r="C44">
        <v>1576</v>
      </c>
      <c r="D44">
        <v>1571</v>
      </c>
      <c r="E44">
        <v>1574.9</v>
      </c>
      <c r="F44">
        <v>189</v>
      </c>
      <c r="G44" s="66">
        <v>2.2000000000000001E-3</v>
      </c>
      <c r="K44" t="s">
        <v>738</v>
      </c>
      <c r="L44">
        <v>1190</v>
      </c>
      <c r="M44">
        <v>1194.5999999999999</v>
      </c>
      <c r="N44">
        <v>1182.0999999999999</v>
      </c>
      <c r="O44">
        <v>1184.0999999999999</v>
      </c>
      <c r="P44">
        <v>917</v>
      </c>
      <c r="Q44">
        <v>-2.6111860000000001E-3</v>
      </c>
      <c r="U44" t="s">
        <v>737</v>
      </c>
      <c r="V44">
        <v>1112</v>
      </c>
      <c r="W44">
        <v>1117</v>
      </c>
      <c r="X44">
        <v>1097</v>
      </c>
      <c r="Y44">
        <v>1111</v>
      </c>
      <c r="Z44">
        <v>787</v>
      </c>
      <c r="AA44">
        <v>8.7161789999999992E-3</v>
      </c>
      <c r="AE44" t="s">
        <v>736</v>
      </c>
      <c r="AF44">
        <v>1152.8</v>
      </c>
      <c r="AG44">
        <v>1155</v>
      </c>
      <c r="AH44">
        <v>1125</v>
      </c>
      <c r="AI44">
        <v>1137.9000000000001</v>
      </c>
      <c r="AJ44">
        <v>640</v>
      </c>
      <c r="AK44">
        <v>1.3087606999999999E-2</v>
      </c>
      <c r="AO44" t="s">
        <v>735</v>
      </c>
      <c r="AP44">
        <v>1685</v>
      </c>
      <c r="AQ44">
        <v>1714</v>
      </c>
      <c r="AR44">
        <v>1684.3</v>
      </c>
      <c r="AS44">
        <v>1691.7</v>
      </c>
      <c r="AT44">
        <v>2773</v>
      </c>
      <c r="AU44">
        <v>-6.9269149999999996E-3</v>
      </c>
    </row>
    <row r="45" spans="1:47" x14ac:dyDescent="0.3">
      <c r="A45" s="126">
        <v>42015</v>
      </c>
      <c r="B45">
        <v>1574</v>
      </c>
      <c r="C45">
        <v>1575.1</v>
      </c>
      <c r="D45">
        <v>1565</v>
      </c>
      <c r="E45">
        <v>1571.4</v>
      </c>
      <c r="F45">
        <v>262</v>
      </c>
      <c r="G45" s="66">
        <v>-0.02</v>
      </c>
      <c r="K45" t="s">
        <v>734</v>
      </c>
      <c r="L45">
        <v>1190</v>
      </c>
      <c r="M45">
        <v>1190</v>
      </c>
      <c r="N45">
        <v>1185</v>
      </c>
      <c r="O45">
        <v>1187.2</v>
      </c>
      <c r="P45">
        <v>928</v>
      </c>
      <c r="Q45">
        <v>-2.688172E-3</v>
      </c>
      <c r="U45" t="s">
        <v>733</v>
      </c>
      <c r="V45">
        <v>1075</v>
      </c>
      <c r="W45">
        <v>1111</v>
      </c>
      <c r="X45">
        <v>1075</v>
      </c>
      <c r="Y45">
        <v>1101.4000000000001</v>
      </c>
      <c r="Z45">
        <v>8154</v>
      </c>
      <c r="AA45">
        <v>5.0187060000000004E-3</v>
      </c>
      <c r="AE45" t="s">
        <v>732</v>
      </c>
      <c r="AF45">
        <v>1117</v>
      </c>
      <c r="AG45">
        <v>1134</v>
      </c>
      <c r="AH45">
        <v>1108</v>
      </c>
      <c r="AI45">
        <v>1123.2</v>
      </c>
      <c r="AJ45">
        <v>1093</v>
      </c>
      <c r="AK45">
        <v>2.8100686E-2</v>
      </c>
      <c r="AO45" t="s">
        <v>731</v>
      </c>
      <c r="AP45">
        <v>1726</v>
      </c>
      <c r="AQ45">
        <v>1726</v>
      </c>
      <c r="AR45">
        <v>1680.1</v>
      </c>
      <c r="AS45">
        <v>1703.5</v>
      </c>
      <c r="AT45">
        <v>2644</v>
      </c>
      <c r="AU45">
        <v>-8.0358700000000005E-3</v>
      </c>
    </row>
    <row r="46" spans="1:47" x14ac:dyDescent="0.3">
      <c r="A46" t="s">
        <v>730</v>
      </c>
      <c r="B46">
        <v>1615</v>
      </c>
      <c r="C46">
        <v>1615</v>
      </c>
      <c r="D46">
        <v>1590</v>
      </c>
      <c r="E46">
        <v>1603.5</v>
      </c>
      <c r="F46">
        <v>2042</v>
      </c>
      <c r="G46" s="66">
        <v>-4.7999999999999996E-3</v>
      </c>
      <c r="K46" t="s">
        <v>729</v>
      </c>
      <c r="L46">
        <v>1186</v>
      </c>
      <c r="M46">
        <v>1195</v>
      </c>
      <c r="N46">
        <v>1186</v>
      </c>
      <c r="O46">
        <v>1190.4000000000001</v>
      </c>
      <c r="P46">
        <v>1102</v>
      </c>
      <c r="Q46">
        <v>6.4254309999999997E-3</v>
      </c>
      <c r="U46" t="s">
        <v>728</v>
      </c>
      <c r="V46">
        <v>1105</v>
      </c>
      <c r="W46">
        <v>1105</v>
      </c>
      <c r="X46">
        <v>1085.5</v>
      </c>
      <c r="Y46">
        <v>1095.9000000000001</v>
      </c>
      <c r="Z46">
        <v>2487</v>
      </c>
      <c r="AA46">
        <v>-2.0030402999999999E-2</v>
      </c>
      <c r="AE46" t="s">
        <v>727</v>
      </c>
      <c r="AF46">
        <v>1099.9000000000001</v>
      </c>
      <c r="AG46">
        <v>1125</v>
      </c>
      <c r="AH46">
        <v>1080</v>
      </c>
      <c r="AI46">
        <v>1092.5</v>
      </c>
      <c r="AJ46">
        <v>193</v>
      </c>
      <c r="AK46">
        <v>1.3074926000000001E-2</v>
      </c>
      <c r="AO46" t="s">
        <v>726</v>
      </c>
      <c r="AP46">
        <v>1729.5</v>
      </c>
      <c r="AQ46">
        <v>1730</v>
      </c>
      <c r="AR46">
        <v>1712.1</v>
      </c>
      <c r="AS46">
        <v>1717.3</v>
      </c>
      <c r="AT46">
        <v>2941</v>
      </c>
      <c r="AU46">
        <v>-3.6551399999999999E-3</v>
      </c>
    </row>
    <row r="47" spans="1:47" x14ac:dyDescent="0.3">
      <c r="A47" t="s">
        <v>725</v>
      </c>
      <c r="B47">
        <v>1572</v>
      </c>
      <c r="C47">
        <v>1613</v>
      </c>
      <c r="D47">
        <v>1571</v>
      </c>
      <c r="E47">
        <v>1611.2</v>
      </c>
      <c r="F47">
        <v>1021</v>
      </c>
      <c r="G47" s="66">
        <v>2.2599999999999999E-2</v>
      </c>
      <c r="K47" t="s">
        <v>724</v>
      </c>
      <c r="L47">
        <v>1186</v>
      </c>
      <c r="M47">
        <v>1186</v>
      </c>
      <c r="N47">
        <v>1181</v>
      </c>
      <c r="O47">
        <v>1182.8</v>
      </c>
      <c r="P47">
        <v>824</v>
      </c>
      <c r="Q47">
        <v>-2.5299379999999998E-3</v>
      </c>
      <c r="U47" t="s">
        <v>723</v>
      </c>
      <c r="V47">
        <v>1105</v>
      </c>
      <c r="W47">
        <v>1130</v>
      </c>
      <c r="X47">
        <v>1105</v>
      </c>
      <c r="Y47">
        <v>1118.3</v>
      </c>
      <c r="Z47">
        <v>21179</v>
      </c>
      <c r="AA47">
        <v>-4.5397900000000001E-3</v>
      </c>
      <c r="AE47" t="s">
        <v>722</v>
      </c>
      <c r="AF47">
        <v>1078</v>
      </c>
      <c r="AG47">
        <v>1079</v>
      </c>
      <c r="AH47">
        <v>1078</v>
      </c>
      <c r="AI47">
        <v>1078.4000000000001</v>
      </c>
      <c r="AJ47">
        <v>68</v>
      </c>
      <c r="AK47">
        <v>-4.63435E-4</v>
      </c>
      <c r="AO47" t="s">
        <v>721</v>
      </c>
      <c r="AP47">
        <v>1721.2</v>
      </c>
      <c r="AQ47">
        <v>1732.5</v>
      </c>
      <c r="AR47">
        <v>1721.2</v>
      </c>
      <c r="AS47">
        <v>1723.6</v>
      </c>
      <c r="AT47">
        <v>2400</v>
      </c>
      <c r="AU47">
        <v>-3.929727E-3</v>
      </c>
    </row>
    <row r="48" spans="1:47" x14ac:dyDescent="0.3">
      <c r="A48" t="s">
        <v>720</v>
      </c>
      <c r="B48">
        <v>1527.5</v>
      </c>
      <c r="C48">
        <v>1619.8</v>
      </c>
      <c r="D48">
        <v>1527.5</v>
      </c>
      <c r="E48">
        <v>1575.6</v>
      </c>
      <c r="F48">
        <v>104</v>
      </c>
      <c r="G48" s="66">
        <v>-3.8999999999999998E-3</v>
      </c>
      <c r="K48" t="s">
        <v>719</v>
      </c>
      <c r="L48">
        <v>1200</v>
      </c>
      <c r="M48">
        <v>1200</v>
      </c>
      <c r="N48">
        <v>1176</v>
      </c>
      <c r="O48">
        <v>1185.8</v>
      </c>
      <c r="P48">
        <v>2728</v>
      </c>
      <c r="Q48">
        <v>4.915254E-3</v>
      </c>
      <c r="U48" t="s">
        <v>718</v>
      </c>
      <c r="V48">
        <v>1107</v>
      </c>
      <c r="W48">
        <v>1130</v>
      </c>
      <c r="X48">
        <v>1107</v>
      </c>
      <c r="Y48">
        <v>1123.4000000000001</v>
      </c>
      <c r="Z48">
        <v>1409</v>
      </c>
      <c r="AA48">
        <v>2.8566329999999999E-3</v>
      </c>
      <c r="AE48" t="s">
        <v>717</v>
      </c>
      <c r="AF48">
        <v>1085</v>
      </c>
      <c r="AG48">
        <v>1086</v>
      </c>
      <c r="AH48">
        <v>1075.0999999999999</v>
      </c>
      <c r="AI48">
        <v>1078.9000000000001</v>
      </c>
      <c r="AJ48">
        <v>338</v>
      </c>
      <c r="AK48">
        <v>-9.1835800000000002E-3</v>
      </c>
      <c r="AO48" t="s">
        <v>716</v>
      </c>
      <c r="AP48">
        <v>1724.7</v>
      </c>
      <c r="AQ48">
        <v>1732</v>
      </c>
      <c r="AR48">
        <v>1715.5</v>
      </c>
      <c r="AS48">
        <v>1730.4</v>
      </c>
      <c r="AT48">
        <v>5745</v>
      </c>
      <c r="AU48">
        <v>3.304923E-3</v>
      </c>
    </row>
    <row r="49" spans="1:47" x14ac:dyDescent="0.3">
      <c r="A49" t="s">
        <v>715</v>
      </c>
      <c r="B49">
        <v>1595</v>
      </c>
      <c r="C49">
        <v>1595</v>
      </c>
      <c r="D49">
        <v>1575.5</v>
      </c>
      <c r="E49">
        <v>1581.7</v>
      </c>
      <c r="F49">
        <v>559</v>
      </c>
      <c r="G49" s="66">
        <v>-1E-4</v>
      </c>
      <c r="K49" t="s">
        <v>714</v>
      </c>
      <c r="L49">
        <v>1182.0999999999999</v>
      </c>
      <c r="M49">
        <v>1190</v>
      </c>
      <c r="N49">
        <v>1179.5999999999999</v>
      </c>
      <c r="O49">
        <v>1180</v>
      </c>
      <c r="P49">
        <v>1966</v>
      </c>
      <c r="Q49">
        <v>-8.3200270000000007E-3</v>
      </c>
      <c r="U49" t="s">
        <v>713</v>
      </c>
      <c r="V49">
        <v>1118</v>
      </c>
      <c r="W49">
        <v>1135</v>
      </c>
      <c r="X49">
        <v>1105.0999999999999</v>
      </c>
      <c r="Y49">
        <v>1120.2</v>
      </c>
      <c r="Z49">
        <v>35483</v>
      </c>
      <c r="AA49">
        <v>1.4949715000000001E-2</v>
      </c>
      <c r="AE49" t="s">
        <v>712</v>
      </c>
      <c r="AF49">
        <v>1070</v>
      </c>
      <c r="AG49">
        <v>1095</v>
      </c>
      <c r="AH49">
        <v>1070</v>
      </c>
      <c r="AI49">
        <v>1088.9000000000001</v>
      </c>
      <c r="AJ49">
        <v>27</v>
      </c>
      <c r="AK49">
        <v>1.2930232999999999E-2</v>
      </c>
      <c r="AO49" t="s">
        <v>711</v>
      </c>
      <c r="AP49">
        <v>1750</v>
      </c>
      <c r="AQ49">
        <v>1750</v>
      </c>
      <c r="AR49">
        <v>1721</v>
      </c>
      <c r="AS49">
        <v>1724.7</v>
      </c>
      <c r="AT49">
        <v>13690</v>
      </c>
      <c r="AU49">
        <v>-5.9365989999999999E-3</v>
      </c>
    </row>
    <row r="50" spans="1:47" x14ac:dyDescent="0.3">
      <c r="A50" t="s">
        <v>710</v>
      </c>
      <c r="B50">
        <v>1590</v>
      </c>
      <c r="C50">
        <v>1609.9</v>
      </c>
      <c r="D50">
        <v>1580</v>
      </c>
      <c r="E50">
        <v>1581.8</v>
      </c>
      <c r="F50">
        <v>384</v>
      </c>
      <c r="G50" s="66">
        <v>-8.0000000000000002E-3</v>
      </c>
      <c r="K50" t="s">
        <v>709</v>
      </c>
      <c r="L50">
        <v>1205</v>
      </c>
      <c r="M50">
        <v>1205</v>
      </c>
      <c r="N50">
        <v>1175</v>
      </c>
      <c r="O50">
        <v>1189.9000000000001</v>
      </c>
      <c r="P50">
        <v>1260</v>
      </c>
      <c r="Q50">
        <v>-1.6805300000000001E-4</v>
      </c>
      <c r="U50" t="s">
        <v>708</v>
      </c>
      <c r="V50">
        <v>1085</v>
      </c>
      <c r="W50">
        <v>1115</v>
      </c>
      <c r="X50">
        <v>1085</v>
      </c>
      <c r="Y50">
        <v>1103.7</v>
      </c>
      <c r="Z50">
        <v>1332</v>
      </c>
      <c r="AA50">
        <v>4.0025470000000004E-3</v>
      </c>
      <c r="AE50" t="s">
        <v>707</v>
      </c>
      <c r="AF50">
        <v>1095</v>
      </c>
      <c r="AG50">
        <v>1095.0999999999999</v>
      </c>
      <c r="AH50">
        <v>1071</v>
      </c>
      <c r="AI50">
        <v>1075</v>
      </c>
      <c r="AJ50">
        <v>11705</v>
      </c>
      <c r="AK50">
        <v>-2.0679603000000001E-2</v>
      </c>
      <c r="AO50" t="s">
        <v>706</v>
      </c>
      <c r="AP50">
        <v>1734</v>
      </c>
      <c r="AQ50">
        <v>1754.2</v>
      </c>
      <c r="AR50">
        <v>1732.7</v>
      </c>
      <c r="AS50">
        <v>1735</v>
      </c>
      <c r="AT50">
        <v>7711</v>
      </c>
      <c r="AU50">
        <v>4.03621E-4</v>
      </c>
    </row>
    <row r="51" spans="1:47" x14ac:dyDescent="0.3">
      <c r="A51" t="s">
        <v>705</v>
      </c>
      <c r="B51">
        <v>1628</v>
      </c>
      <c r="C51">
        <v>1628</v>
      </c>
      <c r="D51">
        <v>1592.5</v>
      </c>
      <c r="E51">
        <v>1594.6</v>
      </c>
      <c r="F51">
        <v>308</v>
      </c>
      <c r="G51" s="66">
        <v>-1.35E-2</v>
      </c>
      <c r="K51" t="s">
        <v>704</v>
      </c>
      <c r="L51">
        <v>1207.9000000000001</v>
      </c>
      <c r="M51">
        <v>1207.9000000000001</v>
      </c>
      <c r="N51">
        <v>1189</v>
      </c>
      <c r="O51">
        <v>1190.0999999999999</v>
      </c>
      <c r="P51">
        <v>1056</v>
      </c>
      <c r="Q51">
        <v>2.5214299999999997E-4</v>
      </c>
      <c r="U51" t="s">
        <v>703</v>
      </c>
      <c r="V51">
        <v>1097.0999999999999</v>
      </c>
      <c r="W51">
        <v>1122</v>
      </c>
      <c r="X51">
        <v>1095</v>
      </c>
      <c r="Y51">
        <v>1099.3</v>
      </c>
      <c r="Z51">
        <v>886</v>
      </c>
      <c r="AA51">
        <v>-1.6347289999999999E-3</v>
      </c>
      <c r="AE51" t="s">
        <v>702</v>
      </c>
      <c r="AF51">
        <v>1091.3</v>
      </c>
      <c r="AG51">
        <v>1110</v>
      </c>
      <c r="AH51">
        <v>1087</v>
      </c>
      <c r="AI51">
        <v>1097.7</v>
      </c>
      <c r="AJ51">
        <v>503</v>
      </c>
      <c r="AK51">
        <v>4.6677649999999999E-3</v>
      </c>
      <c r="AO51" t="s">
        <v>701</v>
      </c>
      <c r="AP51">
        <v>1730</v>
      </c>
      <c r="AQ51">
        <v>1747.9</v>
      </c>
      <c r="AR51">
        <v>1730</v>
      </c>
      <c r="AS51">
        <v>1734.3</v>
      </c>
      <c r="AT51">
        <v>4224</v>
      </c>
      <c r="AU51">
        <v>2.6014570000000002E-3</v>
      </c>
    </row>
    <row r="52" spans="1:47" x14ac:dyDescent="0.3">
      <c r="A52" t="s">
        <v>700</v>
      </c>
      <c r="B52">
        <v>1628</v>
      </c>
      <c r="C52">
        <v>1628</v>
      </c>
      <c r="D52">
        <v>1586.1</v>
      </c>
      <c r="E52">
        <v>1616.4</v>
      </c>
      <c r="F52">
        <v>414</v>
      </c>
      <c r="G52" s="66">
        <v>1.55E-2</v>
      </c>
      <c r="K52" t="s">
        <v>699</v>
      </c>
      <c r="L52">
        <v>1210</v>
      </c>
      <c r="M52">
        <v>1230</v>
      </c>
      <c r="N52">
        <v>1182.5</v>
      </c>
      <c r="O52">
        <v>1189.8</v>
      </c>
      <c r="P52">
        <v>4208</v>
      </c>
      <c r="Q52">
        <v>-1.6806699999999999E-4</v>
      </c>
      <c r="U52" t="s">
        <v>698</v>
      </c>
      <c r="V52">
        <v>1096.0999999999999</v>
      </c>
      <c r="W52">
        <v>1107</v>
      </c>
      <c r="X52">
        <v>1096.0999999999999</v>
      </c>
      <c r="Y52">
        <v>1101.0999999999999</v>
      </c>
      <c r="Z52">
        <v>1653</v>
      </c>
      <c r="AA52">
        <v>-4.5388500000000001E-4</v>
      </c>
      <c r="AE52" t="s">
        <v>697</v>
      </c>
      <c r="AF52">
        <v>1104</v>
      </c>
      <c r="AG52">
        <v>1105</v>
      </c>
      <c r="AH52">
        <v>1089</v>
      </c>
      <c r="AI52">
        <v>1092.5999999999999</v>
      </c>
      <c r="AJ52">
        <v>1002</v>
      </c>
      <c r="AK52">
        <v>-1.4876927E-2</v>
      </c>
      <c r="AO52" t="s">
        <v>696</v>
      </c>
      <c r="AP52">
        <v>1726.2</v>
      </c>
      <c r="AQ52">
        <v>1735</v>
      </c>
      <c r="AR52">
        <v>1725</v>
      </c>
      <c r="AS52">
        <v>1729.8</v>
      </c>
      <c r="AT52">
        <v>5130</v>
      </c>
      <c r="AU52">
        <v>2.085506E-3</v>
      </c>
    </row>
    <row r="53" spans="1:47" x14ac:dyDescent="0.3">
      <c r="A53" t="s">
        <v>695</v>
      </c>
      <c r="B53">
        <v>1638</v>
      </c>
      <c r="C53">
        <v>1639</v>
      </c>
      <c r="D53">
        <v>1581</v>
      </c>
      <c r="E53">
        <v>1591.7</v>
      </c>
      <c r="F53">
        <v>1196</v>
      </c>
      <c r="G53" s="66">
        <v>8.9999999999999998E-4</v>
      </c>
      <c r="K53" t="s">
        <v>694</v>
      </c>
      <c r="L53">
        <v>1195.7</v>
      </c>
      <c r="M53">
        <v>1195.7</v>
      </c>
      <c r="N53">
        <v>1190</v>
      </c>
      <c r="O53">
        <v>1190</v>
      </c>
      <c r="P53">
        <v>2434</v>
      </c>
      <c r="Q53">
        <v>-4.7670819999999997E-3</v>
      </c>
      <c r="U53" t="s">
        <v>693</v>
      </c>
      <c r="V53">
        <v>1108</v>
      </c>
      <c r="W53">
        <v>1125</v>
      </c>
      <c r="X53">
        <v>1100.3</v>
      </c>
      <c r="Y53">
        <v>1101.5999999999999</v>
      </c>
      <c r="Z53">
        <v>839</v>
      </c>
      <c r="AA53">
        <v>-1.3168503E-2</v>
      </c>
      <c r="AE53" t="s">
        <v>692</v>
      </c>
      <c r="AF53">
        <v>1109</v>
      </c>
      <c r="AG53">
        <v>1113</v>
      </c>
      <c r="AH53">
        <v>1101</v>
      </c>
      <c r="AI53">
        <v>1109.0999999999999</v>
      </c>
      <c r="AJ53">
        <v>2422</v>
      </c>
      <c r="AK53">
        <v>-5.3806829999999998E-3</v>
      </c>
      <c r="AO53" t="s">
        <v>691</v>
      </c>
      <c r="AP53">
        <v>1766.9</v>
      </c>
      <c r="AQ53">
        <v>1766.9</v>
      </c>
      <c r="AR53">
        <v>1720</v>
      </c>
      <c r="AS53">
        <v>1726.2</v>
      </c>
      <c r="AT53">
        <v>5944</v>
      </c>
      <c r="AU53">
        <v>5.5338729999999999E-3</v>
      </c>
    </row>
    <row r="54" spans="1:47" x14ac:dyDescent="0.3">
      <c r="A54" t="s">
        <v>690</v>
      </c>
      <c r="B54">
        <v>1659.5</v>
      </c>
      <c r="C54">
        <v>1740</v>
      </c>
      <c r="D54">
        <v>1578</v>
      </c>
      <c r="E54">
        <v>1590.2</v>
      </c>
      <c r="F54">
        <v>3563</v>
      </c>
      <c r="G54" s="66">
        <v>-3.3700000000000001E-2</v>
      </c>
      <c r="K54" t="s">
        <v>689</v>
      </c>
      <c r="L54">
        <v>1200</v>
      </c>
      <c r="M54">
        <v>1200</v>
      </c>
      <c r="N54">
        <v>1195</v>
      </c>
      <c r="O54">
        <v>1195.7</v>
      </c>
      <c r="P54">
        <v>675</v>
      </c>
      <c r="Q54">
        <v>-6.2333780000000004E-3</v>
      </c>
      <c r="U54" t="s">
        <v>688</v>
      </c>
      <c r="V54">
        <v>1108</v>
      </c>
      <c r="W54">
        <v>1129.4000000000001</v>
      </c>
      <c r="X54">
        <v>1105.2</v>
      </c>
      <c r="Y54">
        <v>1116.3</v>
      </c>
      <c r="Z54">
        <v>1799</v>
      </c>
      <c r="AA54">
        <v>-4.9915319999999999E-3</v>
      </c>
      <c r="AE54" t="s">
        <v>687</v>
      </c>
      <c r="AF54">
        <v>1106.0999999999999</v>
      </c>
      <c r="AG54">
        <v>1124</v>
      </c>
      <c r="AH54">
        <v>1106.0999999999999</v>
      </c>
      <c r="AI54">
        <v>1115.0999999999999</v>
      </c>
      <c r="AJ54">
        <v>202</v>
      </c>
      <c r="AK54">
        <v>7.7722549999999996E-3</v>
      </c>
      <c r="AO54" t="s">
        <v>686</v>
      </c>
      <c r="AP54">
        <v>1728.8</v>
      </c>
      <c r="AQ54">
        <v>1765</v>
      </c>
      <c r="AR54">
        <v>1715</v>
      </c>
      <c r="AS54">
        <v>1716.7</v>
      </c>
      <c r="AT54">
        <v>4404</v>
      </c>
      <c r="AU54">
        <v>2.803902E-3</v>
      </c>
    </row>
    <row r="55" spans="1:47" x14ac:dyDescent="0.3">
      <c r="A55" t="s">
        <v>685</v>
      </c>
      <c r="B55">
        <v>1593.3</v>
      </c>
      <c r="C55">
        <v>1655</v>
      </c>
      <c r="D55">
        <v>1593.3</v>
      </c>
      <c r="E55">
        <v>1645.6</v>
      </c>
      <c r="F55">
        <v>2245</v>
      </c>
      <c r="G55" s="66">
        <v>2.75E-2</v>
      </c>
      <c r="K55" t="s">
        <v>684</v>
      </c>
      <c r="L55">
        <v>1188.5</v>
      </c>
      <c r="M55">
        <v>1210</v>
      </c>
      <c r="N55">
        <v>1188.5</v>
      </c>
      <c r="O55">
        <v>1203.2</v>
      </c>
      <c r="P55">
        <v>428</v>
      </c>
      <c r="Q55">
        <v>1.2283359000000001E-2</v>
      </c>
      <c r="U55" t="s">
        <v>683</v>
      </c>
      <c r="V55">
        <v>1105</v>
      </c>
      <c r="W55">
        <v>1139</v>
      </c>
      <c r="X55">
        <v>1105</v>
      </c>
      <c r="Y55">
        <v>1121.9000000000001</v>
      </c>
      <c r="Z55">
        <v>776</v>
      </c>
      <c r="AA55">
        <v>2.6812049999999999E-3</v>
      </c>
      <c r="AE55" s="126">
        <v>43414</v>
      </c>
      <c r="AF55">
        <v>1103.4000000000001</v>
      </c>
      <c r="AG55">
        <v>1130</v>
      </c>
      <c r="AH55">
        <v>1103.4000000000001</v>
      </c>
      <c r="AI55">
        <v>1106.5</v>
      </c>
      <c r="AJ55">
        <v>105</v>
      </c>
      <c r="AK55">
        <v>2.8094980000000001E-3</v>
      </c>
      <c r="AO55" t="s">
        <v>682</v>
      </c>
      <c r="AP55">
        <v>1725</v>
      </c>
      <c r="AQ55">
        <v>1725</v>
      </c>
      <c r="AR55">
        <v>1710.4</v>
      </c>
      <c r="AS55">
        <v>1711.9</v>
      </c>
      <c r="AT55">
        <v>4498</v>
      </c>
      <c r="AU55">
        <v>-5.6920490000000002E-3</v>
      </c>
    </row>
    <row r="56" spans="1:47" x14ac:dyDescent="0.3">
      <c r="A56" t="s">
        <v>681</v>
      </c>
      <c r="B56">
        <v>1620</v>
      </c>
      <c r="C56">
        <v>1620</v>
      </c>
      <c r="D56">
        <v>1601.2</v>
      </c>
      <c r="E56">
        <v>1601.5</v>
      </c>
      <c r="F56">
        <v>2958</v>
      </c>
      <c r="G56" s="66">
        <v>8.6E-3</v>
      </c>
      <c r="K56" t="s">
        <v>680</v>
      </c>
      <c r="L56">
        <v>1190</v>
      </c>
      <c r="M56">
        <v>1190</v>
      </c>
      <c r="N56">
        <v>1187.0999999999999</v>
      </c>
      <c r="O56">
        <v>1188.5999999999999</v>
      </c>
      <c r="P56">
        <v>1460</v>
      </c>
      <c r="Q56">
        <v>-7.5661999999999995E-4</v>
      </c>
      <c r="U56" t="s">
        <v>679</v>
      </c>
      <c r="V56">
        <v>1100</v>
      </c>
      <c r="W56">
        <v>1135</v>
      </c>
      <c r="X56">
        <v>1095</v>
      </c>
      <c r="Y56">
        <v>1118.9000000000001</v>
      </c>
      <c r="Z56">
        <v>5121</v>
      </c>
      <c r="AA56">
        <v>6.4765669999999999E-3</v>
      </c>
      <c r="AE56" s="126">
        <v>43383</v>
      </c>
      <c r="AF56">
        <v>1110</v>
      </c>
      <c r="AG56">
        <v>1110</v>
      </c>
      <c r="AH56">
        <v>1103.0999999999999</v>
      </c>
      <c r="AI56">
        <v>1103.4000000000001</v>
      </c>
      <c r="AJ56">
        <v>245</v>
      </c>
      <c r="AK56">
        <v>3.5470670000000001E-3</v>
      </c>
      <c r="AO56" t="s">
        <v>678</v>
      </c>
      <c r="AP56">
        <v>1733.9</v>
      </c>
      <c r="AQ56">
        <v>1733.9</v>
      </c>
      <c r="AR56">
        <v>1720</v>
      </c>
      <c r="AS56">
        <v>1721.7</v>
      </c>
      <c r="AT56">
        <v>1651</v>
      </c>
      <c r="AU56">
        <v>-3.4837099999999999E-4</v>
      </c>
    </row>
    <row r="57" spans="1:47" x14ac:dyDescent="0.3">
      <c r="A57" t="s">
        <v>677</v>
      </c>
      <c r="B57">
        <v>1583</v>
      </c>
      <c r="C57">
        <v>1618</v>
      </c>
      <c r="D57">
        <v>1582.5</v>
      </c>
      <c r="E57">
        <v>1587.8</v>
      </c>
      <c r="F57">
        <v>2633</v>
      </c>
      <c r="G57" s="66">
        <v>5.3E-3</v>
      </c>
      <c r="K57" s="126">
        <v>42653</v>
      </c>
      <c r="L57">
        <v>1186.5</v>
      </c>
      <c r="M57">
        <v>1190</v>
      </c>
      <c r="N57">
        <v>1186.5</v>
      </c>
      <c r="O57">
        <v>1189.5</v>
      </c>
      <c r="P57">
        <v>223</v>
      </c>
      <c r="Q57">
        <v>-1.5109539999999999E-3</v>
      </c>
      <c r="U57" s="126">
        <v>43079</v>
      </c>
      <c r="V57">
        <v>1095</v>
      </c>
      <c r="W57">
        <v>1124</v>
      </c>
      <c r="X57">
        <v>1080</v>
      </c>
      <c r="Y57">
        <v>1111.7</v>
      </c>
      <c r="Z57">
        <v>1998</v>
      </c>
      <c r="AA57">
        <v>1.5251142000000001E-2</v>
      </c>
      <c r="AE57" s="126">
        <v>43353</v>
      </c>
      <c r="AF57">
        <v>1115</v>
      </c>
      <c r="AG57">
        <v>1115</v>
      </c>
      <c r="AH57">
        <v>1096.0999999999999</v>
      </c>
      <c r="AI57">
        <v>1099.5</v>
      </c>
      <c r="AJ57">
        <v>1243</v>
      </c>
      <c r="AK57">
        <v>-4.4367979999999996E-3</v>
      </c>
      <c r="AO57" s="126">
        <v>43748</v>
      </c>
      <c r="AP57">
        <v>1715.1</v>
      </c>
      <c r="AQ57">
        <v>1728</v>
      </c>
      <c r="AR57">
        <v>1715.1</v>
      </c>
      <c r="AS57">
        <v>1722.3</v>
      </c>
      <c r="AT57">
        <v>858</v>
      </c>
      <c r="AU57">
        <v>1.337209E-3</v>
      </c>
    </row>
    <row r="58" spans="1:47" x14ac:dyDescent="0.3">
      <c r="A58" s="126">
        <v>42348</v>
      </c>
      <c r="B58">
        <v>1669</v>
      </c>
      <c r="C58">
        <v>1669</v>
      </c>
      <c r="D58">
        <v>1560</v>
      </c>
      <c r="E58">
        <v>1579.4</v>
      </c>
      <c r="F58">
        <v>2031</v>
      </c>
      <c r="G58" s="66">
        <v>6.1000000000000004E-3</v>
      </c>
      <c r="K58" s="126">
        <v>42623</v>
      </c>
      <c r="L58">
        <v>1190</v>
      </c>
      <c r="M58">
        <v>1198</v>
      </c>
      <c r="N58">
        <v>1190</v>
      </c>
      <c r="O58">
        <v>1191.3</v>
      </c>
      <c r="P58">
        <v>385</v>
      </c>
      <c r="Q58">
        <v>1.5974439999999999E-3</v>
      </c>
      <c r="U58" s="126">
        <v>43049</v>
      </c>
      <c r="V58">
        <v>1085</v>
      </c>
      <c r="W58">
        <v>1125</v>
      </c>
      <c r="X58">
        <v>1085</v>
      </c>
      <c r="Y58">
        <v>1095</v>
      </c>
      <c r="Z58">
        <v>671</v>
      </c>
      <c r="AA58">
        <v>-7.072905E-3</v>
      </c>
      <c r="AE58" s="126">
        <v>43322</v>
      </c>
      <c r="AF58">
        <v>1115</v>
      </c>
      <c r="AG58">
        <v>1115</v>
      </c>
      <c r="AH58">
        <v>1101</v>
      </c>
      <c r="AI58">
        <v>1104.4000000000001</v>
      </c>
      <c r="AJ58">
        <v>263</v>
      </c>
      <c r="AK58">
        <v>-1.0039441E-2</v>
      </c>
      <c r="AO58" s="126">
        <v>43718</v>
      </c>
      <c r="AP58">
        <v>1716.3</v>
      </c>
      <c r="AQ58">
        <v>1729.9</v>
      </c>
      <c r="AR58">
        <v>1716.3</v>
      </c>
      <c r="AS58">
        <v>1720</v>
      </c>
      <c r="AT58">
        <v>2305</v>
      </c>
      <c r="AU58">
        <v>2.1557999999999998E-3</v>
      </c>
    </row>
    <row r="59" spans="1:47" x14ac:dyDescent="0.3">
      <c r="A59" s="126">
        <v>42318</v>
      </c>
      <c r="B59">
        <v>1570.3</v>
      </c>
      <c r="C59">
        <v>1585</v>
      </c>
      <c r="D59">
        <v>1562</v>
      </c>
      <c r="E59">
        <v>1569.8</v>
      </c>
      <c r="F59">
        <v>185</v>
      </c>
      <c r="G59" s="66">
        <v>-5.5999999999999999E-3</v>
      </c>
      <c r="K59" s="126">
        <v>42531</v>
      </c>
      <c r="L59">
        <v>1195</v>
      </c>
      <c r="M59">
        <v>1195</v>
      </c>
      <c r="N59">
        <v>1187</v>
      </c>
      <c r="O59">
        <v>1189.4000000000001</v>
      </c>
      <c r="P59">
        <v>6004</v>
      </c>
      <c r="Q59">
        <v>-4.6861919999999996E-3</v>
      </c>
      <c r="U59" s="126">
        <v>43018</v>
      </c>
      <c r="V59">
        <v>1078</v>
      </c>
      <c r="W59">
        <v>1128</v>
      </c>
      <c r="X59">
        <v>1078</v>
      </c>
      <c r="Y59">
        <v>1102.8</v>
      </c>
      <c r="Z59">
        <v>1116</v>
      </c>
      <c r="AA59">
        <v>-1.3683928E-2</v>
      </c>
      <c r="AE59" s="126">
        <v>43291</v>
      </c>
      <c r="AF59">
        <v>1115</v>
      </c>
      <c r="AG59">
        <v>1124.9000000000001</v>
      </c>
      <c r="AH59">
        <v>1110</v>
      </c>
      <c r="AI59">
        <v>1115.5999999999999</v>
      </c>
      <c r="AJ59">
        <v>263</v>
      </c>
      <c r="AK59">
        <v>-5.3753799999999995E-4</v>
      </c>
      <c r="AO59" s="126">
        <v>43656</v>
      </c>
      <c r="AP59">
        <v>1719.5</v>
      </c>
      <c r="AQ59">
        <v>1720</v>
      </c>
      <c r="AR59">
        <v>1707</v>
      </c>
      <c r="AS59">
        <v>1716.3</v>
      </c>
      <c r="AT59">
        <v>975</v>
      </c>
      <c r="AU59">
        <v>-2.0931449999999998E-3</v>
      </c>
    </row>
    <row r="60" spans="1:47" x14ac:dyDescent="0.3">
      <c r="A60" s="126">
        <v>42226</v>
      </c>
      <c r="B60">
        <v>1605</v>
      </c>
      <c r="C60">
        <v>1605</v>
      </c>
      <c r="D60">
        <v>1570</v>
      </c>
      <c r="E60">
        <v>1578.6</v>
      </c>
      <c r="F60">
        <v>3502</v>
      </c>
      <c r="G60" s="66">
        <v>-2.5600000000000001E-2</v>
      </c>
      <c r="K60" s="126">
        <v>42500</v>
      </c>
      <c r="L60">
        <v>1193</v>
      </c>
      <c r="M60">
        <v>1195</v>
      </c>
      <c r="N60">
        <v>1192.0999999999999</v>
      </c>
      <c r="O60">
        <v>1195</v>
      </c>
      <c r="P60">
        <v>4661</v>
      </c>
      <c r="Q60">
        <v>1.1729220000000001E-3</v>
      </c>
      <c r="U60" s="126">
        <v>42988</v>
      </c>
      <c r="V60">
        <v>1123.5</v>
      </c>
      <c r="W60">
        <v>1125</v>
      </c>
      <c r="X60">
        <v>1080.0999999999999</v>
      </c>
      <c r="Y60">
        <v>1118.0999999999999</v>
      </c>
      <c r="Z60">
        <v>902</v>
      </c>
      <c r="AA60">
        <v>1.5623580999999999E-2</v>
      </c>
      <c r="AE60" s="126">
        <v>43200</v>
      </c>
      <c r="AF60">
        <v>1116.5999999999999</v>
      </c>
      <c r="AG60">
        <v>1130.7</v>
      </c>
      <c r="AH60">
        <v>1115</v>
      </c>
      <c r="AI60">
        <v>1116.2</v>
      </c>
      <c r="AJ60">
        <v>283</v>
      </c>
      <c r="AK60">
        <v>-2.6869699999999998E-4</v>
      </c>
      <c r="AO60" s="126">
        <v>43626</v>
      </c>
      <c r="AP60">
        <v>1705</v>
      </c>
      <c r="AQ60">
        <v>1728</v>
      </c>
      <c r="AR60">
        <v>1705</v>
      </c>
      <c r="AS60">
        <v>1719.9</v>
      </c>
      <c r="AT60">
        <v>1938</v>
      </c>
      <c r="AU60">
        <v>3.6764710000000002E-3</v>
      </c>
    </row>
    <row r="61" spans="1:47" x14ac:dyDescent="0.3">
      <c r="A61" s="126">
        <v>42195</v>
      </c>
      <c r="B61">
        <v>1665</v>
      </c>
      <c r="C61">
        <v>1671</v>
      </c>
      <c r="D61">
        <v>1611.3</v>
      </c>
      <c r="E61">
        <v>1620</v>
      </c>
      <c r="F61">
        <v>3865</v>
      </c>
      <c r="G61" s="66">
        <v>-2.8299999999999999E-2</v>
      </c>
      <c r="K61" s="126">
        <v>42470</v>
      </c>
      <c r="L61">
        <v>1192.5</v>
      </c>
      <c r="M61">
        <v>1195</v>
      </c>
      <c r="N61">
        <v>1120</v>
      </c>
      <c r="O61">
        <v>1193.5999999999999</v>
      </c>
      <c r="P61">
        <v>1380</v>
      </c>
      <c r="Q61">
        <v>-1.1715479999999999E-3</v>
      </c>
      <c r="U61" s="126">
        <v>42957</v>
      </c>
      <c r="V61">
        <v>1071.9000000000001</v>
      </c>
      <c r="W61">
        <v>1107.5999999999999</v>
      </c>
      <c r="X61">
        <v>1071.9000000000001</v>
      </c>
      <c r="Y61">
        <v>1100.9000000000001</v>
      </c>
      <c r="Z61">
        <v>960</v>
      </c>
      <c r="AA61">
        <v>3.1191456999999999E-2</v>
      </c>
      <c r="AE61" s="126">
        <v>43169</v>
      </c>
      <c r="AF61">
        <v>1117</v>
      </c>
      <c r="AG61">
        <v>1133.9000000000001</v>
      </c>
      <c r="AH61">
        <v>1115</v>
      </c>
      <c r="AI61">
        <v>1116.5</v>
      </c>
      <c r="AJ61">
        <v>300</v>
      </c>
      <c r="AK61">
        <v>-5.610973E-3</v>
      </c>
      <c r="AO61" s="126">
        <v>43534</v>
      </c>
      <c r="AP61">
        <v>1722.3</v>
      </c>
      <c r="AQ61">
        <v>1722.3</v>
      </c>
      <c r="AR61">
        <v>1711</v>
      </c>
      <c r="AS61">
        <v>1713.6</v>
      </c>
      <c r="AT61">
        <v>3495</v>
      </c>
      <c r="AU61">
        <v>-4.9358340000000001E-3</v>
      </c>
    </row>
    <row r="62" spans="1:47" x14ac:dyDescent="0.3">
      <c r="A62" s="126">
        <v>42165</v>
      </c>
      <c r="B62">
        <v>1713.9</v>
      </c>
      <c r="C62">
        <v>1715</v>
      </c>
      <c r="D62">
        <v>1655</v>
      </c>
      <c r="E62">
        <v>1667.1</v>
      </c>
      <c r="F62">
        <v>8995</v>
      </c>
      <c r="G62" s="66">
        <v>-4.4999999999999997E-3</v>
      </c>
      <c r="K62" s="126">
        <v>42439</v>
      </c>
      <c r="L62">
        <v>1190.8</v>
      </c>
      <c r="M62">
        <v>1203.9000000000001</v>
      </c>
      <c r="N62">
        <v>1190.8</v>
      </c>
      <c r="O62">
        <v>1195</v>
      </c>
      <c r="P62">
        <v>6993</v>
      </c>
      <c r="Q62">
        <v>-1.587434E-3</v>
      </c>
      <c r="U62" s="126">
        <v>42865</v>
      </c>
      <c r="V62">
        <v>1063.4000000000001</v>
      </c>
      <c r="W62">
        <v>1072.9000000000001</v>
      </c>
      <c r="X62">
        <v>1049</v>
      </c>
      <c r="Y62">
        <v>1067.5999999999999</v>
      </c>
      <c r="Z62">
        <v>982</v>
      </c>
      <c r="AA62">
        <v>3.9495959999999997E-3</v>
      </c>
      <c r="AE62" s="126">
        <v>43141</v>
      </c>
      <c r="AF62">
        <v>1110.5</v>
      </c>
      <c r="AG62">
        <v>1135</v>
      </c>
      <c r="AH62">
        <v>1110.5</v>
      </c>
      <c r="AI62">
        <v>1122.8</v>
      </c>
      <c r="AJ62">
        <v>4</v>
      </c>
      <c r="AK62">
        <v>-2.1329539999999998E-3</v>
      </c>
      <c r="AO62" s="126">
        <v>43506</v>
      </c>
      <c r="AP62">
        <v>1710.5</v>
      </c>
      <c r="AQ62">
        <v>1730</v>
      </c>
      <c r="AR62">
        <v>1710.5</v>
      </c>
      <c r="AS62">
        <v>1722.1</v>
      </c>
      <c r="AT62">
        <v>5698</v>
      </c>
      <c r="AU62">
        <v>6.95825E-3</v>
      </c>
    </row>
    <row r="63" spans="1:47" x14ac:dyDescent="0.3">
      <c r="A63" s="126">
        <v>42134</v>
      </c>
      <c r="B63">
        <v>1694.5</v>
      </c>
      <c r="C63">
        <v>1720</v>
      </c>
      <c r="D63">
        <v>1670</v>
      </c>
      <c r="E63">
        <v>1674.7</v>
      </c>
      <c r="F63">
        <v>10137</v>
      </c>
      <c r="G63" s="66">
        <v>-7.4000000000000003E-3</v>
      </c>
      <c r="K63" s="126">
        <v>42410</v>
      </c>
      <c r="L63">
        <v>1204.9000000000001</v>
      </c>
      <c r="M63">
        <v>1204.9000000000001</v>
      </c>
      <c r="N63">
        <v>1193.0999999999999</v>
      </c>
      <c r="O63">
        <v>1196.9000000000001</v>
      </c>
      <c r="P63">
        <v>48</v>
      </c>
      <c r="Q63">
        <v>1.6737799999999999E-3</v>
      </c>
      <c r="U63" s="126">
        <v>42835</v>
      </c>
      <c r="V63">
        <v>1046</v>
      </c>
      <c r="W63">
        <v>1070</v>
      </c>
      <c r="X63">
        <v>1045</v>
      </c>
      <c r="Y63">
        <v>1063.4000000000001</v>
      </c>
      <c r="Z63">
        <v>812</v>
      </c>
      <c r="AA63">
        <v>2.2303402999999999E-2</v>
      </c>
      <c r="AE63" s="126">
        <v>43110</v>
      </c>
      <c r="AF63">
        <v>1145.0999999999999</v>
      </c>
      <c r="AG63">
        <v>1145.0999999999999</v>
      </c>
      <c r="AH63">
        <v>1125</v>
      </c>
      <c r="AI63">
        <v>1125.2</v>
      </c>
      <c r="AJ63">
        <v>721</v>
      </c>
      <c r="AK63">
        <v>-2.6980284E-2</v>
      </c>
      <c r="AO63" s="126">
        <v>43475</v>
      </c>
      <c r="AP63">
        <v>1705</v>
      </c>
      <c r="AQ63">
        <v>1727</v>
      </c>
      <c r="AR63">
        <v>1702.5</v>
      </c>
      <c r="AS63">
        <v>1710.2</v>
      </c>
      <c r="AT63">
        <v>8563</v>
      </c>
      <c r="AU63">
        <v>5.3494800000000002E-3</v>
      </c>
    </row>
    <row r="64" spans="1:47" x14ac:dyDescent="0.3">
      <c r="A64" s="126">
        <v>42104</v>
      </c>
      <c r="B64">
        <v>1657.5</v>
      </c>
      <c r="C64">
        <v>1690</v>
      </c>
      <c r="D64">
        <v>1657.5</v>
      </c>
      <c r="E64">
        <v>1687.1</v>
      </c>
      <c r="F64">
        <v>648</v>
      </c>
      <c r="G64" s="66">
        <v>5.1999999999999998E-3</v>
      </c>
      <c r="K64" t="s">
        <v>676</v>
      </c>
      <c r="L64">
        <v>1196.5</v>
      </c>
      <c r="M64">
        <v>1203</v>
      </c>
      <c r="N64">
        <v>1193</v>
      </c>
      <c r="O64">
        <v>1194.9000000000001</v>
      </c>
      <c r="P64">
        <v>6640</v>
      </c>
      <c r="Q64">
        <v>-1.0032610000000001E-3</v>
      </c>
      <c r="U64" s="126">
        <v>42804</v>
      </c>
      <c r="V64">
        <v>1026</v>
      </c>
      <c r="W64">
        <v>1067</v>
      </c>
      <c r="X64">
        <v>1026</v>
      </c>
      <c r="Y64">
        <v>1040.2</v>
      </c>
      <c r="Z64">
        <v>1617</v>
      </c>
      <c r="AA64">
        <v>9.9029129999999993E-3</v>
      </c>
      <c r="AE64" t="s">
        <v>675</v>
      </c>
      <c r="AF64">
        <v>1205</v>
      </c>
      <c r="AG64">
        <v>1205</v>
      </c>
      <c r="AH64">
        <v>1145</v>
      </c>
      <c r="AI64">
        <v>1156.4000000000001</v>
      </c>
      <c r="AJ64">
        <v>362</v>
      </c>
      <c r="AK64">
        <v>-4.6661171000000001E-2</v>
      </c>
      <c r="AO64" t="s">
        <v>674</v>
      </c>
      <c r="AP64">
        <v>1705</v>
      </c>
      <c r="AQ64">
        <v>1705</v>
      </c>
      <c r="AR64">
        <v>1696.3</v>
      </c>
      <c r="AS64">
        <v>1701.1</v>
      </c>
      <c r="AT64">
        <v>1588</v>
      </c>
      <c r="AU64">
        <v>-1.701878E-3</v>
      </c>
    </row>
    <row r="65" spans="1:47" x14ac:dyDescent="0.3">
      <c r="A65" s="126">
        <v>42014</v>
      </c>
      <c r="B65">
        <v>1705</v>
      </c>
      <c r="C65">
        <v>1705</v>
      </c>
      <c r="D65">
        <v>1666.5</v>
      </c>
      <c r="E65">
        <v>1678.3</v>
      </c>
      <c r="F65">
        <v>2029</v>
      </c>
      <c r="G65" s="66">
        <v>-4.1999999999999997E-3</v>
      </c>
      <c r="K65" t="s">
        <v>673</v>
      </c>
      <c r="L65">
        <v>1199.0999999999999</v>
      </c>
      <c r="M65">
        <v>1199.0999999999999</v>
      </c>
      <c r="N65">
        <v>1195.2</v>
      </c>
      <c r="O65">
        <v>1196.0999999999999</v>
      </c>
      <c r="P65">
        <v>1094</v>
      </c>
      <c r="Q65">
        <v>-4.9912649999999999E-3</v>
      </c>
      <c r="U65" s="126">
        <v>42776</v>
      </c>
      <c r="V65">
        <v>1093</v>
      </c>
      <c r="W65">
        <v>1093</v>
      </c>
      <c r="X65">
        <v>1023.4</v>
      </c>
      <c r="Y65">
        <v>1030</v>
      </c>
      <c r="Z65">
        <v>1855</v>
      </c>
      <c r="AA65">
        <v>-5.7811927999999999E-2</v>
      </c>
      <c r="AE65" t="s">
        <v>672</v>
      </c>
      <c r="AF65">
        <v>1165</v>
      </c>
      <c r="AG65">
        <v>1233.8</v>
      </c>
      <c r="AH65">
        <v>1154</v>
      </c>
      <c r="AI65">
        <v>1213</v>
      </c>
      <c r="AJ65">
        <v>1654</v>
      </c>
      <c r="AK65">
        <v>3.7461512000000002E-2</v>
      </c>
      <c r="AO65" t="s">
        <v>671</v>
      </c>
      <c r="AP65">
        <v>1719</v>
      </c>
      <c r="AQ65">
        <v>1719</v>
      </c>
      <c r="AR65">
        <v>1695</v>
      </c>
      <c r="AS65">
        <v>1704</v>
      </c>
      <c r="AT65">
        <v>5912</v>
      </c>
      <c r="AU65">
        <v>-8.3798880000000003E-3</v>
      </c>
    </row>
    <row r="66" spans="1:47" x14ac:dyDescent="0.3">
      <c r="A66" t="s">
        <v>670</v>
      </c>
      <c r="B66">
        <v>1695</v>
      </c>
      <c r="C66">
        <v>1700</v>
      </c>
      <c r="D66">
        <v>1657</v>
      </c>
      <c r="E66">
        <v>1685.4</v>
      </c>
      <c r="F66">
        <v>195</v>
      </c>
      <c r="G66" s="66">
        <v>1.38E-2</v>
      </c>
      <c r="K66" t="s">
        <v>669</v>
      </c>
      <c r="L66">
        <v>1202</v>
      </c>
      <c r="M66">
        <v>1203</v>
      </c>
      <c r="N66">
        <v>1195.0999999999999</v>
      </c>
      <c r="O66">
        <v>1202.0999999999999</v>
      </c>
      <c r="P66">
        <v>3661</v>
      </c>
      <c r="Q66">
        <v>8.3257000000000003E-4</v>
      </c>
      <c r="U66" t="s">
        <v>668</v>
      </c>
      <c r="V66">
        <v>1073.5</v>
      </c>
      <c r="W66">
        <v>1099.7</v>
      </c>
      <c r="X66">
        <v>1024.9000000000001</v>
      </c>
      <c r="Y66">
        <v>1093.2</v>
      </c>
      <c r="Z66">
        <v>831</v>
      </c>
      <c r="AA66">
        <v>6.2592050000000003E-3</v>
      </c>
      <c r="AE66" t="s">
        <v>667</v>
      </c>
      <c r="AF66">
        <v>1121</v>
      </c>
      <c r="AG66">
        <v>1175</v>
      </c>
      <c r="AH66">
        <v>1101</v>
      </c>
      <c r="AI66">
        <v>1169.2</v>
      </c>
      <c r="AJ66">
        <v>1738</v>
      </c>
      <c r="AK66">
        <v>4.2997324000000003E-2</v>
      </c>
      <c r="AO66" t="s">
        <v>666</v>
      </c>
      <c r="AP66">
        <v>1708</v>
      </c>
      <c r="AQ66">
        <v>1730</v>
      </c>
      <c r="AR66">
        <v>1708</v>
      </c>
      <c r="AS66">
        <v>1718.4</v>
      </c>
      <c r="AT66">
        <v>2064</v>
      </c>
      <c r="AU66">
        <v>9.5764060000000008E-3</v>
      </c>
    </row>
    <row r="67" spans="1:47" x14ac:dyDescent="0.3">
      <c r="A67" t="s">
        <v>665</v>
      </c>
      <c r="B67">
        <v>1708</v>
      </c>
      <c r="C67">
        <v>1708</v>
      </c>
      <c r="D67">
        <v>1655</v>
      </c>
      <c r="E67">
        <v>1662.5</v>
      </c>
      <c r="F67">
        <v>3995</v>
      </c>
      <c r="G67" s="66">
        <v>-1.4800000000000001E-2</v>
      </c>
      <c r="K67" t="s">
        <v>664</v>
      </c>
      <c r="L67">
        <v>1201</v>
      </c>
      <c r="M67">
        <v>1205</v>
      </c>
      <c r="N67">
        <v>1198.0999999999999</v>
      </c>
      <c r="O67">
        <v>1201.0999999999999</v>
      </c>
      <c r="P67">
        <v>2055</v>
      </c>
      <c r="Q67">
        <v>-1.413369E-3</v>
      </c>
      <c r="U67" t="s">
        <v>663</v>
      </c>
      <c r="V67">
        <v>1081.0999999999999</v>
      </c>
      <c r="W67">
        <v>1095</v>
      </c>
      <c r="X67">
        <v>1081</v>
      </c>
      <c r="Y67">
        <v>1086.4000000000001</v>
      </c>
      <c r="Z67">
        <v>1097</v>
      </c>
      <c r="AA67">
        <v>-9.0303750000000002E-3</v>
      </c>
      <c r="AE67" t="s">
        <v>662</v>
      </c>
      <c r="AF67">
        <v>1120</v>
      </c>
      <c r="AG67">
        <v>1122.5</v>
      </c>
      <c r="AH67">
        <v>1120</v>
      </c>
      <c r="AI67">
        <v>1121</v>
      </c>
      <c r="AJ67">
        <v>450</v>
      </c>
      <c r="AK67">
        <v>-2.402777E-3</v>
      </c>
      <c r="AO67" t="s">
        <v>661</v>
      </c>
      <c r="AP67">
        <v>1714.5</v>
      </c>
      <c r="AQ67">
        <v>1719.7</v>
      </c>
      <c r="AR67">
        <v>1692.1</v>
      </c>
      <c r="AS67">
        <v>1702.1</v>
      </c>
      <c r="AT67">
        <v>4042</v>
      </c>
      <c r="AU67">
        <v>-7.174522E-3</v>
      </c>
    </row>
    <row r="68" spans="1:47" x14ac:dyDescent="0.3">
      <c r="A68" t="s">
        <v>660</v>
      </c>
      <c r="B68">
        <v>1652</v>
      </c>
      <c r="C68">
        <v>1690</v>
      </c>
      <c r="D68">
        <v>1642.5</v>
      </c>
      <c r="E68">
        <v>1687.4</v>
      </c>
      <c r="F68">
        <v>1910</v>
      </c>
      <c r="G68" s="66">
        <v>3.3300000000000003E-2</v>
      </c>
      <c r="K68" t="s">
        <v>659</v>
      </c>
      <c r="L68">
        <v>1206</v>
      </c>
      <c r="M68">
        <v>1206.9000000000001</v>
      </c>
      <c r="N68">
        <v>1196.5</v>
      </c>
      <c r="O68">
        <v>1202.8</v>
      </c>
      <c r="P68">
        <v>323</v>
      </c>
      <c r="Q68">
        <v>-7.1811799999999997E-3</v>
      </c>
      <c r="U68" t="s">
        <v>658</v>
      </c>
      <c r="V68">
        <v>1075</v>
      </c>
      <c r="W68">
        <v>1129.5</v>
      </c>
      <c r="X68">
        <v>1075</v>
      </c>
      <c r="Y68">
        <v>1096.3</v>
      </c>
      <c r="Z68">
        <v>1045</v>
      </c>
      <c r="AA68">
        <v>-1.8883121999999999E-2</v>
      </c>
      <c r="AE68" t="s">
        <v>657</v>
      </c>
      <c r="AF68">
        <v>1095</v>
      </c>
      <c r="AG68">
        <v>1145</v>
      </c>
      <c r="AH68">
        <v>1080</v>
      </c>
      <c r="AI68">
        <v>1123.7</v>
      </c>
      <c r="AJ68">
        <v>406</v>
      </c>
      <c r="AK68">
        <v>3.4143198999999999E-2</v>
      </c>
      <c r="AO68" t="s">
        <v>656</v>
      </c>
      <c r="AP68">
        <v>1725</v>
      </c>
      <c r="AQ68">
        <v>1725</v>
      </c>
      <c r="AR68">
        <v>1713.3</v>
      </c>
      <c r="AS68">
        <v>1714.4</v>
      </c>
      <c r="AT68">
        <v>2633</v>
      </c>
      <c r="AU68">
        <v>-7.3533670000000004E-3</v>
      </c>
    </row>
    <row r="69" spans="1:47" x14ac:dyDescent="0.3">
      <c r="A69" t="s">
        <v>655</v>
      </c>
      <c r="B69">
        <v>1604.5</v>
      </c>
      <c r="C69">
        <v>1650</v>
      </c>
      <c r="D69">
        <v>1586</v>
      </c>
      <c r="E69">
        <v>1633</v>
      </c>
      <c r="F69">
        <v>1900</v>
      </c>
      <c r="G69" s="66">
        <v>2.1600000000000001E-2</v>
      </c>
      <c r="K69" t="s">
        <v>654</v>
      </c>
      <c r="L69">
        <v>1205</v>
      </c>
      <c r="M69">
        <v>1215</v>
      </c>
      <c r="N69">
        <v>1205</v>
      </c>
      <c r="O69">
        <v>1211.5</v>
      </c>
      <c r="P69">
        <v>339</v>
      </c>
      <c r="Q69">
        <v>1.3807531E-2</v>
      </c>
      <c r="U69" t="s">
        <v>653</v>
      </c>
      <c r="V69">
        <v>1126</v>
      </c>
      <c r="W69">
        <v>1128</v>
      </c>
      <c r="X69">
        <v>1117</v>
      </c>
      <c r="Y69">
        <v>1117.4000000000001</v>
      </c>
      <c r="Z69">
        <v>1615</v>
      </c>
      <c r="AA69">
        <v>-1.3420448999999999E-2</v>
      </c>
      <c r="AE69" t="s">
        <v>652</v>
      </c>
      <c r="AF69">
        <v>1083</v>
      </c>
      <c r="AG69">
        <v>1088.0999999999999</v>
      </c>
      <c r="AH69">
        <v>1083</v>
      </c>
      <c r="AI69">
        <v>1086.5999999999999</v>
      </c>
      <c r="AJ69">
        <v>84</v>
      </c>
      <c r="AK69">
        <v>1.0132937E-2</v>
      </c>
      <c r="AO69" t="s">
        <v>651</v>
      </c>
      <c r="AP69">
        <v>1714</v>
      </c>
      <c r="AQ69">
        <v>1740</v>
      </c>
      <c r="AR69">
        <v>1714</v>
      </c>
      <c r="AS69">
        <v>1727.1</v>
      </c>
      <c r="AT69">
        <v>2423</v>
      </c>
      <c r="AU69">
        <v>8.6433450000000002E-3</v>
      </c>
    </row>
    <row r="70" spans="1:47" x14ac:dyDescent="0.3">
      <c r="A70" t="s">
        <v>650</v>
      </c>
      <c r="B70">
        <v>1640</v>
      </c>
      <c r="C70">
        <v>1640</v>
      </c>
      <c r="D70">
        <v>1585</v>
      </c>
      <c r="E70">
        <v>1598.4</v>
      </c>
      <c r="F70">
        <v>462</v>
      </c>
      <c r="G70" s="66">
        <v>1.2999999999999999E-2</v>
      </c>
      <c r="K70" t="s">
        <v>649</v>
      </c>
      <c r="L70">
        <v>1195.2</v>
      </c>
      <c r="M70">
        <v>1197.2</v>
      </c>
      <c r="N70">
        <v>1193</v>
      </c>
      <c r="O70">
        <v>1195</v>
      </c>
      <c r="P70">
        <v>8887</v>
      </c>
      <c r="Q70">
        <v>2.8533059999999999E-3</v>
      </c>
      <c r="U70" t="s">
        <v>648</v>
      </c>
      <c r="V70">
        <v>1127</v>
      </c>
      <c r="W70">
        <v>1161.5999999999999</v>
      </c>
      <c r="X70">
        <v>1125.5</v>
      </c>
      <c r="Y70">
        <v>1132.5999999999999</v>
      </c>
      <c r="Z70">
        <v>3056</v>
      </c>
      <c r="AA70">
        <v>2.3008849999999999E-3</v>
      </c>
      <c r="AE70" t="s">
        <v>647</v>
      </c>
      <c r="AF70">
        <v>1080</v>
      </c>
      <c r="AG70">
        <v>1105</v>
      </c>
      <c r="AH70">
        <v>1075</v>
      </c>
      <c r="AI70">
        <v>1075.7</v>
      </c>
      <c r="AJ70">
        <v>51</v>
      </c>
      <c r="AK70">
        <v>-1.8969448E-2</v>
      </c>
      <c r="AO70" t="s">
        <v>646</v>
      </c>
      <c r="AP70">
        <v>1680</v>
      </c>
      <c r="AQ70">
        <v>1720</v>
      </c>
      <c r="AR70">
        <v>1680</v>
      </c>
      <c r="AS70">
        <v>1712.3</v>
      </c>
      <c r="AT70">
        <v>588</v>
      </c>
      <c r="AU70">
        <v>2.0482209999999998E-3</v>
      </c>
    </row>
    <row r="71" spans="1:47" x14ac:dyDescent="0.3">
      <c r="A71" t="s">
        <v>645</v>
      </c>
      <c r="B71">
        <v>1560</v>
      </c>
      <c r="C71">
        <v>1605</v>
      </c>
      <c r="D71">
        <v>1560</v>
      </c>
      <c r="E71">
        <v>1577.9</v>
      </c>
      <c r="F71">
        <v>1676</v>
      </c>
      <c r="G71" s="66">
        <v>1.3599999999999999E-2</v>
      </c>
      <c r="K71" t="s">
        <v>644</v>
      </c>
      <c r="L71">
        <v>1195</v>
      </c>
      <c r="M71">
        <v>1195</v>
      </c>
      <c r="N71">
        <v>1190</v>
      </c>
      <c r="O71">
        <v>1191.5999999999999</v>
      </c>
      <c r="P71">
        <v>2137</v>
      </c>
      <c r="Q71">
        <v>0</v>
      </c>
      <c r="U71" t="s">
        <v>643</v>
      </c>
      <c r="V71">
        <v>1105.4000000000001</v>
      </c>
      <c r="W71">
        <v>1135</v>
      </c>
      <c r="X71">
        <v>1105.4000000000001</v>
      </c>
      <c r="Y71">
        <v>1130</v>
      </c>
      <c r="Z71">
        <v>2184</v>
      </c>
      <c r="AA71">
        <v>6.0541309999999999E-3</v>
      </c>
      <c r="AE71" t="s">
        <v>642</v>
      </c>
      <c r="AF71">
        <v>1099</v>
      </c>
      <c r="AG71">
        <v>1099</v>
      </c>
      <c r="AH71">
        <v>1095</v>
      </c>
      <c r="AI71">
        <v>1096.5</v>
      </c>
      <c r="AJ71">
        <v>20</v>
      </c>
      <c r="AK71">
        <v>3.9370079999999997E-3</v>
      </c>
      <c r="AO71" t="s">
        <v>641</v>
      </c>
      <c r="AP71">
        <v>1735.1</v>
      </c>
      <c r="AQ71">
        <v>1754.4</v>
      </c>
      <c r="AR71">
        <v>1703.3</v>
      </c>
      <c r="AS71">
        <v>1708.8</v>
      </c>
      <c r="AT71">
        <v>8727</v>
      </c>
      <c r="AU71">
        <v>-2.1530005000000001E-2</v>
      </c>
    </row>
    <row r="72" spans="1:47" x14ac:dyDescent="0.3">
      <c r="A72" t="s">
        <v>640</v>
      </c>
      <c r="B72">
        <v>1560</v>
      </c>
      <c r="C72">
        <v>1567</v>
      </c>
      <c r="D72">
        <v>1551</v>
      </c>
      <c r="E72">
        <v>1556.7</v>
      </c>
      <c r="F72">
        <v>854</v>
      </c>
      <c r="G72" s="66">
        <v>1.5E-3</v>
      </c>
      <c r="K72" t="s">
        <v>639</v>
      </c>
      <c r="L72">
        <v>1193</v>
      </c>
      <c r="M72">
        <v>1195</v>
      </c>
      <c r="N72">
        <v>1190</v>
      </c>
      <c r="O72">
        <v>1191.5999999999999</v>
      </c>
      <c r="P72">
        <v>11085</v>
      </c>
      <c r="Q72">
        <v>-1.67813E-4</v>
      </c>
      <c r="U72" t="s">
        <v>638</v>
      </c>
      <c r="V72">
        <v>1145</v>
      </c>
      <c r="W72">
        <v>1154</v>
      </c>
      <c r="X72">
        <v>1115</v>
      </c>
      <c r="Y72">
        <v>1123.2</v>
      </c>
      <c r="Z72">
        <v>4792</v>
      </c>
      <c r="AA72">
        <v>-3.8932147E-2</v>
      </c>
      <c r="AE72" t="s">
        <v>637</v>
      </c>
      <c r="AF72">
        <v>1096.0999999999999</v>
      </c>
      <c r="AG72">
        <v>1100</v>
      </c>
      <c r="AH72">
        <v>1090.0999999999999</v>
      </c>
      <c r="AI72">
        <v>1092.2</v>
      </c>
      <c r="AJ72">
        <v>270</v>
      </c>
      <c r="AK72">
        <v>-7.0006360000000002E-3</v>
      </c>
      <c r="AO72" t="s">
        <v>636</v>
      </c>
      <c r="AP72">
        <v>1760</v>
      </c>
      <c r="AQ72">
        <v>1760</v>
      </c>
      <c r="AR72">
        <v>1740.3</v>
      </c>
      <c r="AS72">
        <v>1746.4</v>
      </c>
      <c r="AT72">
        <v>3578</v>
      </c>
      <c r="AU72">
        <v>-1.5436510000000001E-3</v>
      </c>
    </row>
    <row r="73" spans="1:47" x14ac:dyDescent="0.3">
      <c r="A73" t="s">
        <v>635</v>
      </c>
      <c r="B73">
        <v>1619.5</v>
      </c>
      <c r="C73">
        <v>1619.5</v>
      </c>
      <c r="D73">
        <v>1520</v>
      </c>
      <c r="E73">
        <v>1554.4</v>
      </c>
      <c r="F73">
        <v>2309</v>
      </c>
      <c r="G73" s="66">
        <v>-2.6700000000000002E-2</v>
      </c>
      <c r="K73" t="s">
        <v>634</v>
      </c>
      <c r="L73">
        <v>1192.4000000000001</v>
      </c>
      <c r="M73">
        <v>1195</v>
      </c>
      <c r="N73">
        <v>1188.4000000000001</v>
      </c>
      <c r="O73">
        <v>1191.8</v>
      </c>
      <c r="P73">
        <v>28285</v>
      </c>
      <c r="Q73">
        <v>3.3573899999999999E-4</v>
      </c>
      <c r="U73" t="s">
        <v>633</v>
      </c>
      <c r="V73">
        <v>1140</v>
      </c>
      <c r="W73">
        <v>1225</v>
      </c>
      <c r="X73">
        <v>1140</v>
      </c>
      <c r="Y73">
        <v>1168.7</v>
      </c>
      <c r="Z73">
        <v>16102</v>
      </c>
      <c r="AA73">
        <v>-4.6840400000000004E-3</v>
      </c>
      <c r="AE73" t="s">
        <v>632</v>
      </c>
      <c r="AF73">
        <v>1106</v>
      </c>
      <c r="AG73">
        <v>1106</v>
      </c>
      <c r="AH73">
        <v>1095</v>
      </c>
      <c r="AI73">
        <v>1099.9000000000001</v>
      </c>
      <c r="AJ73">
        <v>442</v>
      </c>
      <c r="AK73">
        <v>-1.6189624E-2</v>
      </c>
      <c r="AO73" t="s">
        <v>631</v>
      </c>
      <c r="AP73">
        <v>1742.1</v>
      </c>
      <c r="AQ73">
        <v>1753</v>
      </c>
      <c r="AR73">
        <v>1742.1</v>
      </c>
      <c r="AS73">
        <v>1749.1</v>
      </c>
      <c r="AT73">
        <v>9398</v>
      </c>
      <c r="AU73">
        <v>3.672462E-3</v>
      </c>
    </row>
    <row r="74" spans="1:47" x14ac:dyDescent="0.3">
      <c r="A74" t="s">
        <v>630</v>
      </c>
      <c r="B74">
        <v>1595</v>
      </c>
      <c r="C74">
        <v>1649</v>
      </c>
      <c r="D74">
        <v>1595</v>
      </c>
      <c r="E74">
        <v>1597</v>
      </c>
      <c r="F74">
        <v>2399</v>
      </c>
      <c r="G74" s="66">
        <v>4.4000000000000003E-3</v>
      </c>
      <c r="K74" t="s">
        <v>629</v>
      </c>
      <c r="L74">
        <v>1195</v>
      </c>
      <c r="M74">
        <v>1195</v>
      </c>
      <c r="N74">
        <v>1190</v>
      </c>
      <c r="O74">
        <v>1191.4000000000001</v>
      </c>
      <c r="P74">
        <v>110</v>
      </c>
      <c r="Q74">
        <v>-2.6787209999999998E-3</v>
      </c>
      <c r="U74" t="s">
        <v>628</v>
      </c>
      <c r="V74">
        <v>1075</v>
      </c>
      <c r="W74">
        <v>1176</v>
      </c>
      <c r="X74">
        <v>1075</v>
      </c>
      <c r="Y74">
        <v>1174.2</v>
      </c>
      <c r="Z74">
        <v>31362</v>
      </c>
      <c r="AA74">
        <v>5.5650454000000002E-2</v>
      </c>
      <c r="AE74" t="s">
        <v>627</v>
      </c>
      <c r="AF74">
        <v>1118</v>
      </c>
      <c r="AG74">
        <v>1118</v>
      </c>
      <c r="AH74">
        <v>1118</v>
      </c>
      <c r="AI74">
        <v>1118</v>
      </c>
      <c r="AJ74">
        <v>1</v>
      </c>
      <c r="AK74">
        <v>2.6006639999999999E-3</v>
      </c>
      <c r="AO74" t="s">
        <v>626</v>
      </c>
      <c r="AP74">
        <v>1735</v>
      </c>
      <c r="AQ74">
        <v>1749</v>
      </c>
      <c r="AR74">
        <v>1734.1</v>
      </c>
      <c r="AS74">
        <v>1742.7</v>
      </c>
      <c r="AT74">
        <v>2598</v>
      </c>
      <c r="AU74">
        <v>4.4380399999999999E-3</v>
      </c>
    </row>
    <row r="75" spans="1:47" x14ac:dyDescent="0.3">
      <c r="A75" t="s">
        <v>625</v>
      </c>
      <c r="B75">
        <v>1588</v>
      </c>
      <c r="C75">
        <v>1659</v>
      </c>
      <c r="D75">
        <v>1570.1</v>
      </c>
      <c r="E75">
        <v>1590</v>
      </c>
      <c r="F75">
        <v>7917</v>
      </c>
      <c r="G75" s="66">
        <v>1.3100000000000001E-2</v>
      </c>
      <c r="K75" s="126">
        <v>42591</v>
      </c>
      <c r="L75">
        <v>1200</v>
      </c>
      <c r="M75">
        <v>1200</v>
      </c>
      <c r="N75">
        <v>1193.2</v>
      </c>
      <c r="O75">
        <v>1194.5999999999999</v>
      </c>
      <c r="P75">
        <v>397</v>
      </c>
      <c r="Q75">
        <v>-3.3472800000000001E-4</v>
      </c>
      <c r="U75" t="s">
        <v>624</v>
      </c>
      <c r="V75">
        <v>1040</v>
      </c>
      <c r="W75">
        <v>1113.4000000000001</v>
      </c>
      <c r="X75">
        <v>1040</v>
      </c>
      <c r="Y75">
        <v>1112.3</v>
      </c>
      <c r="Z75">
        <v>7066</v>
      </c>
      <c r="AA75">
        <v>6.2876254000000006E-2</v>
      </c>
      <c r="AE75" t="s">
        <v>623</v>
      </c>
      <c r="AF75">
        <v>1096</v>
      </c>
      <c r="AG75">
        <v>1122.5</v>
      </c>
      <c r="AH75">
        <v>1096</v>
      </c>
      <c r="AI75">
        <v>1115.0999999999999</v>
      </c>
      <c r="AJ75">
        <v>43</v>
      </c>
      <c r="AK75">
        <v>1.3542992E-2</v>
      </c>
      <c r="AO75" t="s">
        <v>622</v>
      </c>
      <c r="AP75">
        <v>1754</v>
      </c>
      <c r="AQ75">
        <v>1754</v>
      </c>
      <c r="AR75">
        <v>1733.1</v>
      </c>
      <c r="AS75">
        <v>1735</v>
      </c>
      <c r="AT75">
        <v>4346</v>
      </c>
      <c r="AU75">
        <v>-3.7896190000000001E-3</v>
      </c>
    </row>
    <row r="76" spans="1:47" x14ac:dyDescent="0.3">
      <c r="A76" t="s">
        <v>621</v>
      </c>
      <c r="B76">
        <v>1498.9</v>
      </c>
      <c r="C76">
        <v>1574</v>
      </c>
      <c r="D76">
        <v>1490</v>
      </c>
      <c r="E76">
        <v>1569.5</v>
      </c>
      <c r="F76">
        <v>7715</v>
      </c>
      <c r="G76" s="66">
        <v>5.2900000000000003E-2</v>
      </c>
      <c r="K76" s="126">
        <v>42560</v>
      </c>
      <c r="L76">
        <v>1198.5</v>
      </c>
      <c r="M76">
        <v>1198.5</v>
      </c>
      <c r="N76">
        <v>1193</v>
      </c>
      <c r="O76">
        <v>1195</v>
      </c>
      <c r="P76">
        <v>192</v>
      </c>
      <c r="Q76">
        <v>1.6739200000000001E-4</v>
      </c>
      <c r="U76" t="s">
        <v>620</v>
      </c>
      <c r="V76">
        <v>1030</v>
      </c>
      <c r="W76">
        <v>1052</v>
      </c>
      <c r="X76">
        <v>1030</v>
      </c>
      <c r="Y76">
        <v>1046.5</v>
      </c>
      <c r="Z76">
        <v>6673</v>
      </c>
      <c r="AA76">
        <v>1.5329387999999999E-2</v>
      </c>
      <c r="AE76" s="126">
        <v>43443</v>
      </c>
      <c r="AF76">
        <v>1125</v>
      </c>
      <c r="AG76">
        <v>1125</v>
      </c>
      <c r="AH76">
        <v>1097</v>
      </c>
      <c r="AI76">
        <v>1100.2</v>
      </c>
      <c r="AJ76">
        <v>55</v>
      </c>
      <c r="AK76">
        <v>-9.8100979999999997E-3</v>
      </c>
      <c r="AO76" s="126">
        <v>43808</v>
      </c>
      <c r="AP76">
        <v>1755</v>
      </c>
      <c r="AQ76">
        <v>1763.9</v>
      </c>
      <c r="AR76">
        <v>1730</v>
      </c>
      <c r="AS76">
        <v>1741.6</v>
      </c>
      <c r="AT76">
        <v>5025</v>
      </c>
      <c r="AU76">
        <v>-4.9137240000000004E-3</v>
      </c>
    </row>
    <row r="77" spans="1:47" x14ac:dyDescent="0.3">
      <c r="A77" s="126">
        <v>42286</v>
      </c>
      <c r="B77">
        <v>1449</v>
      </c>
      <c r="C77">
        <v>1500</v>
      </c>
      <c r="D77">
        <v>1449</v>
      </c>
      <c r="E77">
        <v>1490.7</v>
      </c>
      <c r="F77">
        <v>5334</v>
      </c>
      <c r="G77" s="66">
        <v>3.3099999999999997E-2</v>
      </c>
      <c r="K77" s="126">
        <v>42530</v>
      </c>
      <c r="L77">
        <v>1192</v>
      </c>
      <c r="M77">
        <v>1197</v>
      </c>
      <c r="N77">
        <v>1192</v>
      </c>
      <c r="O77">
        <v>1194.8</v>
      </c>
      <c r="P77">
        <v>461</v>
      </c>
      <c r="Q77">
        <v>-8.3626000000000002E-4</v>
      </c>
      <c r="U77" t="s">
        <v>619</v>
      </c>
      <c r="V77">
        <v>1025</v>
      </c>
      <c r="W77">
        <v>1031.9000000000001</v>
      </c>
      <c r="X77">
        <v>1025</v>
      </c>
      <c r="Y77">
        <v>1030.7</v>
      </c>
      <c r="Z77">
        <v>2126</v>
      </c>
      <c r="AA77">
        <v>4.7767599999999997E-3</v>
      </c>
      <c r="AE77" s="126">
        <v>43413</v>
      </c>
      <c r="AF77">
        <v>1107</v>
      </c>
      <c r="AG77">
        <v>1115</v>
      </c>
      <c r="AH77">
        <v>1107</v>
      </c>
      <c r="AI77">
        <v>1111.0999999999999</v>
      </c>
      <c r="AJ77">
        <v>187</v>
      </c>
      <c r="AK77">
        <v>8.0747600000000003E-3</v>
      </c>
      <c r="AO77" s="126">
        <v>43778</v>
      </c>
      <c r="AP77">
        <v>1770</v>
      </c>
      <c r="AQ77">
        <v>1770</v>
      </c>
      <c r="AR77">
        <v>1747</v>
      </c>
      <c r="AS77">
        <v>1750.2</v>
      </c>
      <c r="AT77">
        <v>7925</v>
      </c>
      <c r="AU77">
        <v>-7.654363E-3</v>
      </c>
    </row>
    <row r="78" spans="1:47" x14ac:dyDescent="0.3">
      <c r="A78" s="126">
        <v>42256</v>
      </c>
      <c r="B78">
        <v>1439.8</v>
      </c>
      <c r="C78">
        <v>1449.5</v>
      </c>
      <c r="D78">
        <v>1439.2</v>
      </c>
      <c r="E78">
        <v>1442.9</v>
      </c>
      <c r="F78">
        <v>3102</v>
      </c>
      <c r="G78" s="66">
        <v>1.23E-2</v>
      </c>
      <c r="K78" s="126">
        <v>42469</v>
      </c>
      <c r="L78">
        <v>1192.3</v>
      </c>
      <c r="M78">
        <v>1198</v>
      </c>
      <c r="N78">
        <v>1192</v>
      </c>
      <c r="O78">
        <v>1195.8</v>
      </c>
      <c r="P78">
        <v>414</v>
      </c>
      <c r="Q78">
        <v>-3.666056E-3</v>
      </c>
      <c r="U78" s="126">
        <v>43078</v>
      </c>
      <c r="V78">
        <v>1015</v>
      </c>
      <c r="W78">
        <v>1026</v>
      </c>
      <c r="X78">
        <v>1015</v>
      </c>
      <c r="Y78">
        <v>1025.8</v>
      </c>
      <c r="Z78">
        <v>1420</v>
      </c>
      <c r="AA78">
        <v>4.8766199999999998E-4</v>
      </c>
      <c r="AE78" s="126">
        <v>43382</v>
      </c>
      <c r="AF78">
        <v>1103.0999999999999</v>
      </c>
      <c r="AG78">
        <v>1109.9000000000001</v>
      </c>
      <c r="AH78">
        <v>1101.3</v>
      </c>
      <c r="AI78">
        <v>1102.2</v>
      </c>
      <c r="AJ78">
        <v>220</v>
      </c>
      <c r="AK78">
        <v>1.089918E-3</v>
      </c>
      <c r="AO78" s="126">
        <v>43717</v>
      </c>
      <c r="AP78">
        <v>1751.5</v>
      </c>
      <c r="AQ78">
        <v>1775</v>
      </c>
      <c r="AR78">
        <v>1751.5</v>
      </c>
      <c r="AS78">
        <v>1763.7</v>
      </c>
      <c r="AT78">
        <v>1851</v>
      </c>
      <c r="AU78">
        <v>3.9275960000000002E-3</v>
      </c>
    </row>
    <row r="79" spans="1:47" x14ac:dyDescent="0.3">
      <c r="A79" s="126">
        <v>42225</v>
      </c>
      <c r="B79">
        <v>1444</v>
      </c>
      <c r="C79">
        <v>1444</v>
      </c>
      <c r="D79">
        <v>1420</v>
      </c>
      <c r="E79">
        <v>1425.4</v>
      </c>
      <c r="F79">
        <v>4540</v>
      </c>
      <c r="G79" s="66">
        <v>3.3E-3</v>
      </c>
      <c r="K79" s="126">
        <v>42378</v>
      </c>
      <c r="L79">
        <v>1204</v>
      </c>
      <c r="M79">
        <v>1204</v>
      </c>
      <c r="N79">
        <v>1198</v>
      </c>
      <c r="O79">
        <v>1200.2</v>
      </c>
      <c r="P79">
        <v>463</v>
      </c>
      <c r="Q79">
        <v>-1.0819810000000001E-3</v>
      </c>
      <c r="U79" s="126">
        <v>43048</v>
      </c>
      <c r="V79">
        <v>1018</v>
      </c>
      <c r="W79">
        <v>1029</v>
      </c>
      <c r="X79">
        <v>1018</v>
      </c>
      <c r="Y79">
        <v>1025.3</v>
      </c>
      <c r="Z79">
        <v>1316</v>
      </c>
      <c r="AA79">
        <v>2.9268300000000002E-4</v>
      </c>
      <c r="AE79" s="126">
        <v>43352</v>
      </c>
      <c r="AF79">
        <v>1101</v>
      </c>
      <c r="AG79">
        <v>1122</v>
      </c>
      <c r="AH79">
        <v>1096</v>
      </c>
      <c r="AI79">
        <v>1101</v>
      </c>
      <c r="AJ79">
        <v>530</v>
      </c>
      <c r="AK79">
        <v>-1.0159130000000001E-2</v>
      </c>
      <c r="AO79" s="126">
        <v>43686</v>
      </c>
      <c r="AP79">
        <v>1764.8</v>
      </c>
      <c r="AQ79">
        <v>1765</v>
      </c>
      <c r="AR79">
        <v>1746</v>
      </c>
      <c r="AS79">
        <v>1756.8</v>
      </c>
      <c r="AT79">
        <v>12607</v>
      </c>
      <c r="AU79">
        <v>1.824818E-3</v>
      </c>
    </row>
    <row r="80" spans="1:47" x14ac:dyDescent="0.3">
      <c r="A80" s="126">
        <v>42194</v>
      </c>
      <c r="B80">
        <v>1468.8</v>
      </c>
      <c r="C80">
        <v>1468.8</v>
      </c>
      <c r="D80">
        <v>1414</v>
      </c>
      <c r="E80">
        <v>1420.7</v>
      </c>
      <c r="F80">
        <v>2122</v>
      </c>
      <c r="G80" s="66">
        <v>-1.2800000000000001E-2</v>
      </c>
      <c r="K80" t="s">
        <v>618</v>
      </c>
      <c r="L80">
        <v>1214</v>
      </c>
      <c r="M80">
        <v>1214</v>
      </c>
      <c r="N80">
        <v>1200</v>
      </c>
      <c r="O80">
        <v>1201.5</v>
      </c>
      <c r="P80">
        <v>2669</v>
      </c>
      <c r="Q80">
        <v>-1.062253E-2</v>
      </c>
      <c r="U80" s="126">
        <v>43017</v>
      </c>
      <c r="V80">
        <v>1026</v>
      </c>
      <c r="W80">
        <v>1033.8</v>
      </c>
      <c r="X80">
        <v>1016.5</v>
      </c>
      <c r="Y80">
        <v>1025</v>
      </c>
      <c r="Z80">
        <v>3252</v>
      </c>
      <c r="AA80">
        <v>-7.0715880000000002E-3</v>
      </c>
      <c r="AE80" s="126">
        <v>43260</v>
      </c>
      <c r="AF80">
        <v>1101.2</v>
      </c>
      <c r="AG80">
        <v>1125</v>
      </c>
      <c r="AH80">
        <v>1100</v>
      </c>
      <c r="AI80">
        <v>1112.3</v>
      </c>
      <c r="AJ80">
        <v>550</v>
      </c>
      <c r="AK80">
        <v>9.6214939999999995E-3</v>
      </c>
      <c r="AO80" s="126">
        <v>43594</v>
      </c>
      <c r="AP80">
        <v>1775</v>
      </c>
      <c r="AQ80">
        <v>1775</v>
      </c>
      <c r="AR80">
        <v>1750</v>
      </c>
      <c r="AS80">
        <v>1753.6</v>
      </c>
      <c r="AT80">
        <v>1802</v>
      </c>
      <c r="AU80">
        <v>5.1587760000000003E-3</v>
      </c>
    </row>
    <row r="81" spans="1:47" x14ac:dyDescent="0.3">
      <c r="A81" s="126">
        <v>42164</v>
      </c>
      <c r="B81">
        <v>1444.9</v>
      </c>
      <c r="C81">
        <v>1445</v>
      </c>
      <c r="D81">
        <v>1423.3</v>
      </c>
      <c r="E81">
        <v>1439.1</v>
      </c>
      <c r="F81">
        <v>1467</v>
      </c>
      <c r="G81" s="66">
        <v>7.1999999999999998E-3</v>
      </c>
      <c r="K81" t="s">
        <v>617</v>
      </c>
      <c r="L81">
        <v>1220</v>
      </c>
      <c r="M81">
        <v>1220</v>
      </c>
      <c r="N81">
        <v>1212</v>
      </c>
      <c r="O81">
        <v>1214.4000000000001</v>
      </c>
      <c r="P81">
        <v>466</v>
      </c>
      <c r="Q81">
        <v>-5.5682930000000002E-3</v>
      </c>
      <c r="U81" s="126">
        <v>42925</v>
      </c>
      <c r="V81">
        <v>1027.7</v>
      </c>
      <c r="W81">
        <v>1035</v>
      </c>
      <c r="X81">
        <v>1024</v>
      </c>
      <c r="Y81">
        <v>1032.3</v>
      </c>
      <c r="Z81">
        <v>2224</v>
      </c>
      <c r="AA81">
        <v>1.2609120000000001E-3</v>
      </c>
      <c r="AE81" s="126">
        <v>43229</v>
      </c>
      <c r="AF81">
        <v>1101.5</v>
      </c>
      <c r="AG81">
        <v>1105.2</v>
      </c>
      <c r="AH81">
        <v>1101.0999999999999</v>
      </c>
      <c r="AI81">
        <v>1101.7</v>
      </c>
      <c r="AJ81">
        <v>804</v>
      </c>
      <c r="AK81">
        <v>-1.2636672999999999E-2</v>
      </c>
      <c r="AO81" s="126">
        <v>43564</v>
      </c>
      <c r="AP81">
        <v>1751.3</v>
      </c>
      <c r="AQ81">
        <v>1780</v>
      </c>
      <c r="AR81">
        <v>1741.1</v>
      </c>
      <c r="AS81">
        <v>1744.6</v>
      </c>
      <c r="AT81">
        <v>5913</v>
      </c>
      <c r="AU81">
        <v>-2.0021739999999998E-3</v>
      </c>
    </row>
    <row r="82" spans="1:47" x14ac:dyDescent="0.3">
      <c r="A82" s="126">
        <v>42072</v>
      </c>
      <c r="B82">
        <v>1424</v>
      </c>
      <c r="C82">
        <v>1440</v>
      </c>
      <c r="D82">
        <v>1422</v>
      </c>
      <c r="E82">
        <v>1428.8</v>
      </c>
      <c r="F82">
        <v>872</v>
      </c>
      <c r="G82" s="66">
        <v>6.6E-3</v>
      </c>
      <c r="K82" t="s">
        <v>616</v>
      </c>
      <c r="L82">
        <v>1225</v>
      </c>
      <c r="M82">
        <v>1225</v>
      </c>
      <c r="N82">
        <v>1218.0999999999999</v>
      </c>
      <c r="O82">
        <v>1221.2</v>
      </c>
      <c r="P82">
        <v>199</v>
      </c>
      <c r="Q82">
        <v>-6.5466400000000001E-4</v>
      </c>
      <c r="U82" s="126">
        <v>42895</v>
      </c>
      <c r="V82">
        <v>1010</v>
      </c>
      <c r="W82">
        <v>1035</v>
      </c>
      <c r="X82">
        <v>1005</v>
      </c>
      <c r="Y82">
        <v>1031</v>
      </c>
      <c r="Z82">
        <v>4835</v>
      </c>
      <c r="AA82">
        <v>2.5258552E-2</v>
      </c>
      <c r="AE82" s="126">
        <v>43199</v>
      </c>
      <c r="AF82">
        <v>1115</v>
      </c>
      <c r="AG82">
        <v>1125</v>
      </c>
      <c r="AH82">
        <v>1115</v>
      </c>
      <c r="AI82">
        <v>1115.8</v>
      </c>
      <c r="AJ82">
        <v>15</v>
      </c>
      <c r="AK82">
        <v>9.4996830000000001E-3</v>
      </c>
      <c r="AO82" s="126">
        <v>43533</v>
      </c>
      <c r="AP82">
        <v>1760.3</v>
      </c>
      <c r="AQ82">
        <v>1779</v>
      </c>
      <c r="AR82">
        <v>1747.1</v>
      </c>
      <c r="AS82">
        <v>1748.1</v>
      </c>
      <c r="AT82">
        <v>7315</v>
      </c>
      <c r="AU82">
        <v>1.14423E-4</v>
      </c>
    </row>
    <row r="83" spans="1:47" x14ac:dyDescent="0.3">
      <c r="A83" s="126">
        <v>42044</v>
      </c>
      <c r="B83">
        <v>1445.9</v>
      </c>
      <c r="C83">
        <v>1445.9</v>
      </c>
      <c r="D83">
        <v>1397</v>
      </c>
      <c r="E83">
        <v>1419.5</v>
      </c>
      <c r="F83">
        <v>3543</v>
      </c>
      <c r="G83" s="66">
        <v>1.2800000000000001E-2</v>
      </c>
      <c r="K83" t="s">
        <v>615</v>
      </c>
      <c r="L83">
        <v>1223.0999999999999</v>
      </c>
      <c r="M83">
        <v>1228</v>
      </c>
      <c r="N83">
        <v>1220</v>
      </c>
      <c r="O83">
        <v>1222</v>
      </c>
      <c r="P83">
        <v>368</v>
      </c>
      <c r="Q83">
        <v>-1.7155460000000001E-3</v>
      </c>
      <c r="U83" s="126">
        <v>42864</v>
      </c>
      <c r="V83">
        <v>1003</v>
      </c>
      <c r="W83">
        <v>1014.9</v>
      </c>
      <c r="X83">
        <v>1003</v>
      </c>
      <c r="Y83">
        <v>1005.6</v>
      </c>
      <c r="Z83">
        <v>302</v>
      </c>
      <c r="AA83">
        <v>4.3947259999999998E-3</v>
      </c>
      <c r="AE83" s="126">
        <v>43168</v>
      </c>
      <c r="AF83">
        <v>1105.2</v>
      </c>
      <c r="AG83">
        <v>1114.9000000000001</v>
      </c>
      <c r="AH83">
        <v>1101</v>
      </c>
      <c r="AI83">
        <v>1105.3</v>
      </c>
      <c r="AJ83">
        <v>206</v>
      </c>
      <c r="AK83">
        <v>-2.4368229999999999E-3</v>
      </c>
      <c r="AO83" s="126">
        <v>43505</v>
      </c>
      <c r="AP83">
        <v>1812</v>
      </c>
      <c r="AQ83">
        <v>1826</v>
      </c>
      <c r="AR83">
        <v>1740</v>
      </c>
      <c r="AS83">
        <v>1747.9</v>
      </c>
      <c r="AT83">
        <v>13676</v>
      </c>
      <c r="AU83">
        <v>-3.5907335999999998E-2</v>
      </c>
    </row>
    <row r="84" spans="1:47" x14ac:dyDescent="0.3">
      <c r="A84" s="126">
        <v>42013</v>
      </c>
      <c r="B84">
        <v>1395</v>
      </c>
      <c r="C84">
        <v>1405</v>
      </c>
      <c r="D84">
        <v>1391</v>
      </c>
      <c r="E84">
        <v>1401.6</v>
      </c>
      <c r="F84">
        <v>3815</v>
      </c>
      <c r="G84" s="66">
        <v>-1.1000000000000001E-3</v>
      </c>
      <c r="K84" t="s">
        <v>614</v>
      </c>
      <c r="L84">
        <v>1223.2</v>
      </c>
      <c r="M84">
        <v>1225</v>
      </c>
      <c r="N84">
        <v>1223</v>
      </c>
      <c r="O84">
        <v>1224.0999999999999</v>
      </c>
      <c r="P84">
        <v>3645</v>
      </c>
      <c r="Q84">
        <v>6.5396900000000001E-4</v>
      </c>
      <c r="U84" s="126">
        <v>42834</v>
      </c>
      <c r="V84">
        <v>1000</v>
      </c>
      <c r="W84">
        <v>1011</v>
      </c>
      <c r="X84">
        <v>1000</v>
      </c>
      <c r="Y84">
        <v>1001.2</v>
      </c>
      <c r="Z84">
        <v>278</v>
      </c>
      <c r="AA84">
        <v>-2.0930929999999999E-3</v>
      </c>
      <c r="AE84" t="s">
        <v>613</v>
      </c>
      <c r="AF84">
        <v>1105</v>
      </c>
      <c r="AG84">
        <v>1123</v>
      </c>
      <c r="AH84">
        <v>1105</v>
      </c>
      <c r="AI84">
        <v>1108</v>
      </c>
      <c r="AJ84">
        <v>101</v>
      </c>
      <c r="AK84">
        <v>-9.7417110000000001E-3</v>
      </c>
      <c r="AO84" s="126">
        <v>43474</v>
      </c>
      <c r="AP84">
        <v>1864</v>
      </c>
      <c r="AQ84">
        <v>1864</v>
      </c>
      <c r="AR84">
        <v>1795</v>
      </c>
      <c r="AS84">
        <v>1813</v>
      </c>
      <c r="AT84">
        <v>11648</v>
      </c>
      <c r="AU84">
        <v>-4.8850100000000004E-3</v>
      </c>
    </row>
    <row r="85" spans="1:47" x14ac:dyDescent="0.3">
      <c r="A85" t="s">
        <v>612</v>
      </c>
      <c r="B85">
        <v>1410</v>
      </c>
      <c r="C85">
        <v>1416</v>
      </c>
      <c r="D85">
        <v>1398</v>
      </c>
      <c r="E85">
        <v>1403.2</v>
      </c>
      <c r="F85">
        <v>1720</v>
      </c>
      <c r="G85" s="66">
        <v>-1.11E-2</v>
      </c>
      <c r="K85" t="s">
        <v>611</v>
      </c>
      <c r="L85">
        <v>1228</v>
      </c>
      <c r="M85">
        <v>1228</v>
      </c>
      <c r="N85">
        <v>1223</v>
      </c>
      <c r="O85">
        <v>1223.3</v>
      </c>
      <c r="P85">
        <v>1058</v>
      </c>
      <c r="Q85">
        <v>-1.0615710000000001E-3</v>
      </c>
      <c r="U85" t="s">
        <v>610</v>
      </c>
      <c r="V85">
        <v>995</v>
      </c>
      <c r="W85">
        <v>1010</v>
      </c>
      <c r="X85">
        <v>995</v>
      </c>
      <c r="Y85">
        <v>1003.3</v>
      </c>
      <c r="Z85">
        <v>755</v>
      </c>
      <c r="AA85">
        <v>-4.2675660000000004E-3</v>
      </c>
      <c r="AE85" t="s">
        <v>609</v>
      </c>
      <c r="AF85">
        <v>1100</v>
      </c>
      <c r="AG85">
        <v>1135</v>
      </c>
      <c r="AH85">
        <v>1100</v>
      </c>
      <c r="AI85">
        <v>1118.9000000000001</v>
      </c>
      <c r="AJ85">
        <v>155</v>
      </c>
      <c r="AK85">
        <v>3.407766E-3</v>
      </c>
      <c r="AO85" t="s">
        <v>608</v>
      </c>
      <c r="AP85">
        <v>1800.9</v>
      </c>
      <c r="AQ85">
        <v>1879.5</v>
      </c>
      <c r="AR85">
        <v>1760.1</v>
      </c>
      <c r="AS85">
        <v>1821.9</v>
      </c>
      <c r="AT85">
        <v>16552</v>
      </c>
      <c r="AU85">
        <v>2.2964627000000001E-2</v>
      </c>
    </row>
    <row r="86" spans="1:47" x14ac:dyDescent="0.3">
      <c r="A86" t="s">
        <v>607</v>
      </c>
      <c r="B86">
        <v>1351</v>
      </c>
      <c r="C86">
        <v>1428</v>
      </c>
      <c r="D86">
        <v>1351</v>
      </c>
      <c r="E86">
        <v>1418.9</v>
      </c>
      <c r="F86">
        <v>3140</v>
      </c>
      <c r="G86" s="66">
        <v>2.8000000000000001E-2</v>
      </c>
      <c r="K86" t="s">
        <v>606</v>
      </c>
      <c r="L86">
        <v>1225</v>
      </c>
      <c r="M86">
        <v>1228</v>
      </c>
      <c r="N86">
        <v>1223</v>
      </c>
      <c r="O86">
        <v>1224.5999999999999</v>
      </c>
      <c r="P86">
        <v>730</v>
      </c>
      <c r="Q86">
        <v>1.226392E-3</v>
      </c>
      <c r="U86" t="s">
        <v>605</v>
      </c>
      <c r="V86">
        <v>1007.7</v>
      </c>
      <c r="W86">
        <v>1010</v>
      </c>
      <c r="X86">
        <v>1003</v>
      </c>
      <c r="Y86">
        <v>1007.6</v>
      </c>
      <c r="Z86">
        <v>872</v>
      </c>
      <c r="AA86" s="127">
        <v>-9.9199999999999999E-5</v>
      </c>
      <c r="AE86" t="s">
        <v>604</v>
      </c>
      <c r="AF86">
        <v>1125</v>
      </c>
      <c r="AG86">
        <v>1126</v>
      </c>
      <c r="AH86">
        <v>1095</v>
      </c>
      <c r="AI86">
        <v>1115.0999999999999</v>
      </c>
      <c r="AJ86">
        <v>1245</v>
      </c>
      <c r="AK86">
        <v>-4.3750000000000004E-3</v>
      </c>
      <c r="AO86" t="s">
        <v>603</v>
      </c>
      <c r="AP86">
        <v>1787</v>
      </c>
      <c r="AQ86">
        <v>1810</v>
      </c>
      <c r="AR86">
        <v>1765</v>
      </c>
      <c r="AS86">
        <v>1781</v>
      </c>
      <c r="AT86">
        <v>13774</v>
      </c>
      <c r="AU86">
        <v>6.1801200000000003E-4</v>
      </c>
    </row>
    <row r="87" spans="1:47" x14ac:dyDescent="0.3">
      <c r="A87" t="s">
        <v>602</v>
      </c>
      <c r="B87">
        <v>1382</v>
      </c>
      <c r="C87">
        <v>1390</v>
      </c>
      <c r="D87">
        <v>1371</v>
      </c>
      <c r="E87">
        <v>1380.3</v>
      </c>
      <c r="F87">
        <v>2257</v>
      </c>
      <c r="G87" s="66">
        <v>-1.1999999999999999E-3</v>
      </c>
      <c r="K87" t="s">
        <v>601</v>
      </c>
      <c r="L87">
        <v>1220.0999999999999</v>
      </c>
      <c r="M87">
        <v>1234</v>
      </c>
      <c r="N87">
        <v>1220</v>
      </c>
      <c r="O87">
        <v>1223.0999999999999</v>
      </c>
      <c r="P87">
        <v>296</v>
      </c>
      <c r="Q87">
        <v>-1.3151525000000001E-2</v>
      </c>
      <c r="U87" t="s">
        <v>600</v>
      </c>
      <c r="V87">
        <v>1005</v>
      </c>
      <c r="W87">
        <v>1009</v>
      </c>
      <c r="X87">
        <v>1005</v>
      </c>
      <c r="Y87">
        <v>1007.7</v>
      </c>
      <c r="Z87">
        <v>1229</v>
      </c>
      <c r="AA87">
        <v>8.93921E-4</v>
      </c>
      <c r="AE87" t="s">
        <v>599</v>
      </c>
      <c r="AF87">
        <v>1106</v>
      </c>
      <c r="AG87">
        <v>1125</v>
      </c>
      <c r="AH87">
        <v>1106</v>
      </c>
      <c r="AI87">
        <v>1120</v>
      </c>
      <c r="AJ87">
        <v>138</v>
      </c>
      <c r="AK87">
        <v>1.3116236999999999E-2</v>
      </c>
      <c r="AO87" t="s">
        <v>598</v>
      </c>
      <c r="AP87">
        <v>1765</v>
      </c>
      <c r="AQ87">
        <v>1788</v>
      </c>
      <c r="AR87">
        <v>1751</v>
      </c>
      <c r="AS87">
        <v>1779.9</v>
      </c>
      <c r="AT87">
        <v>7938</v>
      </c>
      <c r="AU87">
        <v>1.9883108E-2</v>
      </c>
    </row>
    <row r="88" spans="1:47" x14ac:dyDescent="0.3">
      <c r="A88" t="s">
        <v>597</v>
      </c>
      <c r="B88">
        <v>1386.4</v>
      </c>
      <c r="C88">
        <v>1390</v>
      </c>
      <c r="D88">
        <v>1380</v>
      </c>
      <c r="E88">
        <v>1382</v>
      </c>
      <c r="F88">
        <v>4183</v>
      </c>
      <c r="G88" s="66">
        <v>2.0999999999999999E-3</v>
      </c>
      <c r="K88" t="s">
        <v>596</v>
      </c>
      <c r="L88">
        <v>1230</v>
      </c>
      <c r="M88">
        <v>1241</v>
      </c>
      <c r="N88">
        <v>1228</v>
      </c>
      <c r="O88">
        <v>1239.4000000000001</v>
      </c>
      <c r="P88">
        <v>1483</v>
      </c>
      <c r="Q88">
        <v>1.1507386E-2</v>
      </c>
      <c r="U88" t="s">
        <v>595</v>
      </c>
      <c r="V88">
        <v>995</v>
      </c>
      <c r="W88">
        <v>1010</v>
      </c>
      <c r="X88">
        <v>995</v>
      </c>
      <c r="Y88">
        <v>1006.8</v>
      </c>
      <c r="Z88">
        <v>1128</v>
      </c>
      <c r="AA88">
        <v>-4.0557919999999999E-3</v>
      </c>
      <c r="AE88" t="s">
        <v>594</v>
      </c>
      <c r="AF88">
        <v>1115</v>
      </c>
      <c r="AG88">
        <v>1115</v>
      </c>
      <c r="AH88">
        <v>1105</v>
      </c>
      <c r="AI88">
        <v>1105.5</v>
      </c>
      <c r="AJ88">
        <v>608</v>
      </c>
      <c r="AK88">
        <v>-5.5770439999999998E-3</v>
      </c>
      <c r="AO88" t="s">
        <v>593</v>
      </c>
      <c r="AP88">
        <v>1770</v>
      </c>
      <c r="AQ88">
        <v>1775</v>
      </c>
      <c r="AR88">
        <v>1736.1</v>
      </c>
      <c r="AS88">
        <v>1745.2</v>
      </c>
      <c r="AT88">
        <v>8258</v>
      </c>
      <c r="AU88">
        <v>-1.4957386E-2</v>
      </c>
    </row>
    <row r="89" spans="1:47" x14ac:dyDescent="0.3">
      <c r="A89" t="s">
        <v>592</v>
      </c>
      <c r="B89">
        <v>1390</v>
      </c>
      <c r="C89">
        <v>1390</v>
      </c>
      <c r="D89">
        <v>1372</v>
      </c>
      <c r="E89">
        <v>1379.1</v>
      </c>
      <c r="F89">
        <v>1156</v>
      </c>
      <c r="G89" s="66">
        <v>-2.0000000000000001E-4</v>
      </c>
      <c r="K89" t="s">
        <v>591</v>
      </c>
      <c r="L89">
        <v>1233.9000000000001</v>
      </c>
      <c r="M89">
        <v>1234</v>
      </c>
      <c r="N89">
        <v>1222</v>
      </c>
      <c r="O89">
        <v>1225.3</v>
      </c>
      <c r="P89">
        <v>576</v>
      </c>
      <c r="Q89">
        <v>2.7004910000000002E-3</v>
      </c>
      <c r="U89" t="s">
        <v>590</v>
      </c>
      <c r="V89">
        <v>1007</v>
      </c>
      <c r="W89">
        <v>1017</v>
      </c>
      <c r="X89">
        <v>1006</v>
      </c>
      <c r="Y89">
        <v>1010.9</v>
      </c>
      <c r="Z89">
        <v>1555</v>
      </c>
      <c r="AA89">
        <v>5.1705279999999998E-3</v>
      </c>
      <c r="AE89" t="s">
        <v>589</v>
      </c>
      <c r="AF89">
        <v>1085.8</v>
      </c>
      <c r="AG89">
        <v>1115.0999999999999</v>
      </c>
      <c r="AH89">
        <v>1085</v>
      </c>
      <c r="AI89">
        <v>1111.7</v>
      </c>
      <c r="AJ89">
        <v>221</v>
      </c>
      <c r="AK89">
        <v>-9.8849700000000007E-4</v>
      </c>
      <c r="AO89" t="s">
        <v>588</v>
      </c>
      <c r="AP89">
        <v>1804.5</v>
      </c>
      <c r="AQ89">
        <v>1805</v>
      </c>
      <c r="AR89">
        <v>1763.1</v>
      </c>
      <c r="AS89">
        <v>1771.7</v>
      </c>
      <c r="AT89">
        <v>7926</v>
      </c>
      <c r="AU89">
        <v>-1.4627364E-2</v>
      </c>
    </row>
    <row r="90" spans="1:47" x14ac:dyDescent="0.3">
      <c r="A90" t="s">
        <v>587</v>
      </c>
      <c r="B90">
        <v>1382.5</v>
      </c>
      <c r="C90">
        <v>1382.5</v>
      </c>
      <c r="D90">
        <v>1375.5</v>
      </c>
      <c r="E90">
        <v>1379.4</v>
      </c>
      <c r="F90">
        <v>852</v>
      </c>
      <c r="G90" s="66">
        <v>-2.3999999999999998E-3</v>
      </c>
      <c r="K90" t="s">
        <v>586</v>
      </c>
      <c r="L90">
        <v>1220</v>
      </c>
      <c r="M90">
        <v>1225</v>
      </c>
      <c r="N90">
        <v>1220</v>
      </c>
      <c r="O90">
        <v>1222</v>
      </c>
      <c r="P90">
        <v>306</v>
      </c>
      <c r="Q90">
        <v>5.9269020000000004E-3</v>
      </c>
      <c r="U90" t="s">
        <v>585</v>
      </c>
      <c r="V90">
        <v>1003</v>
      </c>
      <c r="W90">
        <v>1009</v>
      </c>
      <c r="X90">
        <v>1003</v>
      </c>
      <c r="Y90">
        <v>1005.7</v>
      </c>
      <c r="Z90">
        <v>2099</v>
      </c>
      <c r="AA90">
        <v>1.1567088999999999E-2</v>
      </c>
      <c r="AE90" t="s">
        <v>584</v>
      </c>
      <c r="AF90">
        <v>1119</v>
      </c>
      <c r="AG90">
        <v>1119.5</v>
      </c>
      <c r="AH90">
        <v>1105</v>
      </c>
      <c r="AI90">
        <v>1112.8</v>
      </c>
      <c r="AJ90">
        <v>166</v>
      </c>
      <c r="AK90">
        <v>-2.7780270000000002E-3</v>
      </c>
      <c r="AO90" t="s">
        <v>583</v>
      </c>
      <c r="AP90">
        <v>1759</v>
      </c>
      <c r="AQ90">
        <v>1804</v>
      </c>
      <c r="AR90">
        <v>1759</v>
      </c>
      <c r="AS90">
        <v>1798</v>
      </c>
      <c r="AT90">
        <v>2768</v>
      </c>
      <c r="AU90">
        <v>2.3335231000000001E-2</v>
      </c>
    </row>
    <row r="91" spans="1:47" x14ac:dyDescent="0.3">
      <c r="A91" t="s">
        <v>582</v>
      </c>
      <c r="B91">
        <v>1384</v>
      </c>
      <c r="C91">
        <v>1387</v>
      </c>
      <c r="D91">
        <v>1372</v>
      </c>
      <c r="E91">
        <v>1382.7</v>
      </c>
      <c r="F91">
        <v>822</v>
      </c>
      <c r="G91" s="66">
        <v>-1.09E-2</v>
      </c>
      <c r="K91" s="126">
        <v>42682</v>
      </c>
      <c r="L91">
        <v>1214.4000000000001</v>
      </c>
      <c r="M91">
        <v>1215</v>
      </c>
      <c r="N91">
        <v>1213</v>
      </c>
      <c r="O91">
        <v>1214.8</v>
      </c>
      <c r="P91">
        <v>19823</v>
      </c>
      <c r="Q91">
        <v>3.2938100000000001E-4</v>
      </c>
      <c r="U91" t="s">
        <v>581</v>
      </c>
      <c r="V91">
        <v>985.5</v>
      </c>
      <c r="W91">
        <v>996</v>
      </c>
      <c r="X91">
        <v>985.5</v>
      </c>
      <c r="Y91">
        <v>994.2</v>
      </c>
      <c r="Z91">
        <v>1214</v>
      </c>
      <c r="AA91">
        <v>5.0545900000000003E-3</v>
      </c>
      <c r="AE91" t="s">
        <v>580</v>
      </c>
      <c r="AF91">
        <v>1132</v>
      </c>
      <c r="AG91">
        <v>1132</v>
      </c>
      <c r="AH91">
        <v>1105</v>
      </c>
      <c r="AI91">
        <v>1115.9000000000001</v>
      </c>
      <c r="AJ91">
        <v>40</v>
      </c>
      <c r="AK91">
        <v>1.7692658E-2</v>
      </c>
      <c r="AO91" t="s">
        <v>579</v>
      </c>
      <c r="AP91">
        <v>1760</v>
      </c>
      <c r="AQ91">
        <v>1779</v>
      </c>
      <c r="AR91">
        <v>1735</v>
      </c>
      <c r="AS91">
        <v>1757</v>
      </c>
      <c r="AT91">
        <v>6770</v>
      </c>
      <c r="AU91">
        <v>-2.7244859999999999E-3</v>
      </c>
    </row>
    <row r="92" spans="1:47" x14ac:dyDescent="0.3">
      <c r="A92" t="s">
        <v>578</v>
      </c>
      <c r="B92">
        <v>1375</v>
      </c>
      <c r="C92">
        <v>1410</v>
      </c>
      <c r="D92">
        <v>1373</v>
      </c>
      <c r="E92">
        <v>1397.9</v>
      </c>
      <c r="F92">
        <v>524</v>
      </c>
      <c r="G92" s="66">
        <v>-1.6999999999999999E-3</v>
      </c>
      <c r="K92" s="126">
        <v>42651</v>
      </c>
      <c r="L92">
        <v>1212</v>
      </c>
      <c r="M92">
        <v>1215</v>
      </c>
      <c r="N92">
        <v>1211.0999999999999</v>
      </c>
      <c r="O92">
        <v>1214.4000000000001</v>
      </c>
      <c r="P92">
        <v>10189</v>
      </c>
      <c r="Q92">
        <v>9.0661799999999999E-4</v>
      </c>
      <c r="U92" t="s">
        <v>577</v>
      </c>
      <c r="V92">
        <v>985.2</v>
      </c>
      <c r="W92">
        <v>996</v>
      </c>
      <c r="X92">
        <v>985.2</v>
      </c>
      <c r="Y92">
        <v>989.2</v>
      </c>
      <c r="Z92">
        <v>835</v>
      </c>
      <c r="AA92">
        <v>3.0419790000000002E-3</v>
      </c>
      <c r="AE92" t="s">
        <v>576</v>
      </c>
      <c r="AF92">
        <v>1080</v>
      </c>
      <c r="AG92">
        <v>1120</v>
      </c>
      <c r="AH92">
        <v>1080</v>
      </c>
      <c r="AI92">
        <v>1096.5</v>
      </c>
      <c r="AJ92">
        <v>874</v>
      </c>
      <c r="AK92">
        <v>-9.4850950000000007E-3</v>
      </c>
      <c r="AO92" t="s">
        <v>575</v>
      </c>
      <c r="AP92">
        <v>1755</v>
      </c>
      <c r="AQ92">
        <v>1775</v>
      </c>
      <c r="AR92">
        <v>1742.3</v>
      </c>
      <c r="AS92">
        <v>1761.8</v>
      </c>
      <c r="AT92">
        <v>9608</v>
      </c>
      <c r="AU92">
        <v>5.134642E-3</v>
      </c>
    </row>
    <row r="93" spans="1:47" x14ac:dyDescent="0.3">
      <c r="A93" t="s">
        <v>574</v>
      </c>
      <c r="B93">
        <v>1399.1</v>
      </c>
      <c r="C93">
        <v>1411</v>
      </c>
      <c r="D93">
        <v>1399</v>
      </c>
      <c r="E93">
        <v>1400.3</v>
      </c>
      <c r="F93">
        <v>371</v>
      </c>
      <c r="G93" s="66">
        <v>-7.7999999999999996E-3</v>
      </c>
      <c r="K93" s="126">
        <v>42621</v>
      </c>
      <c r="L93">
        <v>1213.5999999999999</v>
      </c>
      <c r="M93">
        <v>1215</v>
      </c>
      <c r="N93">
        <v>1212</v>
      </c>
      <c r="O93">
        <v>1213.3</v>
      </c>
      <c r="P93">
        <v>520</v>
      </c>
      <c r="Q93">
        <v>-2.6304969999999999E-3</v>
      </c>
      <c r="U93" t="s">
        <v>573</v>
      </c>
      <c r="V93">
        <v>985.1</v>
      </c>
      <c r="W93">
        <v>995</v>
      </c>
      <c r="X93">
        <v>985</v>
      </c>
      <c r="Y93">
        <v>986.2</v>
      </c>
      <c r="Z93">
        <v>784</v>
      </c>
      <c r="AA93">
        <v>9.1342699999999997E-4</v>
      </c>
      <c r="AE93" s="126">
        <v>43442</v>
      </c>
      <c r="AF93">
        <v>1105</v>
      </c>
      <c r="AG93">
        <v>1120</v>
      </c>
      <c r="AH93">
        <v>1103</v>
      </c>
      <c r="AI93">
        <v>1107</v>
      </c>
      <c r="AJ93">
        <v>292</v>
      </c>
      <c r="AK93">
        <v>-1.2576933E-2</v>
      </c>
      <c r="AO93" t="s">
        <v>572</v>
      </c>
      <c r="AP93">
        <v>1755</v>
      </c>
      <c r="AQ93">
        <v>1760</v>
      </c>
      <c r="AR93">
        <v>1740</v>
      </c>
      <c r="AS93">
        <v>1752.8</v>
      </c>
      <c r="AT93">
        <v>2659</v>
      </c>
      <c r="AU93">
        <v>4.1821829999999999E-3</v>
      </c>
    </row>
    <row r="94" spans="1:47" x14ac:dyDescent="0.3">
      <c r="A94" t="s">
        <v>571</v>
      </c>
      <c r="B94">
        <v>1419.9</v>
      </c>
      <c r="C94">
        <v>1420</v>
      </c>
      <c r="D94">
        <v>1393</v>
      </c>
      <c r="E94">
        <v>1411.3</v>
      </c>
      <c r="F94">
        <v>155</v>
      </c>
      <c r="G94" s="66">
        <v>1.4200000000000001E-2</v>
      </c>
      <c r="K94" s="126">
        <v>42590</v>
      </c>
      <c r="L94">
        <v>1205</v>
      </c>
      <c r="M94">
        <v>1218</v>
      </c>
      <c r="N94">
        <v>1205</v>
      </c>
      <c r="O94">
        <v>1216.5</v>
      </c>
      <c r="P94">
        <v>2458</v>
      </c>
      <c r="Q94">
        <v>-1.2315270000000001E-3</v>
      </c>
      <c r="U94" t="s">
        <v>570</v>
      </c>
      <c r="V94">
        <v>987.3</v>
      </c>
      <c r="W94">
        <v>990</v>
      </c>
      <c r="X94">
        <v>985</v>
      </c>
      <c r="Y94">
        <v>985.3</v>
      </c>
      <c r="Z94">
        <v>1328</v>
      </c>
      <c r="AA94">
        <v>-2.0257270000000002E-3</v>
      </c>
      <c r="AE94" s="126">
        <v>43320</v>
      </c>
      <c r="AF94">
        <v>1112</v>
      </c>
      <c r="AG94">
        <v>1129</v>
      </c>
      <c r="AH94">
        <v>1112</v>
      </c>
      <c r="AI94">
        <v>1121.0999999999999</v>
      </c>
      <c r="AJ94">
        <v>508</v>
      </c>
      <c r="AK94">
        <v>1.9459852999999999E-2</v>
      </c>
      <c r="AO94" s="126">
        <v>43685</v>
      </c>
      <c r="AP94">
        <v>1720</v>
      </c>
      <c r="AQ94">
        <v>1749.9</v>
      </c>
      <c r="AR94">
        <v>1720</v>
      </c>
      <c r="AS94">
        <v>1745.5</v>
      </c>
      <c r="AT94">
        <v>2633</v>
      </c>
      <c r="AU94">
        <v>1.9686879000000001E-2</v>
      </c>
    </row>
    <row r="95" spans="1:47" x14ac:dyDescent="0.3">
      <c r="A95" t="s">
        <v>569</v>
      </c>
      <c r="B95">
        <v>1390</v>
      </c>
      <c r="C95">
        <v>1400</v>
      </c>
      <c r="D95">
        <v>1388</v>
      </c>
      <c r="E95">
        <v>1391.5</v>
      </c>
      <c r="F95">
        <v>1290</v>
      </c>
      <c r="G95" s="66">
        <v>-9.5999999999999992E-3</v>
      </c>
      <c r="K95" s="126">
        <v>42559</v>
      </c>
      <c r="L95">
        <v>1220.0999999999999</v>
      </c>
      <c r="M95">
        <v>1220.0999999999999</v>
      </c>
      <c r="N95">
        <v>1217</v>
      </c>
      <c r="O95">
        <v>1218</v>
      </c>
      <c r="P95">
        <v>294</v>
      </c>
      <c r="Q95">
        <v>9.0393600000000004E-4</v>
      </c>
      <c r="U95" t="s">
        <v>568</v>
      </c>
      <c r="V95">
        <v>988</v>
      </c>
      <c r="W95">
        <v>990</v>
      </c>
      <c r="X95">
        <v>985</v>
      </c>
      <c r="Y95">
        <v>987.3</v>
      </c>
      <c r="Z95">
        <v>815</v>
      </c>
      <c r="AA95">
        <v>-7.0850199999999996E-4</v>
      </c>
      <c r="AE95" s="126">
        <v>43289</v>
      </c>
      <c r="AF95">
        <v>1098</v>
      </c>
      <c r="AG95">
        <v>1103</v>
      </c>
      <c r="AH95">
        <v>1098</v>
      </c>
      <c r="AI95">
        <v>1099.7</v>
      </c>
      <c r="AJ95">
        <v>98</v>
      </c>
      <c r="AK95">
        <v>3.6506339999999998E-3</v>
      </c>
      <c r="AO95" s="126">
        <v>43654</v>
      </c>
      <c r="AP95">
        <v>1721</v>
      </c>
      <c r="AQ95">
        <v>1721.4</v>
      </c>
      <c r="AR95">
        <v>1706</v>
      </c>
      <c r="AS95">
        <v>1711.8</v>
      </c>
      <c r="AT95">
        <v>2045</v>
      </c>
      <c r="AU95">
        <v>-1.4961446E-2</v>
      </c>
    </row>
    <row r="96" spans="1:47" x14ac:dyDescent="0.3">
      <c r="A96" t="s">
        <v>567</v>
      </c>
      <c r="B96">
        <v>1411</v>
      </c>
      <c r="C96">
        <v>1411</v>
      </c>
      <c r="D96">
        <v>1400.6</v>
      </c>
      <c r="E96">
        <v>1405</v>
      </c>
      <c r="F96">
        <v>393</v>
      </c>
      <c r="G96" s="66">
        <v>3.8999999999999998E-3</v>
      </c>
      <c r="K96" s="126">
        <v>42468</v>
      </c>
      <c r="L96">
        <v>1217.0999999999999</v>
      </c>
      <c r="M96">
        <v>1220</v>
      </c>
      <c r="N96">
        <v>1216.5</v>
      </c>
      <c r="O96">
        <v>1216.9000000000001</v>
      </c>
      <c r="P96">
        <v>490</v>
      </c>
      <c r="Q96">
        <v>-3.2859600000000001E-4</v>
      </c>
      <c r="U96" t="s">
        <v>566</v>
      </c>
      <c r="V96">
        <v>985.2</v>
      </c>
      <c r="W96">
        <v>993.9</v>
      </c>
      <c r="X96">
        <v>985</v>
      </c>
      <c r="Y96">
        <v>988</v>
      </c>
      <c r="Z96">
        <v>712</v>
      </c>
      <c r="AA96">
        <v>-1.5159170000000001E-3</v>
      </c>
      <c r="AE96" s="126">
        <v>43259</v>
      </c>
      <c r="AF96">
        <v>1094.2</v>
      </c>
      <c r="AG96">
        <v>1104</v>
      </c>
      <c r="AH96">
        <v>1093</v>
      </c>
      <c r="AI96">
        <v>1095.7</v>
      </c>
      <c r="AJ96">
        <v>232</v>
      </c>
      <c r="AK96">
        <v>3.0208710000000001E-3</v>
      </c>
      <c r="AO96" s="126">
        <v>43624</v>
      </c>
      <c r="AP96">
        <v>1764</v>
      </c>
      <c r="AQ96">
        <v>1765</v>
      </c>
      <c r="AR96">
        <v>1734</v>
      </c>
      <c r="AS96">
        <v>1737.8</v>
      </c>
      <c r="AT96">
        <v>6335</v>
      </c>
      <c r="AU96">
        <v>-1.1152838999999999E-2</v>
      </c>
    </row>
    <row r="97" spans="1:47" x14ac:dyDescent="0.3">
      <c r="A97" t="s">
        <v>565</v>
      </c>
      <c r="B97">
        <v>1385.1</v>
      </c>
      <c r="C97">
        <v>1435</v>
      </c>
      <c r="D97">
        <v>1385.1</v>
      </c>
      <c r="E97">
        <v>1399.6</v>
      </c>
      <c r="F97">
        <v>1992</v>
      </c>
      <c r="G97" s="66">
        <v>-7.1999999999999998E-3</v>
      </c>
      <c r="K97" s="126">
        <v>42437</v>
      </c>
      <c r="L97">
        <v>1220</v>
      </c>
      <c r="M97">
        <v>1220</v>
      </c>
      <c r="N97">
        <v>1216.5</v>
      </c>
      <c r="O97">
        <v>1217.3</v>
      </c>
      <c r="P97">
        <v>1440</v>
      </c>
      <c r="Q97">
        <v>-9.0282299999999997E-4</v>
      </c>
      <c r="U97" t="s">
        <v>564</v>
      </c>
      <c r="V97">
        <v>994.9</v>
      </c>
      <c r="W97">
        <v>994.9</v>
      </c>
      <c r="X97">
        <v>987.5</v>
      </c>
      <c r="Y97">
        <v>989.5</v>
      </c>
      <c r="Z97">
        <v>437</v>
      </c>
      <c r="AA97">
        <v>-6.3265719999999999E-3</v>
      </c>
      <c r="AE97" s="126">
        <v>43228</v>
      </c>
      <c r="AF97">
        <v>1093.0999999999999</v>
      </c>
      <c r="AG97">
        <v>1105</v>
      </c>
      <c r="AH97">
        <v>1091.0999999999999</v>
      </c>
      <c r="AI97">
        <v>1092.4000000000001</v>
      </c>
      <c r="AJ97">
        <v>151</v>
      </c>
      <c r="AK97">
        <v>1.007972E-3</v>
      </c>
      <c r="AO97" s="126">
        <v>43593</v>
      </c>
      <c r="AP97">
        <v>1757.4</v>
      </c>
      <c r="AQ97">
        <v>1759</v>
      </c>
      <c r="AR97">
        <v>1740.1</v>
      </c>
      <c r="AS97">
        <v>1757.4</v>
      </c>
      <c r="AT97">
        <v>6452</v>
      </c>
      <c r="AU97">
        <v>4.17119E-3</v>
      </c>
    </row>
    <row r="98" spans="1:47" x14ac:dyDescent="0.3">
      <c r="A98" s="126">
        <v>42346</v>
      </c>
      <c r="B98">
        <v>1419.9</v>
      </c>
      <c r="C98">
        <v>1420</v>
      </c>
      <c r="D98">
        <v>1405</v>
      </c>
      <c r="E98">
        <v>1409.7</v>
      </c>
      <c r="F98">
        <v>419</v>
      </c>
      <c r="G98" s="66">
        <v>-1.34E-2</v>
      </c>
      <c r="K98" s="126">
        <v>42408</v>
      </c>
      <c r="L98">
        <v>1219.0999999999999</v>
      </c>
      <c r="M98">
        <v>1219.0999999999999</v>
      </c>
      <c r="N98">
        <v>1217.5</v>
      </c>
      <c r="O98">
        <v>1218.4000000000001</v>
      </c>
      <c r="P98">
        <v>1187</v>
      </c>
      <c r="Q98">
        <v>-2.46164E-4</v>
      </c>
      <c r="U98" s="126">
        <v>43016</v>
      </c>
      <c r="V98">
        <v>990.1</v>
      </c>
      <c r="W98">
        <v>999.8</v>
      </c>
      <c r="X98">
        <v>990.1</v>
      </c>
      <c r="Y98">
        <v>995.8</v>
      </c>
      <c r="Z98">
        <v>187</v>
      </c>
      <c r="AA98">
        <v>3.9318479999999999E-3</v>
      </c>
      <c r="AE98" s="126">
        <v>43139</v>
      </c>
      <c r="AF98">
        <v>1099</v>
      </c>
      <c r="AG98">
        <v>1099</v>
      </c>
      <c r="AH98">
        <v>1090.4000000000001</v>
      </c>
      <c r="AI98">
        <v>1091.3</v>
      </c>
      <c r="AJ98">
        <v>374</v>
      </c>
      <c r="AK98">
        <v>-5.8303729999999998E-3</v>
      </c>
      <c r="AO98" s="126">
        <v>43563</v>
      </c>
      <c r="AP98">
        <v>1698.8</v>
      </c>
      <c r="AQ98">
        <v>1782.9</v>
      </c>
      <c r="AR98">
        <v>1691.5</v>
      </c>
      <c r="AS98">
        <v>1750.1</v>
      </c>
      <c r="AT98">
        <v>6802</v>
      </c>
      <c r="AU98">
        <v>3.5072155000000001E-2</v>
      </c>
    </row>
    <row r="99" spans="1:47" x14ac:dyDescent="0.3">
      <c r="A99" s="126">
        <v>42316</v>
      </c>
      <c r="B99">
        <v>1421.1</v>
      </c>
      <c r="C99">
        <v>1442.9</v>
      </c>
      <c r="D99">
        <v>1415.1</v>
      </c>
      <c r="E99">
        <v>1428.9</v>
      </c>
      <c r="F99">
        <v>648</v>
      </c>
      <c r="G99" s="66">
        <v>-3.7000000000000002E-3</v>
      </c>
      <c r="K99" s="126">
        <v>42377</v>
      </c>
      <c r="L99">
        <v>1220.5</v>
      </c>
      <c r="M99">
        <v>1226.4000000000001</v>
      </c>
      <c r="N99">
        <v>1218</v>
      </c>
      <c r="O99">
        <v>1218.7</v>
      </c>
      <c r="P99">
        <v>607</v>
      </c>
      <c r="Q99">
        <v>-6.3595600000000002E-3</v>
      </c>
      <c r="U99" s="126">
        <v>42986</v>
      </c>
      <c r="V99">
        <v>1004.5</v>
      </c>
      <c r="W99">
        <v>1004.5</v>
      </c>
      <c r="X99">
        <v>990.2</v>
      </c>
      <c r="Y99">
        <v>991.9</v>
      </c>
      <c r="Z99">
        <v>105</v>
      </c>
      <c r="AA99">
        <v>-1.6104680000000001E-3</v>
      </c>
      <c r="AE99" s="126">
        <v>43108</v>
      </c>
      <c r="AF99">
        <v>1104.9000000000001</v>
      </c>
      <c r="AG99">
        <v>1110</v>
      </c>
      <c r="AH99">
        <v>1080</v>
      </c>
      <c r="AI99">
        <v>1097.7</v>
      </c>
      <c r="AJ99">
        <v>292</v>
      </c>
      <c r="AK99">
        <v>-6.516427E-3</v>
      </c>
      <c r="AO99" s="126">
        <v>43473</v>
      </c>
      <c r="AP99">
        <v>1671</v>
      </c>
      <c r="AQ99">
        <v>1694.6</v>
      </c>
      <c r="AR99">
        <v>1655</v>
      </c>
      <c r="AS99">
        <v>1690.8</v>
      </c>
      <c r="AT99">
        <v>8996</v>
      </c>
      <c r="AU99">
        <v>2.3238925000000001E-2</v>
      </c>
    </row>
    <row r="100" spans="1:47" x14ac:dyDescent="0.3">
      <c r="A100" s="126">
        <v>42285</v>
      </c>
      <c r="B100">
        <v>1450</v>
      </c>
      <c r="C100">
        <v>1450</v>
      </c>
      <c r="D100">
        <v>1420</v>
      </c>
      <c r="E100">
        <v>1434.2</v>
      </c>
      <c r="F100">
        <v>1299</v>
      </c>
      <c r="G100" s="66">
        <v>-5.4999999999999997E-3</v>
      </c>
      <c r="K100" t="s">
        <v>563</v>
      </c>
      <c r="L100">
        <v>1227.5</v>
      </c>
      <c r="M100">
        <v>1227.5</v>
      </c>
      <c r="N100">
        <v>1225</v>
      </c>
      <c r="O100">
        <v>1226.5</v>
      </c>
      <c r="P100">
        <v>619</v>
      </c>
      <c r="Q100">
        <v>1.0610509999999999E-3</v>
      </c>
      <c r="U100" s="126">
        <v>42955</v>
      </c>
      <c r="V100">
        <v>1002</v>
      </c>
      <c r="W100">
        <v>1005</v>
      </c>
      <c r="X100">
        <v>991.1</v>
      </c>
      <c r="Y100">
        <v>993.5</v>
      </c>
      <c r="Z100">
        <v>1141</v>
      </c>
      <c r="AA100">
        <v>-8.1860839999999997E-3</v>
      </c>
      <c r="AE100" t="s">
        <v>562</v>
      </c>
      <c r="AF100">
        <v>1100.5999999999999</v>
      </c>
      <c r="AG100">
        <v>1105.3</v>
      </c>
      <c r="AH100">
        <v>1100.5999999999999</v>
      </c>
      <c r="AI100">
        <v>1104.9000000000001</v>
      </c>
      <c r="AJ100">
        <v>840</v>
      </c>
      <c r="AK100">
        <v>5.3685169999999997E-3</v>
      </c>
      <c r="AO100" t="s">
        <v>561</v>
      </c>
      <c r="AP100">
        <v>1625</v>
      </c>
      <c r="AQ100">
        <v>1683.9</v>
      </c>
      <c r="AR100">
        <v>1625</v>
      </c>
      <c r="AS100">
        <v>1652.4</v>
      </c>
      <c r="AT100">
        <v>10145</v>
      </c>
      <c r="AU100">
        <v>9.7158569999999996E-3</v>
      </c>
    </row>
    <row r="101" spans="1:47" x14ac:dyDescent="0.3">
      <c r="A101" s="126">
        <v>42255</v>
      </c>
      <c r="B101">
        <v>1455</v>
      </c>
      <c r="C101">
        <v>1468</v>
      </c>
      <c r="D101">
        <v>1422</v>
      </c>
      <c r="E101">
        <v>1442.1</v>
      </c>
      <c r="F101">
        <v>865</v>
      </c>
      <c r="G101" s="66">
        <v>5.9999999999999995E-4</v>
      </c>
      <c r="K101" t="s">
        <v>560</v>
      </c>
      <c r="L101">
        <v>1235</v>
      </c>
      <c r="M101">
        <v>1235</v>
      </c>
      <c r="N101">
        <v>1225</v>
      </c>
      <c r="O101">
        <v>1225.2</v>
      </c>
      <c r="P101">
        <v>4763</v>
      </c>
      <c r="Q101">
        <v>0</v>
      </c>
      <c r="U101" s="126">
        <v>42924</v>
      </c>
      <c r="V101">
        <v>1001.2</v>
      </c>
      <c r="W101">
        <v>1002</v>
      </c>
      <c r="X101">
        <v>1001.1</v>
      </c>
      <c r="Y101">
        <v>1001.7</v>
      </c>
      <c r="Z101">
        <v>1011</v>
      </c>
      <c r="AA101">
        <v>4.9940100000000001E-4</v>
      </c>
      <c r="AE101" t="s">
        <v>559</v>
      </c>
      <c r="AF101">
        <v>1105</v>
      </c>
      <c r="AG101">
        <v>1105</v>
      </c>
      <c r="AH101">
        <v>1098.2</v>
      </c>
      <c r="AI101">
        <v>1099</v>
      </c>
      <c r="AJ101">
        <v>193</v>
      </c>
      <c r="AK101">
        <v>-7.3164119999999996E-3</v>
      </c>
      <c r="AO101" t="s">
        <v>558</v>
      </c>
      <c r="AP101">
        <v>1665</v>
      </c>
      <c r="AQ101">
        <v>1665</v>
      </c>
      <c r="AR101">
        <v>1620</v>
      </c>
      <c r="AS101">
        <v>1636.5</v>
      </c>
      <c r="AT101">
        <v>4036</v>
      </c>
      <c r="AU101">
        <v>-1.5816694999999999E-2</v>
      </c>
    </row>
    <row r="102" spans="1:47" x14ac:dyDescent="0.3">
      <c r="A102" s="126">
        <v>42163</v>
      </c>
      <c r="B102">
        <v>1470</v>
      </c>
      <c r="C102">
        <v>1470</v>
      </c>
      <c r="D102">
        <v>1435.6</v>
      </c>
      <c r="E102">
        <v>1441.3</v>
      </c>
      <c r="F102">
        <v>1027</v>
      </c>
      <c r="G102" s="66">
        <v>-1.44E-2</v>
      </c>
      <c r="K102" t="s">
        <v>557</v>
      </c>
      <c r="L102">
        <v>1230</v>
      </c>
      <c r="M102">
        <v>1230</v>
      </c>
      <c r="N102">
        <v>1225</v>
      </c>
      <c r="O102">
        <v>1225.2</v>
      </c>
      <c r="P102">
        <v>1141</v>
      </c>
      <c r="Q102">
        <v>2.0446549999999998E-3</v>
      </c>
      <c r="U102" s="126">
        <v>42894</v>
      </c>
      <c r="V102">
        <v>1010</v>
      </c>
      <c r="W102">
        <v>1010</v>
      </c>
      <c r="X102">
        <v>1000.1</v>
      </c>
      <c r="Y102">
        <v>1001.2</v>
      </c>
      <c r="Z102">
        <v>1994</v>
      </c>
      <c r="AA102">
        <v>9.9979999999999991E-4</v>
      </c>
      <c r="AE102" t="s">
        <v>556</v>
      </c>
      <c r="AF102">
        <v>1090</v>
      </c>
      <c r="AG102">
        <v>1110</v>
      </c>
      <c r="AH102">
        <v>1090</v>
      </c>
      <c r="AI102">
        <v>1107.0999999999999</v>
      </c>
      <c r="AJ102">
        <v>190</v>
      </c>
      <c r="AK102">
        <v>-2.6126130000000002E-3</v>
      </c>
      <c r="AO102" t="s">
        <v>555</v>
      </c>
      <c r="AP102">
        <v>1669.9</v>
      </c>
      <c r="AQ102">
        <v>1695</v>
      </c>
      <c r="AR102">
        <v>1650</v>
      </c>
      <c r="AS102">
        <v>1662.8</v>
      </c>
      <c r="AT102">
        <v>7882</v>
      </c>
      <c r="AU102">
        <v>1.20294E-4</v>
      </c>
    </row>
    <row r="103" spans="1:47" x14ac:dyDescent="0.3">
      <c r="A103" s="126">
        <v>42132</v>
      </c>
      <c r="B103">
        <v>1480</v>
      </c>
      <c r="C103">
        <v>1510</v>
      </c>
      <c r="D103">
        <v>1436</v>
      </c>
      <c r="E103">
        <v>1462.4</v>
      </c>
      <c r="F103">
        <v>4382</v>
      </c>
      <c r="G103" s="66">
        <v>-5.5999999999999999E-3</v>
      </c>
      <c r="K103" t="s">
        <v>554</v>
      </c>
      <c r="L103">
        <v>1224.9000000000001</v>
      </c>
      <c r="M103">
        <v>1232</v>
      </c>
      <c r="N103">
        <v>1217</v>
      </c>
      <c r="O103">
        <v>1222.7</v>
      </c>
      <c r="P103">
        <v>649</v>
      </c>
      <c r="Q103">
        <v>-8.6752070000000008E-3</v>
      </c>
      <c r="U103" s="126">
        <v>42802</v>
      </c>
      <c r="V103">
        <v>1003</v>
      </c>
      <c r="W103">
        <v>1005</v>
      </c>
      <c r="X103">
        <v>998.2</v>
      </c>
      <c r="Y103">
        <v>1000.2</v>
      </c>
      <c r="Z103">
        <v>903</v>
      </c>
      <c r="AA103">
        <v>-5.2710090000000001E-3</v>
      </c>
      <c r="AE103" t="s">
        <v>553</v>
      </c>
      <c r="AF103">
        <v>1110.2</v>
      </c>
      <c r="AG103">
        <v>1110.2</v>
      </c>
      <c r="AH103">
        <v>1110</v>
      </c>
      <c r="AI103">
        <v>1110</v>
      </c>
      <c r="AJ103">
        <v>626</v>
      </c>
      <c r="AK103">
        <v>0</v>
      </c>
      <c r="AO103" t="s">
        <v>552</v>
      </c>
      <c r="AP103">
        <v>1605</v>
      </c>
      <c r="AQ103">
        <v>1700</v>
      </c>
      <c r="AR103">
        <v>1605</v>
      </c>
      <c r="AS103">
        <v>1662.6</v>
      </c>
      <c r="AT103">
        <v>11088</v>
      </c>
      <c r="AU103">
        <v>3.3505315000000001E-2</v>
      </c>
    </row>
    <row r="104" spans="1:47" x14ac:dyDescent="0.3">
      <c r="A104" s="126">
        <v>42102</v>
      </c>
      <c r="B104">
        <v>1425</v>
      </c>
      <c r="C104">
        <v>1483</v>
      </c>
      <c r="D104">
        <v>1425</v>
      </c>
      <c r="E104">
        <v>1470.7</v>
      </c>
      <c r="F104">
        <v>5595</v>
      </c>
      <c r="G104" s="66">
        <v>3.0300000000000001E-2</v>
      </c>
      <c r="K104" t="s">
        <v>551</v>
      </c>
      <c r="L104">
        <v>1240</v>
      </c>
      <c r="M104">
        <v>1240</v>
      </c>
      <c r="N104">
        <v>1230</v>
      </c>
      <c r="O104">
        <v>1233.4000000000001</v>
      </c>
      <c r="P104">
        <v>221</v>
      </c>
      <c r="Q104">
        <v>4.2338380000000002E-3</v>
      </c>
      <c r="U104" s="126">
        <v>42774</v>
      </c>
      <c r="V104">
        <v>1003.1</v>
      </c>
      <c r="W104">
        <v>1007</v>
      </c>
      <c r="X104">
        <v>1003.1</v>
      </c>
      <c r="Y104">
        <v>1005.5</v>
      </c>
      <c r="Z104">
        <v>631</v>
      </c>
      <c r="AA104">
        <v>6.0030020000000003E-3</v>
      </c>
      <c r="AE104" t="s">
        <v>550</v>
      </c>
      <c r="AF104">
        <v>1125</v>
      </c>
      <c r="AG104">
        <v>1139</v>
      </c>
      <c r="AH104">
        <v>1107</v>
      </c>
      <c r="AI104">
        <v>1110</v>
      </c>
      <c r="AJ104">
        <v>687</v>
      </c>
      <c r="AK104">
        <v>-1.439367E-3</v>
      </c>
      <c r="AO104" t="s">
        <v>549</v>
      </c>
      <c r="AP104">
        <v>1505</v>
      </c>
      <c r="AQ104">
        <v>1655</v>
      </c>
      <c r="AR104">
        <v>1505</v>
      </c>
      <c r="AS104">
        <v>1608.7</v>
      </c>
      <c r="AT104">
        <v>18517</v>
      </c>
      <c r="AU104">
        <v>8.4468113999999997E-2</v>
      </c>
    </row>
    <row r="105" spans="1:47" x14ac:dyDescent="0.3">
      <c r="A105" s="126">
        <v>42071</v>
      </c>
      <c r="B105">
        <v>1390</v>
      </c>
      <c r="C105">
        <v>1435</v>
      </c>
      <c r="D105">
        <v>1390</v>
      </c>
      <c r="E105">
        <v>1427.4</v>
      </c>
      <c r="F105">
        <v>4822</v>
      </c>
      <c r="G105" s="66">
        <v>1.1299999999999999E-2</v>
      </c>
      <c r="K105" t="s">
        <v>548</v>
      </c>
      <c r="L105">
        <v>1226.3</v>
      </c>
      <c r="M105">
        <v>1238</v>
      </c>
      <c r="N105">
        <v>1226.3</v>
      </c>
      <c r="O105">
        <v>1228.2</v>
      </c>
      <c r="P105">
        <v>1372</v>
      </c>
      <c r="Q105">
        <v>2.612245E-3</v>
      </c>
      <c r="U105" s="126">
        <v>42743</v>
      </c>
      <c r="V105">
        <v>1001.1</v>
      </c>
      <c r="W105">
        <v>1005</v>
      </c>
      <c r="X105">
        <v>996.1</v>
      </c>
      <c r="Y105">
        <v>999.5</v>
      </c>
      <c r="Z105">
        <v>1862</v>
      </c>
      <c r="AA105">
        <v>-2.9925189999999999E-3</v>
      </c>
      <c r="AE105" t="s">
        <v>547</v>
      </c>
      <c r="AF105">
        <v>1132</v>
      </c>
      <c r="AG105">
        <v>1132</v>
      </c>
      <c r="AH105">
        <v>1110</v>
      </c>
      <c r="AI105">
        <v>1111.5999999999999</v>
      </c>
      <c r="AJ105">
        <v>475</v>
      </c>
      <c r="AK105">
        <v>-2.1651118E-2</v>
      </c>
      <c r="AO105" t="s">
        <v>546</v>
      </c>
      <c r="AP105">
        <v>1482.7</v>
      </c>
      <c r="AQ105">
        <v>1489.9</v>
      </c>
      <c r="AR105">
        <v>1470.2</v>
      </c>
      <c r="AS105">
        <v>1483.4</v>
      </c>
      <c r="AT105">
        <v>941</v>
      </c>
      <c r="AU105">
        <v>4.7211200000000001E-4</v>
      </c>
    </row>
    <row r="106" spans="1:47" x14ac:dyDescent="0.3">
      <c r="A106" s="126">
        <v>42043</v>
      </c>
      <c r="B106">
        <v>1419.7</v>
      </c>
      <c r="C106">
        <v>1435.9</v>
      </c>
      <c r="D106">
        <v>1395</v>
      </c>
      <c r="E106">
        <v>1411.5</v>
      </c>
      <c r="F106">
        <v>1710</v>
      </c>
      <c r="G106" s="66">
        <v>1.66E-2</v>
      </c>
      <c r="K106" t="s">
        <v>545</v>
      </c>
      <c r="L106">
        <v>1230</v>
      </c>
      <c r="M106">
        <v>1234.9000000000001</v>
      </c>
      <c r="N106">
        <v>1223.4000000000001</v>
      </c>
      <c r="O106">
        <v>1225</v>
      </c>
      <c r="P106">
        <v>70</v>
      </c>
      <c r="Q106">
        <v>2.2089499999999999E-3</v>
      </c>
      <c r="U106" t="s">
        <v>544</v>
      </c>
      <c r="V106">
        <v>990</v>
      </c>
      <c r="W106">
        <v>1008.5</v>
      </c>
      <c r="X106">
        <v>990</v>
      </c>
      <c r="Y106">
        <v>1002.5</v>
      </c>
      <c r="Z106">
        <v>878</v>
      </c>
      <c r="AA106">
        <v>1.5395522999999999E-2</v>
      </c>
      <c r="AE106" t="s">
        <v>543</v>
      </c>
      <c r="AF106">
        <v>1145</v>
      </c>
      <c r="AG106">
        <v>1158</v>
      </c>
      <c r="AH106">
        <v>1135</v>
      </c>
      <c r="AI106">
        <v>1136.2</v>
      </c>
      <c r="AJ106">
        <v>417</v>
      </c>
      <c r="AK106">
        <v>-1.844856E-3</v>
      </c>
      <c r="AO106" t="s">
        <v>542</v>
      </c>
      <c r="AP106">
        <v>1460.2</v>
      </c>
      <c r="AQ106">
        <v>1490</v>
      </c>
      <c r="AR106">
        <v>1460.1</v>
      </c>
      <c r="AS106">
        <v>1482.7</v>
      </c>
      <c r="AT106">
        <v>2318</v>
      </c>
      <c r="AU106">
        <v>1.7918440000000001E-2</v>
      </c>
    </row>
    <row r="107" spans="1:47" x14ac:dyDescent="0.3">
      <c r="A107" t="s">
        <v>541</v>
      </c>
      <c r="B107">
        <v>1385</v>
      </c>
      <c r="C107">
        <v>1410</v>
      </c>
      <c r="D107">
        <v>1381</v>
      </c>
      <c r="E107">
        <v>1388.5</v>
      </c>
      <c r="F107">
        <v>404</v>
      </c>
      <c r="G107" s="66">
        <v>6.1000000000000004E-3</v>
      </c>
      <c r="K107" t="s">
        <v>540</v>
      </c>
      <c r="L107">
        <v>1208</v>
      </c>
      <c r="M107">
        <v>1230</v>
      </c>
      <c r="N107">
        <v>1207</v>
      </c>
      <c r="O107">
        <v>1222.3</v>
      </c>
      <c r="P107">
        <v>8556</v>
      </c>
      <c r="Q107">
        <v>-1.0363532999999999E-2</v>
      </c>
      <c r="U107" t="s">
        <v>539</v>
      </c>
      <c r="V107">
        <v>986.2</v>
      </c>
      <c r="W107">
        <v>995</v>
      </c>
      <c r="X107">
        <v>986.1</v>
      </c>
      <c r="Y107">
        <v>987.3</v>
      </c>
      <c r="Z107">
        <v>1841</v>
      </c>
      <c r="AA107">
        <v>-1.1810630000000001E-2</v>
      </c>
      <c r="AE107" t="s">
        <v>538</v>
      </c>
      <c r="AF107">
        <v>1140</v>
      </c>
      <c r="AG107">
        <v>1140</v>
      </c>
      <c r="AH107">
        <v>1137</v>
      </c>
      <c r="AI107">
        <v>1138.3</v>
      </c>
      <c r="AJ107">
        <v>178</v>
      </c>
      <c r="AK107">
        <v>2.1128620000000001E-3</v>
      </c>
      <c r="AO107" t="s">
        <v>537</v>
      </c>
      <c r="AP107">
        <v>1465</v>
      </c>
      <c r="AQ107">
        <v>1465</v>
      </c>
      <c r="AR107">
        <v>1428.1</v>
      </c>
      <c r="AS107">
        <v>1456.6</v>
      </c>
      <c r="AT107">
        <v>5760</v>
      </c>
      <c r="AU107">
        <v>1.374948E-3</v>
      </c>
    </row>
    <row r="108" spans="1:47" x14ac:dyDescent="0.3">
      <c r="A108" t="s">
        <v>536</v>
      </c>
      <c r="B108">
        <v>1377</v>
      </c>
      <c r="C108">
        <v>1399.9</v>
      </c>
      <c r="D108">
        <v>1375</v>
      </c>
      <c r="E108">
        <v>1380.1</v>
      </c>
      <c r="F108">
        <v>1580</v>
      </c>
      <c r="G108" s="66">
        <v>-1.0800000000000001E-2</v>
      </c>
      <c r="K108" t="s">
        <v>535</v>
      </c>
      <c r="L108">
        <v>1236</v>
      </c>
      <c r="M108">
        <v>1237</v>
      </c>
      <c r="N108">
        <v>1234.2</v>
      </c>
      <c r="O108">
        <v>1235.0999999999999</v>
      </c>
      <c r="P108">
        <v>897</v>
      </c>
      <c r="Q108">
        <v>-7.3937150000000004E-3</v>
      </c>
      <c r="U108" t="s">
        <v>534</v>
      </c>
      <c r="V108">
        <v>1010</v>
      </c>
      <c r="W108">
        <v>1010</v>
      </c>
      <c r="X108">
        <v>998.4</v>
      </c>
      <c r="Y108">
        <v>999.1</v>
      </c>
      <c r="Z108">
        <v>710</v>
      </c>
      <c r="AA108">
        <v>-8.3374690000000001E-3</v>
      </c>
      <c r="AE108" t="s">
        <v>533</v>
      </c>
      <c r="AF108">
        <v>1120</v>
      </c>
      <c r="AG108">
        <v>1148</v>
      </c>
      <c r="AH108">
        <v>1115</v>
      </c>
      <c r="AI108">
        <v>1135.9000000000001</v>
      </c>
      <c r="AJ108">
        <v>1277</v>
      </c>
      <c r="AK108">
        <v>1.9750426000000001E-2</v>
      </c>
      <c r="AO108" t="s">
        <v>532</v>
      </c>
      <c r="AP108">
        <v>1445</v>
      </c>
      <c r="AQ108">
        <v>1456.1</v>
      </c>
      <c r="AR108">
        <v>1445</v>
      </c>
      <c r="AS108">
        <v>1454.6</v>
      </c>
      <c r="AT108">
        <v>3210</v>
      </c>
      <c r="AU108">
        <v>4.2805849999999999E-3</v>
      </c>
    </row>
    <row r="109" spans="1:47" x14ac:dyDescent="0.3">
      <c r="A109" t="s">
        <v>531</v>
      </c>
      <c r="B109">
        <v>1372</v>
      </c>
      <c r="C109">
        <v>1420</v>
      </c>
      <c r="D109">
        <v>1372</v>
      </c>
      <c r="E109">
        <v>1395.2</v>
      </c>
      <c r="F109">
        <v>2371</v>
      </c>
      <c r="G109" s="66">
        <v>-1.1000000000000001E-3</v>
      </c>
      <c r="K109" t="s">
        <v>530</v>
      </c>
      <c r="L109">
        <v>1245.5</v>
      </c>
      <c r="M109">
        <v>1245.5</v>
      </c>
      <c r="N109">
        <v>1240.0999999999999</v>
      </c>
      <c r="O109">
        <v>1244.3</v>
      </c>
      <c r="P109">
        <v>123</v>
      </c>
      <c r="Q109">
        <v>-4.878439E-3</v>
      </c>
      <c r="U109" t="s">
        <v>529</v>
      </c>
      <c r="V109">
        <v>1010</v>
      </c>
      <c r="W109">
        <v>1010</v>
      </c>
      <c r="X109">
        <v>1005</v>
      </c>
      <c r="Y109">
        <v>1007.5</v>
      </c>
      <c r="Z109">
        <v>266</v>
      </c>
      <c r="AA109">
        <v>-3.3633399999999998E-3</v>
      </c>
      <c r="AE109" t="s">
        <v>528</v>
      </c>
      <c r="AF109">
        <v>1109</v>
      </c>
      <c r="AG109">
        <v>1124</v>
      </c>
      <c r="AH109">
        <v>1100</v>
      </c>
      <c r="AI109">
        <v>1113.9000000000001</v>
      </c>
      <c r="AJ109">
        <v>243</v>
      </c>
      <c r="AK109">
        <v>9.4245579999999995E-3</v>
      </c>
      <c r="AO109" t="s">
        <v>527</v>
      </c>
      <c r="AP109">
        <v>1450</v>
      </c>
      <c r="AQ109">
        <v>1450.3</v>
      </c>
      <c r="AR109">
        <v>1448.2</v>
      </c>
      <c r="AS109">
        <v>1448.4</v>
      </c>
      <c r="AT109">
        <v>1257</v>
      </c>
      <c r="AU109">
        <v>-4.3307900000000002E-3</v>
      </c>
    </row>
    <row r="110" spans="1:47" x14ac:dyDescent="0.3">
      <c r="A110" t="s">
        <v>526</v>
      </c>
      <c r="B110">
        <v>1495</v>
      </c>
      <c r="C110">
        <v>1510</v>
      </c>
      <c r="D110">
        <v>1385</v>
      </c>
      <c r="E110">
        <v>1396.7</v>
      </c>
      <c r="F110">
        <v>6591</v>
      </c>
      <c r="G110" s="66">
        <v>-2.24E-2</v>
      </c>
      <c r="K110" t="s">
        <v>525</v>
      </c>
      <c r="L110">
        <v>1243.9000000000001</v>
      </c>
      <c r="M110">
        <v>1265</v>
      </c>
      <c r="N110">
        <v>1236</v>
      </c>
      <c r="O110">
        <v>1250.4000000000001</v>
      </c>
      <c r="P110">
        <v>172</v>
      </c>
      <c r="Q110">
        <v>1.3865239999999999E-2</v>
      </c>
      <c r="U110" t="s">
        <v>524</v>
      </c>
      <c r="V110">
        <v>1005.1</v>
      </c>
      <c r="W110">
        <v>1015</v>
      </c>
      <c r="X110">
        <v>1005</v>
      </c>
      <c r="Y110">
        <v>1010.9</v>
      </c>
      <c r="Z110">
        <v>279</v>
      </c>
      <c r="AA110">
        <v>-5.6069249999999996E-3</v>
      </c>
      <c r="AE110" t="s">
        <v>523</v>
      </c>
      <c r="AF110">
        <v>1103.5999999999999</v>
      </c>
      <c r="AG110">
        <v>1103.5999999999999</v>
      </c>
      <c r="AH110">
        <v>1103.5</v>
      </c>
      <c r="AI110">
        <v>1103.5</v>
      </c>
      <c r="AJ110">
        <v>15</v>
      </c>
      <c r="AK110">
        <v>3.6261399999999998E-4</v>
      </c>
      <c r="AO110" t="s">
        <v>522</v>
      </c>
      <c r="AP110">
        <v>1455.2</v>
      </c>
      <c r="AQ110">
        <v>1460</v>
      </c>
      <c r="AR110">
        <v>1436</v>
      </c>
      <c r="AS110">
        <v>1454.7</v>
      </c>
      <c r="AT110">
        <v>1483</v>
      </c>
      <c r="AU110">
        <v>-2.4002189999999999E-3</v>
      </c>
    </row>
    <row r="111" spans="1:47" x14ac:dyDescent="0.3">
      <c r="A111" t="s">
        <v>521</v>
      </c>
      <c r="B111">
        <v>1490</v>
      </c>
      <c r="C111">
        <v>1490</v>
      </c>
      <c r="D111">
        <v>1425</v>
      </c>
      <c r="E111">
        <v>1428.7</v>
      </c>
      <c r="F111">
        <v>1046</v>
      </c>
      <c r="G111" s="66">
        <v>-3.8699999999999998E-2</v>
      </c>
      <c r="K111" t="s">
        <v>520</v>
      </c>
      <c r="L111">
        <v>1233.3</v>
      </c>
      <c r="M111">
        <v>1235</v>
      </c>
      <c r="N111">
        <v>1231.2</v>
      </c>
      <c r="O111">
        <v>1233.3</v>
      </c>
      <c r="P111">
        <v>20437</v>
      </c>
      <c r="Q111">
        <v>0</v>
      </c>
      <c r="U111" t="s">
        <v>519</v>
      </c>
      <c r="V111">
        <v>1016.9</v>
      </c>
      <c r="W111">
        <v>1017</v>
      </c>
      <c r="X111">
        <v>1012.2</v>
      </c>
      <c r="Y111">
        <v>1016.6</v>
      </c>
      <c r="Z111">
        <v>1640</v>
      </c>
      <c r="AA111">
        <v>4.9426649999999997E-3</v>
      </c>
      <c r="AE111" t="s">
        <v>518</v>
      </c>
      <c r="AF111">
        <v>1103.0999999999999</v>
      </c>
      <c r="AG111">
        <v>1105</v>
      </c>
      <c r="AH111">
        <v>1102</v>
      </c>
      <c r="AI111">
        <v>1103.0999999999999</v>
      </c>
      <c r="AJ111">
        <v>149</v>
      </c>
      <c r="AK111">
        <v>-8.8948789999999996E-3</v>
      </c>
      <c r="AO111" t="s">
        <v>517</v>
      </c>
      <c r="AP111">
        <v>1457</v>
      </c>
      <c r="AQ111">
        <v>1460</v>
      </c>
      <c r="AR111">
        <v>1452.1</v>
      </c>
      <c r="AS111">
        <v>1458.2</v>
      </c>
      <c r="AT111">
        <v>1693</v>
      </c>
      <c r="AU111">
        <v>1.5797789999999999E-3</v>
      </c>
    </row>
    <row r="112" spans="1:47" x14ac:dyDescent="0.3">
      <c r="A112" t="s">
        <v>516</v>
      </c>
      <c r="B112">
        <v>1444</v>
      </c>
      <c r="C112">
        <v>1490</v>
      </c>
      <c r="D112">
        <v>1442</v>
      </c>
      <c r="E112">
        <v>1486.2</v>
      </c>
      <c r="F112">
        <v>5874</v>
      </c>
      <c r="G112" s="66">
        <v>6.0699999999999997E-2</v>
      </c>
      <c r="K112" t="s">
        <v>515</v>
      </c>
      <c r="L112">
        <v>1236</v>
      </c>
      <c r="M112">
        <v>1244</v>
      </c>
      <c r="N112">
        <v>1232</v>
      </c>
      <c r="O112">
        <v>1233.3</v>
      </c>
      <c r="P112">
        <v>3704</v>
      </c>
      <c r="Q112">
        <v>-2.9911080000000001E-3</v>
      </c>
      <c r="U112" t="s">
        <v>514</v>
      </c>
      <c r="V112">
        <v>1010.1</v>
      </c>
      <c r="W112">
        <v>1011.9</v>
      </c>
      <c r="X112">
        <v>1009</v>
      </c>
      <c r="Y112">
        <v>1011.6</v>
      </c>
      <c r="Z112">
        <v>916</v>
      </c>
      <c r="AA112">
        <v>8.8760349999999991E-3</v>
      </c>
      <c r="AE112" t="s">
        <v>513</v>
      </c>
      <c r="AF112">
        <v>1116</v>
      </c>
      <c r="AG112">
        <v>1129.8</v>
      </c>
      <c r="AH112">
        <v>1110.3</v>
      </c>
      <c r="AI112">
        <v>1113</v>
      </c>
      <c r="AJ112">
        <v>305</v>
      </c>
      <c r="AK112">
        <v>7.19295E-4</v>
      </c>
      <c r="AO112" t="s">
        <v>512</v>
      </c>
      <c r="AP112">
        <v>1449.4</v>
      </c>
      <c r="AQ112">
        <v>1461.9</v>
      </c>
      <c r="AR112">
        <v>1449.4</v>
      </c>
      <c r="AS112">
        <v>1455.9</v>
      </c>
      <c r="AT112">
        <v>1932</v>
      </c>
      <c r="AU112">
        <v>3.7920570000000002E-3</v>
      </c>
    </row>
    <row r="113" spans="1:47" x14ac:dyDescent="0.3">
      <c r="A113" t="s">
        <v>511</v>
      </c>
      <c r="B113">
        <v>1375</v>
      </c>
      <c r="C113">
        <v>1418</v>
      </c>
      <c r="D113">
        <v>1370</v>
      </c>
      <c r="E113">
        <v>1401.2</v>
      </c>
      <c r="F113">
        <v>5634</v>
      </c>
      <c r="G113" s="66">
        <v>9.2999999999999992E-3</v>
      </c>
      <c r="K113" s="126">
        <v>42711</v>
      </c>
      <c r="L113">
        <v>1238</v>
      </c>
      <c r="M113">
        <v>1245</v>
      </c>
      <c r="N113">
        <v>1235</v>
      </c>
      <c r="O113">
        <v>1237</v>
      </c>
      <c r="P113">
        <v>381</v>
      </c>
      <c r="Q113">
        <v>1.2951270000000001E-3</v>
      </c>
      <c r="U113" t="s">
        <v>510</v>
      </c>
      <c r="V113">
        <v>1010</v>
      </c>
      <c r="W113">
        <v>1010</v>
      </c>
      <c r="X113">
        <v>1001.1</v>
      </c>
      <c r="Y113">
        <v>1002.7</v>
      </c>
      <c r="Z113">
        <v>420</v>
      </c>
      <c r="AA113">
        <v>4.8101009999999998E-3</v>
      </c>
      <c r="AE113" s="126">
        <v>43441</v>
      </c>
      <c r="AF113">
        <v>1106</v>
      </c>
      <c r="AG113">
        <v>1115</v>
      </c>
      <c r="AH113">
        <v>1105</v>
      </c>
      <c r="AI113">
        <v>1112.2</v>
      </c>
      <c r="AJ113">
        <v>141</v>
      </c>
      <c r="AK113">
        <v>-2.6901E-3</v>
      </c>
      <c r="AO113" t="s">
        <v>509</v>
      </c>
      <c r="AP113">
        <v>1455</v>
      </c>
      <c r="AQ113">
        <v>1459.5</v>
      </c>
      <c r="AR113">
        <v>1447.1</v>
      </c>
      <c r="AS113">
        <v>1450.4</v>
      </c>
      <c r="AT113">
        <v>2044</v>
      </c>
      <c r="AU113">
        <v>-3.298516E-3</v>
      </c>
    </row>
    <row r="114" spans="1:47" x14ac:dyDescent="0.3">
      <c r="A114" t="s">
        <v>508</v>
      </c>
      <c r="B114">
        <v>1370</v>
      </c>
      <c r="C114">
        <v>1394</v>
      </c>
      <c r="D114">
        <v>1370</v>
      </c>
      <c r="E114">
        <v>1388.3</v>
      </c>
      <c r="F114">
        <v>107</v>
      </c>
      <c r="G114" s="66">
        <v>1.1000000000000001E-3</v>
      </c>
      <c r="K114" s="126">
        <v>42681</v>
      </c>
      <c r="L114">
        <v>1239</v>
      </c>
      <c r="M114">
        <v>1239</v>
      </c>
      <c r="N114">
        <v>1232</v>
      </c>
      <c r="O114">
        <v>1235.4000000000001</v>
      </c>
      <c r="P114">
        <v>6300</v>
      </c>
      <c r="Q114">
        <v>4.04891E-4</v>
      </c>
      <c r="U114" t="s">
        <v>507</v>
      </c>
      <c r="V114">
        <v>1010</v>
      </c>
      <c r="W114">
        <v>1011.1</v>
      </c>
      <c r="X114">
        <v>993</v>
      </c>
      <c r="Y114">
        <v>997.9</v>
      </c>
      <c r="Z114">
        <v>692</v>
      </c>
      <c r="AA114">
        <v>-1.1980197999999999E-2</v>
      </c>
      <c r="AE114" s="126">
        <v>43411</v>
      </c>
      <c r="AF114">
        <v>1120</v>
      </c>
      <c r="AG114">
        <v>1120</v>
      </c>
      <c r="AH114">
        <v>1115</v>
      </c>
      <c r="AI114">
        <v>1115.2</v>
      </c>
      <c r="AJ114">
        <v>90</v>
      </c>
      <c r="AK114">
        <v>6.2257509999999999E-3</v>
      </c>
      <c r="AO114" s="126">
        <v>43776</v>
      </c>
      <c r="AP114">
        <v>1451</v>
      </c>
      <c r="AQ114">
        <v>1458</v>
      </c>
      <c r="AR114">
        <v>1430.1</v>
      </c>
      <c r="AS114">
        <v>1455.2</v>
      </c>
      <c r="AT114">
        <v>2333</v>
      </c>
      <c r="AU114">
        <v>5.041785E-3</v>
      </c>
    </row>
    <row r="115" spans="1:47" x14ac:dyDescent="0.3">
      <c r="A115" t="s">
        <v>506</v>
      </c>
      <c r="B115">
        <v>1412</v>
      </c>
      <c r="C115">
        <v>1412</v>
      </c>
      <c r="D115">
        <v>1382</v>
      </c>
      <c r="E115">
        <v>1386.8</v>
      </c>
      <c r="F115">
        <v>1095</v>
      </c>
      <c r="G115" s="66">
        <v>4.1999999999999997E-3</v>
      </c>
      <c r="K115" t="s">
        <v>505</v>
      </c>
      <c r="L115">
        <v>1236</v>
      </c>
      <c r="M115">
        <v>1237</v>
      </c>
      <c r="N115">
        <v>1225</v>
      </c>
      <c r="O115">
        <v>1234.9000000000001</v>
      </c>
      <c r="P115">
        <v>18180</v>
      </c>
      <c r="Q115">
        <v>4.8006510000000004E-3</v>
      </c>
      <c r="U115" t="s">
        <v>504</v>
      </c>
      <c r="V115">
        <v>1034</v>
      </c>
      <c r="W115">
        <v>1034</v>
      </c>
      <c r="X115">
        <v>1005</v>
      </c>
      <c r="Y115">
        <v>1010</v>
      </c>
      <c r="Z115">
        <v>1133</v>
      </c>
      <c r="AA115">
        <v>-2.863066E-3</v>
      </c>
      <c r="AE115" s="126">
        <v>43380</v>
      </c>
      <c r="AF115">
        <v>1137</v>
      </c>
      <c r="AG115">
        <v>1137</v>
      </c>
      <c r="AH115">
        <v>1101</v>
      </c>
      <c r="AI115">
        <v>1108.3</v>
      </c>
      <c r="AJ115">
        <v>130</v>
      </c>
      <c r="AK115">
        <v>-2.520025E-3</v>
      </c>
      <c r="AO115" s="126">
        <v>43745</v>
      </c>
      <c r="AP115">
        <v>1417</v>
      </c>
      <c r="AQ115">
        <v>1455</v>
      </c>
      <c r="AR115">
        <v>1417</v>
      </c>
      <c r="AS115">
        <v>1447.9</v>
      </c>
      <c r="AT115">
        <v>3125</v>
      </c>
      <c r="AU115">
        <v>-1.7236619999999999E-3</v>
      </c>
    </row>
    <row r="116" spans="1:47" x14ac:dyDescent="0.3">
      <c r="A116" t="s">
        <v>503</v>
      </c>
      <c r="B116">
        <v>1423.5</v>
      </c>
      <c r="C116">
        <v>1423.5</v>
      </c>
      <c r="D116">
        <v>1370</v>
      </c>
      <c r="E116">
        <v>1381</v>
      </c>
      <c r="F116">
        <v>1107</v>
      </c>
      <c r="G116" s="66">
        <v>1.2999999999999999E-3</v>
      </c>
      <c r="K116" t="s">
        <v>502</v>
      </c>
      <c r="L116">
        <v>1229</v>
      </c>
      <c r="M116">
        <v>1229</v>
      </c>
      <c r="N116">
        <v>1226.9000000000001</v>
      </c>
      <c r="O116">
        <v>1229</v>
      </c>
      <c r="P116">
        <v>6240</v>
      </c>
      <c r="Q116">
        <v>-6.5051200000000001E-4</v>
      </c>
      <c r="U116" t="s">
        <v>501</v>
      </c>
      <c r="V116">
        <v>1004.9</v>
      </c>
      <c r="W116">
        <v>1020</v>
      </c>
      <c r="X116">
        <v>1004.9</v>
      </c>
      <c r="Y116">
        <v>1012.9</v>
      </c>
      <c r="Z116">
        <v>3147</v>
      </c>
      <c r="AA116">
        <v>1.8501759999999999E-2</v>
      </c>
      <c r="AE116" s="126">
        <v>43350</v>
      </c>
      <c r="AF116">
        <v>1134.5</v>
      </c>
      <c r="AG116">
        <v>1134.5</v>
      </c>
      <c r="AH116">
        <v>1105.5</v>
      </c>
      <c r="AI116">
        <v>1111.0999999999999</v>
      </c>
      <c r="AJ116">
        <v>98</v>
      </c>
      <c r="AK116">
        <v>-3.050695E-3</v>
      </c>
      <c r="AO116" s="126">
        <v>43715</v>
      </c>
      <c r="AP116">
        <v>1455.6</v>
      </c>
      <c r="AQ116">
        <v>1455.6</v>
      </c>
      <c r="AR116">
        <v>1446</v>
      </c>
      <c r="AS116">
        <v>1450.4</v>
      </c>
      <c r="AT116">
        <v>2568</v>
      </c>
      <c r="AU116">
        <v>-3.5724099999999998E-3</v>
      </c>
    </row>
    <row r="117" spans="1:47" x14ac:dyDescent="0.3">
      <c r="A117" s="126">
        <v>42345</v>
      </c>
      <c r="B117">
        <v>1380</v>
      </c>
      <c r="C117">
        <v>1404</v>
      </c>
      <c r="D117">
        <v>1370</v>
      </c>
      <c r="E117">
        <v>1379.2</v>
      </c>
      <c r="F117">
        <v>231</v>
      </c>
      <c r="G117" s="66">
        <v>-4.0000000000000002E-4</v>
      </c>
      <c r="K117" t="s">
        <v>500</v>
      </c>
      <c r="L117">
        <v>1240</v>
      </c>
      <c r="M117">
        <v>1240</v>
      </c>
      <c r="N117">
        <v>1226.5999999999999</v>
      </c>
      <c r="O117">
        <v>1229.8</v>
      </c>
      <c r="P117">
        <v>4842</v>
      </c>
      <c r="Q117" s="127">
        <v>-8.1299999999999997E-5</v>
      </c>
      <c r="U117" t="s">
        <v>499</v>
      </c>
      <c r="V117">
        <v>990</v>
      </c>
      <c r="W117">
        <v>1005.2</v>
      </c>
      <c r="X117">
        <v>990</v>
      </c>
      <c r="Y117">
        <v>994.5</v>
      </c>
      <c r="Z117">
        <v>868</v>
      </c>
      <c r="AA117">
        <v>-1.0546214E-2</v>
      </c>
      <c r="AE117" s="126">
        <v>43319</v>
      </c>
      <c r="AF117">
        <v>1120.0999999999999</v>
      </c>
      <c r="AG117">
        <v>1129.9000000000001</v>
      </c>
      <c r="AH117">
        <v>1112</v>
      </c>
      <c r="AI117">
        <v>1114.5</v>
      </c>
      <c r="AJ117">
        <v>298</v>
      </c>
      <c r="AK117">
        <v>-4.2883950000000004E-3</v>
      </c>
      <c r="AO117" s="126">
        <v>43684</v>
      </c>
      <c r="AP117">
        <v>1445.3</v>
      </c>
      <c r="AQ117">
        <v>1461</v>
      </c>
      <c r="AR117">
        <v>1445.3</v>
      </c>
      <c r="AS117">
        <v>1455.6</v>
      </c>
      <c r="AT117">
        <v>5018</v>
      </c>
      <c r="AU117">
        <v>3.1702269999999999E-3</v>
      </c>
    </row>
    <row r="118" spans="1:47" x14ac:dyDescent="0.3">
      <c r="A118" s="126">
        <v>42254</v>
      </c>
      <c r="B118">
        <v>1350</v>
      </c>
      <c r="C118">
        <v>1424.9</v>
      </c>
      <c r="D118">
        <v>1350</v>
      </c>
      <c r="E118">
        <v>1379.7</v>
      </c>
      <c r="F118">
        <v>91</v>
      </c>
      <c r="G118" s="66">
        <v>-2.5600000000000001E-2</v>
      </c>
      <c r="K118" t="s">
        <v>498</v>
      </c>
      <c r="L118">
        <v>1222</v>
      </c>
      <c r="M118">
        <v>1231.9000000000001</v>
      </c>
      <c r="N118">
        <v>1222</v>
      </c>
      <c r="O118">
        <v>1229.9000000000001</v>
      </c>
      <c r="P118">
        <v>2968</v>
      </c>
      <c r="Q118">
        <v>7.3230300000000001E-4</v>
      </c>
      <c r="U118" t="s">
        <v>497</v>
      </c>
      <c r="V118">
        <v>1003.6</v>
      </c>
      <c r="W118">
        <v>1008.4</v>
      </c>
      <c r="X118">
        <v>1003.3</v>
      </c>
      <c r="Y118">
        <v>1005.1</v>
      </c>
      <c r="Z118">
        <v>923</v>
      </c>
      <c r="AA118">
        <v>1.59442E-3</v>
      </c>
      <c r="AE118" s="126">
        <v>43227</v>
      </c>
      <c r="AF118">
        <v>1116.2</v>
      </c>
      <c r="AG118">
        <v>1129</v>
      </c>
      <c r="AH118">
        <v>1115</v>
      </c>
      <c r="AI118">
        <v>1119.3</v>
      </c>
      <c r="AJ118">
        <v>42</v>
      </c>
      <c r="AK118">
        <v>6.7458179999999998E-3</v>
      </c>
      <c r="AO118" s="126">
        <v>43653</v>
      </c>
      <c r="AP118">
        <v>1445</v>
      </c>
      <c r="AQ118">
        <v>1458</v>
      </c>
      <c r="AR118">
        <v>1445</v>
      </c>
      <c r="AS118">
        <v>1451</v>
      </c>
      <c r="AT118">
        <v>368</v>
      </c>
      <c r="AU118">
        <v>-1.1702349999999999E-3</v>
      </c>
    </row>
    <row r="119" spans="1:47" x14ac:dyDescent="0.3">
      <c r="A119" s="126">
        <v>42223</v>
      </c>
      <c r="B119">
        <v>1410</v>
      </c>
      <c r="C119">
        <v>1428</v>
      </c>
      <c r="D119">
        <v>1395</v>
      </c>
      <c r="E119">
        <v>1415.9</v>
      </c>
      <c r="F119">
        <v>5907</v>
      </c>
      <c r="G119" s="66">
        <v>1.9099999999999999E-2</v>
      </c>
      <c r="K119" t="s">
        <v>496</v>
      </c>
      <c r="L119">
        <v>1220.3</v>
      </c>
      <c r="M119">
        <v>1234</v>
      </c>
      <c r="N119">
        <v>1220.3</v>
      </c>
      <c r="O119">
        <v>1229</v>
      </c>
      <c r="P119">
        <v>525</v>
      </c>
      <c r="Q119">
        <v>1.548366E-3</v>
      </c>
      <c r="U119" s="126">
        <v>43076</v>
      </c>
      <c r="V119">
        <v>1004</v>
      </c>
      <c r="W119">
        <v>1004.9</v>
      </c>
      <c r="X119">
        <v>1001</v>
      </c>
      <c r="Y119">
        <v>1003.5</v>
      </c>
      <c r="Z119">
        <v>1096</v>
      </c>
      <c r="AA119">
        <v>2.7980409999999998E-3</v>
      </c>
      <c r="AE119" s="126">
        <v>43197</v>
      </c>
      <c r="AF119">
        <v>1120</v>
      </c>
      <c r="AG119">
        <v>1120</v>
      </c>
      <c r="AH119">
        <v>1111</v>
      </c>
      <c r="AI119">
        <v>1111.8</v>
      </c>
      <c r="AJ119">
        <v>11</v>
      </c>
      <c r="AK119">
        <v>-4.6553269999999999E-3</v>
      </c>
      <c r="AO119" s="126">
        <v>43562</v>
      </c>
      <c r="AP119">
        <v>1456</v>
      </c>
      <c r="AQ119">
        <v>1456</v>
      </c>
      <c r="AR119">
        <v>1445</v>
      </c>
      <c r="AS119">
        <v>1452.7</v>
      </c>
      <c r="AT119">
        <v>5285</v>
      </c>
      <c r="AU119">
        <v>-2.1294130000000001E-3</v>
      </c>
    </row>
    <row r="120" spans="1:47" x14ac:dyDescent="0.3">
      <c r="A120" s="126">
        <v>42192</v>
      </c>
      <c r="B120">
        <v>1387</v>
      </c>
      <c r="C120">
        <v>1405</v>
      </c>
      <c r="D120">
        <v>1372</v>
      </c>
      <c r="E120">
        <v>1389.4</v>
      </c>
      <c r="F120">
        <v>2544</v>
      </c>
      <c r="G120" s="66">
        <v>3.0700000000000002E-2</v>
      </c>
      <c r="K120" t="s">
        <v>495</v>
      </c>
      <c r="L120">
        <v>1230</v>
      </c>
      <c r="M120">
        <v>1230</v>
      </c>
      <c r="N120">
        <v>1224.9000000000001</v>
      </c>
      <c r="O120">
        <v>1227.0999999999999</v>
      </c>
      <c r="P120">
        <v>3188</v>
      </c>
      <c r="Q120">
        <v>2.44539E-4</v>
      </c>
      <c r="U120" s="126">
        <v>43046</v>
      </c>
      <c r="V120">
        <v>1007</v>
      </c>
      <c r="W120">
        <v>1007</v>
      </c>
      <c r="X120">
        <v>995.2</v>
      </c>
      <c r="Y120">
        <v>1000.7</v>
      </c>
      <c r="Z120">
        <v>2435</v>
      </c>
      <c r="AA120">
        <v>-5.4661099999999997E-3</v>
      </c>
      <c r="AE120" s="126">
        <v>43166</v>
      </c>
      <c r="AF120">
        <v>1126.5</v>
      </c>
      <c r="AG120">
        <v>1126.5</v>
      </c>
      <c r="AH120">
        <v>1112</v>
      </c>
      <c r="AI120">
        <v>1117</v>
      </c>
      <c r="AJ120">
        <v>120</v>
      </c>
      <c r="AK120">
        <v>-1.7849291999999999E-2</v>
      </c>
      <c r="AO120" s="126">
        <v>43531</v>
      </c>
      <c r="AP120">
        <v>1456</v>
      </c>
      <c r="AQ120">
        <v>1464</v>
      </c>
      <c r="AR120">
        <v>1451.2</v>
      </c>
      <c r="AS120">
        <v>1455.8</v>
      </c>
      <c r="AT120">
        <v>2243</v>
      </c>
      <c r="AU120">
        <v>-8.5132469999999998E-3</v>
      </c>
    </row>
    <row r="121" spans="1:47" x14ac:dyDescent="0.3">
      <c r="A121" s="126">
        <v>42162</v>
      </c>
      <c r="B121">
        <v>1349</v>
      </c>
      <c r="C121">
        <v>1354.9</v>
      </c>
      <c r="D121">
        <v>1315.5</v>
      </c>
      <c r="E121">
        <v>1348</v>
      </c>
      <c r="F121">
        <v>769</v>
      </c>
      <c r="G121" s="66">
        <v>1.78E-2</v>
      </c>
      <c r="K121" t="s">
        <v>494</v>
      </c>
      <c r="L121">
        <v>1226</v>
      </c>
      <c r="M121">
        <v>1229</v>
      </c>
      <c r="N121">
        <v>1226</v>
      </c>
      <c r="O121">
        <v>1226.8</v>
      </c>
      <c r="P121">
        <v>3682</v>
      </c>
      <c r="Q121">
        <v>-7.3307799999999996E-4</v>
      </c>
      <c r="U121" s="126">
        <v>43015</v>
      </c>
      <c r="V121">
        <v>1009.8</v>
      </c>
      <c r="W121">
        <v>1012.8</v>
      </c>
      <c r="X121">
        <v>1003.1</v>
      </c>
      <c r="Y121">
        <v>1006.2</v>
      </c>
      <c r="Z121">
        <v>1095</v>
      </c>
      <c r="AA121">
        <v>3.9912189999999998E-3</v>
      </c>
      <c r="AE121" s="126">
        <v>43138</v>
      </c>
      <c r="AF121">
        <v>1140</v>
      </c>
      <c r="AG121">
        <v>1145</v>
      </c>
      <c r="AH121">
        <v>1122</v>
      </c>
      <c r="AI121">
        <v>1137.3</v>
      </c>
      <c r="AJ121">
        <v>210</v>
      </c>
      <c r="AK121">
        <v>1.5446428999999999E-2</v>
      </c>
      <c r="AO121" s="126">
        <v>43503</v>
      </c>
      <c r="AP121">
        <v>1455</v>
      </c>
      <c r="AQ121">
        <v>1473</v>
      </c>
      <c r="AR121">
        <v>1445</v>
      </c>
      <c r="AS121">
        <v>1468.3</v>
      </c>
      <c r="AT121">
        <v>3394</v>
      </c>
      <c r="AU121">
        <v>-2.8522920000000002E-3</v>
      </c>
    </row>
    <row r="122" spans="1:47" x14ac:dyDescent="0.3">
      <c r="A122" s="126">
        <v>42131</v>
      </c>
      <c r="B122">
        <v>1350</v>
      </c>
      <c r="C122">
        <v>1350</v>
      </c>
      <c r="D122">
        <v>1314</v>
      </c>
      <c r="E122">
        <v>1324.4</v>
      </c>
      <c r="F122">
        <v>109</v>
      </c>
      <c r="G122" s="66">
        <v>8.0000000000000002E-3</v>
      </c>
      <c r="K122" t="s">
        <v>493</v>
      </c>
      <c r="L122">
        <v>1230.0999999999999</v>
      </c>
      <c r="M122">
        <v>1232</v>
      </c>
      <c r="N122">
        <v>1225.4000000000001</v>
      </c>
      <c r="O122">
        <v>1227.7</v>
      </c>
      <c r="P122">
        <v>6838</v>
      </c>
      <c r="Q122">
        <v>-5.9109310000000003E-3</v>
      </c>
      <c r="U122" s="126">
        <v>42985</v>
      </c>
      <c r="V122">
        <v>1005</v>
      </c>
      <c r="W122">
        <v>1005</v>
      </c>
      <c r="X122">
        <v>997</v>
      </c>
      <c r="Y122">
        <v>1002.2</v>
      </c>
      <c r="Z122">
        <v>543</v>
      </c>
      <c r="AA122">
        <v>-1.593943E-3</v>
      </c>
      <c r="AE122" t="s">
        <v>492</v>
      </c>
      <c r="AF122">
        <v>1103.0999999999999</v>
      </c>
      <c r="AG122">
        <v>1120</v>
      </c>
      <c r="AH122">
        <v>1103.0999999999999</v>
      </c>
      <c r="AI122">
        <v>1120</v>
      </c>
      <c r="AJ122">
        <v>456</v>
      </c>
      <c r="AK122">
        <v>8.10081E-3</v>
      </c>
      <c r="AO122" t="s">
        <v>491</v>
      </c>
      <c r="AP122">
        <v>1445</v>
      </c>
      <c r="AQ122">
        <v>1480</v>
      </c>
      <c r="AR122">
        <v>1445</v>
      </c>
      <c r="AS122">
        <v>1472.5</v>
      </c>
      <c r="AT122">
        <v>4477</v>
      </c>
      <c r="AU122">
        <v>3.9544560000000003E-3</v>
      </c>
    </row>
    <row r="123" spans="1:47" x14ac:dyDescent="0.3">
      <c r="A123" s="126">
        <v>42042</v>
      </c>
      <c r="B123">
        <v>1312</v>
      </c>
      <c r="C123">
        <v>1315.1</v>
      </c>
      <c r="D123">
        <v>1311.1</v>
      </c>
      <c r="E123">
        <v>1313.9</v>
      </c>
      <c r="F123">
        <v>188</v>
      </c>
      <c r="G123" s="66">
        <v>2.9999999999999997E-4</v>
      </c>
      <c r="K123" t="s">
        <v>490</v>
      </c>
      <c r="L123">
        <v>1237</v>
      </c>
      <c r="M123">
        <v>1237</v>
      </c>
      <c r="N123">
        <v>1234</v>
      </c>
      <c r="O123">
        <v>1235</v>
      </c>
      <c r="P123">
        <v>11674</v>
      </c>
      <c r="Q123">
        <v>4.86066E-4</v>
      </c>
      <c r="U123" s="126">
        <v>42893</v>
      </c>
      <c r="V123">
        <v>1009</v>
      </c>
      <c r="W123">
        <v>1009</v>
      </c>
      <c r="X123">
        <v>1002</v>
      </c>
      <c r="Y123">
        <v>1003.8</v>
      </c>
      <c r="Z123">
        <v>513</v>
      </c>
      <c r="AA123" s="127">
        <v>-9.9599999999999995E-5</v>
      </c>
      <c r="AE123" t="s">
        <v>489</v>
      </c>
      <c r="AF123">
        <v>1130</v>
      </c>
      <c r="AG123">
        <v>1130</v>
      </c>
      <c r="AH123">
        <v>1101</v>
      </c>
      <c r="AI123">
        <v>1111</v>
      </c>
      <c r="AJ123">
        <v>619</v>
      </c>
      <c r="AK123">
        <v>-2.3468401E-2</v>
      </c>
      <c r="AO123" t="s">
        <v>488</v>
      </c>
      <c r="AP123">
        <v>1455.1</v>
      </c>
      <c r="AQ123">
        <v>1475</v>
      </c>
      <c r="AR123">
        <v>1455</v>
      </c>
      <c r="AS123">
        <v>1466.7</v>
      </c>
      <c r="AT123">
        <v>5386</v>
      </c>
      <c r="AU123">
        <v>1.7758349999999999E-3</v>
      </c>
    </row>
    <row r="124" spans="1:47" x14ac:dyDescent="0.3">
      <c r="A124" t="s">
        <v>487</v>
      </c>
      <c r="B124">
        <v>1300</v>
      </c>
      <c r="C124">
        <v>1336</v>
      </c>
      <c r="D124">
        <v>1295</v>
      </c>
      <c r="E124">
        <v>1313.5</v>
      </c>
      <c r="F124">
        <v>526</v>
      </c>
      <c r="G124" s="66">
        <v>1.5299999999999999E-2</v>
      </c>
      <c r="K124" t="s">
        <v>486</v>
      </c>
      <c r="L124">
        <v>1235</v>
      </c>
      <c r="M124">
        <v>1240</v>
      </c>
      <c r="N124">
        <v>1224</v>
      </c>
      <c r="O124">
        <v>1234.4000000000001</v>
      </c>
      <c r="P124">
        <v>522</v>
      </c>
      <c r="Q124">
        <v>7.2963100000000001E-4</v>
      </c>
      <c r="U124" s="126">
        <v>42862</v>
      </c>
      <c r="V124">
        <v>1000.1</v>
      </c>
      <c r="W124">
        <v>1015</v>
      </c>
      <c r="X124">
        <v>1000</v>
      </c>
      <c r="Y124">
        <v>1003.9</v>
      </c>
      <c r="Z124">
        <v>487</v>
      </c>
      <c r="AA124">
        <v>1.8962079999999999E-3</v>
      </c>
      <c r="AE124" t="s">
        <v>485</v>
      </c>
      <c r="AF124">
        <v>1137.5</v>
      </c>
      <c r="AG124">
        <v>1137.9000000000001</v>
      </c>
      <c r="AH124">
        <v>1130</v>
      </c>
      <c r="AI124">
        <v>1137.7</v>
      </c>
      <c r="AJ124">
        <v>214</v>
      </c>
      <c r="AK124">
        <v>8.4204929999999994E-3</v>
      </c>
      <c r="AO124" t="s">
        <v>484</v>
      </c>
      <c r="AP124">
        <v>1452.4</v>
      </c>
      <c r="AQ124">
        <v>1468.7</v>
      </c>
      <c r="AR124">
        <v>1452.4</v>
      </c>
      <c r="AS124">
        <v>1464.1</v>
      </c>
      <c r="AT124">
        <v>3514</v>
      </c>
      <c r="AU124">
        <v>8.0556320000000001E-3</v>
      </c>
    </row>
    <row r="125" spans="1:47" x14ac:dyDescent="0.3">
      <c r="A125" t="s">
        <v>483</v>
      </c>
      <c r="B125">
        <v>1283</v>
      </c>
      <c r="C125">
        <v>1301</v>
      </c>
      <c r="D125">
        <v>1283</v>
      </c>
      <c r="E125">
        <v>1293.7</v>
      </c>
      <c r="F125">
        <v>507</v>
      </c>
      <c r="G125" s="66">
        <v>2.0000000000000001E-4</v>
      </c>
      <c r="K125" t="s">
        <v>482</v>
      </c>
      <c r="L125">
        <v>1227.0999999999999</v>
      </c>
      <c r="M125">
        <v>1235</v>
      </c>
      <c r="N125">
        <v>1226.5999999999999</v>
      </c>
      <c r="O125">
        <v>1233.5</v>
      </c>
      <c r="P125">
        <v>1892</v>
      </c>
      <c r="Q125">
        <v>2.8455279999999999E-3</v>
      </c>
      <c r="U125" s="126">
        <v>42832</v>
      </c>
      <c r="V125">
        <v>1005</v>
      </c>
      <c r="W125">
        <v>1005</v>
      </c>
      <c r="X125">
        <v>992</v>
      </c>
      <c r="Y125">
        <v>1002</v>
      </c>
      <c r="Z125">
        <v>1115</v>
      </c>
      <c r="AA125">
        <v>1.3964783999999999E-2</v>
      </c>
      <c r="AE125" t="s">
        <v>481</v>
      </c>
      <c r="AF125">
        <v>1127.0999999999999</v>
      </c>
      <c r="AG125">
        <v>1130</v>
      </c>
      <c r="AH125">
        <v>1127</v>
      </c>
      <c r="AI125">
        <v>1128.2</v>
      </c>
      <c r="AJ125">
        <v>185</v>
      </c>
      <c r="AK125">
        <v>1.77305E-4</v>
      </c>
      <c r="AO125" t="s">
        <v>480</v>
      </c>
      <c r="AP125">
        <v>1459.9</v>
      </c>
      <c r="AQ125">
        <v>1460</v>
      </c>
      <c r="AR125">
        <v>1445</v>
      </c>
      <c r="AS125">
        <v>1452.4</v>
      </c>
      <c r="AT125">
        <v>17158</v>
      </c>
      <c r="AU125">
        <v>-1.7869419999999999E-3</v>
      </c>
    </row>
    <row r="126" spans="1:47" x14ac:dyDescent="0.3">
      <c r="A126" t="s">
        <v>479</v>
      </c>
      <c r="B126">
        <v>1287.5</v>
      </c>
      <c r="C126">
        <v>1300</v>
      </c>
      <c r="D126">
        <v>1287.5</v>
      </c>
      <c r="E126">
        <v>1293.4000000000001</v>
      </c>
      <c r="F126">
        <v>402</v>
      </c>
      <c r="G126" s="66">
        <v>6.8999999999999999E-3</v>
      </c>
      <c r="K126" t="s">
        <v>478</v>
      </c>
      <c r="L126">
        <v>1235</v>
      </c>
      <c r="M126">
        <v>1235</v>
      </c>
      <c r="N126">
        <v>1230</v>
      </c>
      <c r="O126">
        <v>1230</v>
      </c>
      <c r="P126">
        <v>2354</v>
      </c>
      <c r="Q126">
        <v>-4.0485829999999997E-3</v>
      </c>
      <c r="U126" s="126">
        <v>42801</v>
      </c>
      <c r="V126">
        <v>1005</v>
      </c>
      <c r="W126">
        <v>1015</v>
      </c>
      <c r="X126">
        <v>975</v>
      </c>
      <c r="Y126">
        <v>988.2</v>
      </c>
      <c r="Z126">
        <v>4661</v>
      </c>
      <c r="AA126">
        <v>-1.6422813000000001E-2</v>
      </c>
      <c r="AE126" t="s">
        <v>477</v>
      </c>
      <c r="AF126">
        <v>1127.9000000000001</v>
      </c>
      <c r="AG126">
        <v>1130</v>
      </c>
      <c r="AH126">
        <v>1127</v>
      </c>
      <c r="AI126">
        <v>1128</v>
      </c>
      <c r="AJ126">
        <v>85</v>
      </c>
      <c r="AK126">
        <v>1.8234337999999999E-2</v>
      </c>
      <c r="AO126" t="s">
        <v>476</v>
      </c>
      <c r="AP126">
        <v>1450</v>
      </c>
      <c r="AQ126">
        <v>1474.9</v>
      </c>
      <c r="AR126">
        <v>1450</v>
      </c>
      <c r="AS126">
        <v>1455</v>
      </c>
      <c r="AT126">
        <v>20798</v>
      </c>
      <c r="AU126">
        <v>-9.3279769999999994E-3</v>
      </c>
    </row>
    <row r="127" spans="1:47" x14ac:dyDescent="0.3">
      <c r="A127" t="s">
        <v>475</v>
      </c>
      <c r="B127">
        <v>1290</v>
      </c>
      <c r="C127">
        <v>1300</v>
      </c>
      <c r="D127">
        <v>1263.0999999999999</v>
      </c>
      <c r="E127">
        <v>1284.5999999999999</v>
      </c>
      <c r="F127">
        <v>376</v>
      </c>
      <c r="G127" s="66">
        <v>-2.46E-2</v>
      </c>
      <c r="K127" t="s">
        <v>474</v>
      </c>
      <c r="L127">
        <v>1233</v>
      </c>
      <c r="M127">
        <v>1236</v>
      </c>
      <c r="N127">
        <v>1228.7</v>
      </c>
      <c r="O127">
        <v>1235</v>
      </c>
      <c r="P127">
        <v>6350</v>
      </c>
      <c r="Q127">
        <v>-8.0906100000000002E-4</v>
      </c>
      <c r="U127" s="126">
        <v>42773</v>
      </c>
      <c r="V127">
        <v>997</v>
      </c>
      <c r="W127">
        <v>1005</v>
      </c>
      <c r="X127">
        <v>988</v>
      </c>
      <c r="Y127">
        <v>1004.7</v>
      </c>
      <c r="Z127">
        <v>1295</v>
      </c>
      <c r="AA127">
        <v>8.0264870000000006E-3</v>
      </c>
      <c r="AE127" t="s">
        <v>473</v>
      </c>
      <c r="AF127">
        <v>1114</v>
      </c>
      <c r="AG127">
        <v>1130</v>
      </c>
      <c r="AH127">
        <v>1100</v>
      </c>
      <c r="AI127">
        <v>1107.8</v>
      </c>
      <c r="AJ127">
        <v>553</v>
      </c>
      <c r="AK127">
        <v>-9.4778250000000005E-3</v>
      </c>
      <c r="AO127" t="s">
        <v>472</v>
      </c>
      <c r="AP127">
        <v>1385</v>
      </c>
      <c r="AQ127">
        <v>1471</v>
      </c>
      <c r="AR127">
        <v>1385</v>
      </c>
      <c r="AS127">
        <v>1468.7</v>
      </c>
      <c r="AT127">
        <v>6680</v>
      </c>
      <c r="AU127">
        <v>1.705088E-3</v>
      </c>
    </row>
    <row r="128" spans="1:47" x14ac:dyDescent="0.3">
      <c r="A128" t="s">
        <v>471</v>
      </c>
      <c r="B128">
        <v>1334</v>
      </c>
      <c r="C128">
        <v>1334</v>
      </c>
      <c r="D128">
        <v>1317</v>
      </c>
      <c r="E128">
        <v>1317</v>
      </c>
      <c r="F128">
        <v>990</v>
      </c>
      <c r="G128" s="66">
        <v>-2.3E-3</v>
      </c>
      <c r="K128" t="s">
        <v>470</v>
      </c>
      <c r="L128">
        <v>1235</v>
      </c>
      <c r="M128">
        <v>1236</v>
      </c>
      <c r="N128">
        <v>1226</v>
      </c>
      <c r="O128">
        <v>1236</v>
      </c>
      <c r="P128">
        <v>6629</v>
      </c>
      <c r="Q128" s="127">
        <v>8.0900000000000001E-5</v>
      </c>
      <c r="U128" t="s">
        <v>469</v>
      </c>
      <c r="V128">
        <v>995</v>
      </c>
      <c r="W128">
        <v>1005</v>
      </c>
      <c r="X128">
        <v>984</v>
      </c>
      <c r="Y128">
        <v>996.7</v>
      </c>
      <c r="Z128">
        <v>529</v>
      </c>
      <c r="AA128">
        <v>3.0108400000000002E-4</v>
      </c>
      <c r="AE128" t="s">
        <v>468</v>
      </c>
      <c r="AF128">
        <v>1130</v>
      </c>
      <c r="AG128">
        <v>1130</v>
      </c>
      <c r="AH128">
        <v>1118</v>
      </c>
      <c r="AI128">
        <v>1118.4000000000001</v>
      </c>
      <c r="AJ128">
        <v>406</v>
      </c>
      <c r="AK128">
        <v>-7.8949699999999994E-3</v>
      </c>
      <c r="AO128" t="s">
        <v>467</v>
      </c>
      <c r="AP128">
        <v>1446</v>
      </c>
      <c r="AQ128">
        <v>1468.3</v>
      </c>
      <c r="AR128">
        <v>1446</v>
      </c>
      <c r="AS128">
        <v>1466.2</v>
      </c>
      <c r="AT128">
        <v>4190</v>
      </c>
      <c r="AU128">
        <v>8.6681339999999992E-3</v>
      </c>
    </row>
    <row r="129" spans="1:47" x14ac:dyDescent="0.3">
      <c r="A129" t="s">
        <v>466</v>
      </c>
      <c r="B129">
        <v>1341</v>
      </c>
      <c r="C129">
        <v>1341</v>
      </c>
      <c r="D129">
        <v>1320</v>
      </c>
      <c r="E129">
        <v>1320.1</v>
      </c>
      <c r="F129">
        <v>2106</v>
      </c>
      <c r="G129" s="66">
        <v>0</v>
      </c>
      <c r="K129" s="126">
        <v>42710</v>
      </c>
      <c r="L129">
        <v>1234</v>
      </c>
      <c r="M129">
        <v>1245</v>
      </c>
      <c r="N129">
        <v>1228</v>
      </c>
      <c r="O129">
        <v>1235.9000000000001</v>
      </c>
      <c r="P129">
        <v>227</v>
      </c>
      <c r="Q129">
        <v>1.783254E-3</v>
      </c>
      <c r="U129" t="s">
        <v>465</v>
      </c>
      <c r="V129">
        <v>1000.5</v>
      </c>
      <c r="W129">
        <v>1000.5</v>
      </c>
      <c r="X129">
        <v>990.3</v>
      </c>
      <c r="Y129">
        <v>996.4</v>
      </c>
      <c r="Z129">
        <v>253</v>
      </c>
      <c r="AA129">
        <v>-4.0979509999999999E-3</v>
      </c>
      <c r="AE129" t="s">
        <v>464</v>
      </c>
      <c r="AF129">
        <v>1126.7</v>
      </c>
      <c r="AG129">
        <v>1129</v>
      </c>
      <c r="AH129">
        <v>1126.3</v>
      </c>
      <c r="AI129">
        <v>1127.3</v>
      </c>
      <c r="AJ129">
        <v>66</v>
      </c>
      <c r="AK129">
        <v>8.8786300000000002E-4</v>
      </c>
      <c r="AO129" t="s">
        <v>463</v>
      </c>
      <c r="AP129">
        <v>1427</v>
      </c>
      <c r="AQ129">
        <v>1456</v>
      </c>
      <c r="AR129">
        <v>1427</v>
      </c>
      <c r="AS129">
        <v>1453.6</v>
      </c>
      <c r="AT129">
        <v>1860</v>
      </c>
      <c r="AU129">
        <v>-6.1876900000000002E-4</v>
      </c>
    </row>
    <row r="130" spans="1:47" x14ac:dyDescent="0.3">
      <c r="A130" t="s">
        <v>462</v>
      </c>
      <c r="B130">
        <v>1320</v>
      </c>
      <c r="C130">
        <v>1322</v>
      </c>
      <c r="D130">
        <v>1320</v>
      </c>
      <c r="E130">
        <v>1320.1</v>
      </c>
      <c r="F130">
        <v>1587</v>
      </c>
      <c r="G130" s="66">
        <v>-4.7999999999999996E-3</v>
      </c>
      <c r="K130" s="126">
        <v>42619</v>
      </c>
      <c r="L130">
        <v>1226</v>
      </c>
      <c r="M130">
        <v>1237</v>
      </c>
      <c r="N130">
        <v>1226</v>
      </c>
      <c r="O130">
        <v>1233.7</v>
      </c>
      <c r="P130">
        <v>5192</v>
      </c>
      <c r="Q130">
        <v>-2.5871129999999998E-3</v>
      </c>
      <c r="U130" t="s">
        <v>461</v>
      </c>
      <c r="V130">
        <v>985</v>
      </c>
      <c r="W130">
        <v>1014</v>
      </c>
      <c r="X130">
        <v>981.1</v>
      </c>
      <c r="Y130">
        <v>1000.5</v>
      </c>
      <c r="Z130">
        <v>1449</v>
      </c>
      <c r="AA130">
        <v>1.6768293E-2</v>
      </c>
      <c r="AE130" t="s">
        <v>460</v>
      </c>
      <c r="AF130">
        <v>1130</v>
      </c>
      <c r="AG130">
        <v>1130</v>
      </c>
      <c r="AH130">
        <v>1125</v>
      </c>
      <c r="AI130">
        <v>1126.3</v>
      </c>
      <c r="AJ130">
        <v>300</v>
      </c>
      <c r="AK130">
        <v>6.1640159999999996E-3</v>
      </c>
      <c r="AO130" t="s">
        <v>459</v>
      </c>
      <c r="AP130">
        <v>1435</v>
      </c>
      <c r="AQ130">
        <v>1455</v>
      </c>
      <c r="AR130">
        <v>1426</v>
      </c>
      <c r="AS130">
        <v>1454.5</v>
      </c>
      <c r="AT130">
        <v>4271</v>
      </c>
      <c r="AU130">
        <v>7.4109989999999997E-3</v>
      </c>
    </row>
    <row r="131" spans="1:47" x14ac:dyDescent="0.3">
      <c r="A131" t="s">
        <v>458</v>
      </c>
      <c r="B131">
        <v>1300</v>
      </c>
      <c r="C131">
        <v>1339.8</v>
      </c>
      <c r="D131">
        <v>1300</v>
      </c>
      <c r="E131">
        <v>1326.5</v>
      </c>
      <c r="F131">
        <v>1406</v>
      </c>
      <c r="G131" s="66">
        <v>1.9599999999999999E-2</v>
      </c>
      <c r="K131" s="126">
        <v>42588</v>
      </c>
      <c r="L131">
        <v>1236</v>
      </c>
      <c r="M131">
        <v>1240</v>
      </c>
      <c r="N131">
        <v>1232</v>
      </c>
      <c r="O131">
        <v>1236.9000000000001</v>
      </c>
      <c r="P131">
        <v>916</v>
      </c>
      <c r="Q131">
        <v>-4.0407300000000002E-4</v>
      </c>
      <c r="U131" t="s">
        <v>457</v>
      </c>
      <c r="V131">
        <v>976.2</v>
      </c>
      <c r="W131">
        <v>985.5</v>
      </c>
      <c r="X131">
        <v>976.2</v>
      </c>
      <c r="Y131">
        <v>984</v>
      </c>
      <c r="Z131">
        <v>504</v>
      </c>
      <c r="AA131">
        <v>5.2099299999999998E-3</v>
      </c>
      <c r="AE131" s="126">
        <v>43440</v>
      </c>
      <c r="AF131">
        <v>1116.2</v>
      </c>
      <c r="AG131">
        <v>1120.3</v>
      </c>
      <c r="AH131">
        <v>1116.0999999999999</v>
      </c>
      <c r="AI131">
        <v>1119.4000000000001</v>
      </c>
      <c r="AJ131">
        <v>25</v>
      </c>
      <c r="AK131">
        <v>2.956724E-3</v>
      </c>
      <c r="AO131" t="s">
        <v>456</v>
      </c>
      <c r="AP131">
        <v>1468</v>
      </c>
      <c r="AQ131">
        <v>1468</v>
      </c>
      <c r="AR131">
        <v>1440</v>
      </c>
      <c r="AS131">
        <v>1443.8</v>
      </c>
      <c r="AT131">
        <v>701</v>
      </c>
      <c r="AU131">
        <v>-1.0010971E-2</v>
      </c>
    </row>
    <row r="132" spans="1:47" x14ac:dyDescent="0.3">
      <c r="A132" t="s">
        <v>455</v>
      </c>
      <c r="B132">
        <v>1275</v>
      </c>
      <c r="C132">
        <v>1350</v>
      </c>
      <c r="D132">
        <v>1275</v>
      </c>
      <c r="E132">
        <v>1301</v>
      </c>
      <c r="F132">
        <v>1596</v>
      </c>
      <c r="G132" s="66">
        <v>5.0000000000000001E-3</v>
      </c>
      <c r="K132" s="126">
        <v>42557</v>
      </c>
      <c r="L132">
        <v>1240.0999999999999</v>
      </c>
      <c r="M132">
        <v>1245</v>
      </c>
      <c r="N132">
        <v>1235</v>
      </c>
      <c r="O132">
        <v>1237.4000000000001</v>
      </c>
      <c r="P132">
        <v>2910</v>
      </c>
      <c r="Q132">
        <v>-7.539301E-3</v>
      </c>
      <c r="U132" t="s">
        <v>454</v>
      </c>
      <c r="V132">
        <v>983.9</v>
      </c>
      <c r="W132">
        <v>984</v>
      </c>
      <c r="X132">
        <v>975.5</v>
      </c>
      <c r="Y132">
        <v>978.9</v>
      </c>
      <c r="Z132">
        <v>413</v>
      </c>
      <c r="AA132">
        <v>2.6631160000000001E-3</v>
      </c>
      <c r="AE132" s="126">
        <v>43410</v>
      </c>
      <c r="AF132">
        <v>1140</v>
      </c>
      <c r="AG132">
        <v>1140</v>
      </c>
      <c r="AH132">
        <v>1102</v>
      </c>
      <c r="AI132">
        <v>1116.0999999999999</v>
      </c>
      <c r="AJ132">
        <v>142</v>
      </c>
      <c r="AK132">
        <v>-1.9158097999999998E-2</v>
      </c>
      <c r="AO132" t="s">
        <v>453</v>
      </c>
      <c r="AP132">
        <v>1465</v>
      </c>
      <c r="AQ132">
        <v>1465</v>
      </c>
      <c r="AR132">
        <v>1453</v>
      </c>
      <c r="AS132">
        <v>1458.4</v>
      </c>
      <c r="AT132">
        <v>5874</v>
      </c>
      <c r="AU132">
        <v>2.061289E-3</v>
      </c>
    </row>
    <row r="133" spans="1:47" x14ac:dyDescent="0.3">
      <c r="A133" t="s">
        <v>452</v>
      </c>
      <c r="B133">
        <v>1385</v>
      </c>
      <c r="C133">
        <v>1385</v>
      </c>
      <c r="D133">
        <v>1290</v>
      </c>
      <c r="E133">
        <v>1294.5</v>
      </c>
      <c r="F133">
        <v>1074</v>
      </c>
      <c r="G133" s="66">
        <v>-3.8300000000000001E-2</v>
      </c>
      <c r="K133" s="126">
        <v>42527</v>
      </c>
      <c r="L133">
        <v>1258.9000000000001</v>
      </c>
      <c r="M133">
        <v>1258.9000000000001</v>
      </c>
      <c r="N133">
        <v>1233</v>
      </c>
      <c r="O133">
        <v>1246.8</v>
      </c>
      <c r="P133">
        <v>1685</v>
      </c>
      <c r="Q133">
        <v>5.9706309999999997E-3</v>
      </c>
      <c r="U133" t="s">
        <v>451</v>
      </c>
      <c r="V133">
        <v>972</v>
      </c>
      <c r="W133">
        <v>980</v>
      </c>
      <c r="X133">
        <v>972</v>
      </c>
      <c r="Y133">
        <v>976.3</v>
      </c>
      <c r="Z133">
        <v>331</v>
      </c>
      <c r="AA133">
        <v>5.4582900000000002E-3</v>
      </c>
      <c r="AE133" s="126">
        <v>43379</v>
      </c>
      <c r="AF133">
        <v>1148</v>
      </c>
      <c r="AG133">
        <v>1151</v>
      </c>
      <c r="AH133">
        <v>1123</v>
      </c>
      <c r="AI133">
        <v>1137.9000000000001</v>
      </c>
      <c r="AJ133">
        <v>251</v>
      </c>
      <c r="AK133">
        <v>1.0030179E-2</v>
      </c>
      <c r="AO133" t="s">
        <v>450</v>
      </c>
      <c r="AP133">
        <v>1451.9</v>
      </c>
      <c r="AQ133">
        <v>1459.5</v>
      </c>
      <c r="AR133">
        <v>1448.2</v>
      </c>
      <c r="AS133">
        <v>1455.4</v>
      </c>
      <c r="AT133">
        <v>6133</v>
      </c>
      <c r="AU133">
        <v>1.1256253000000001E-2</v>
      </c>
    </row>
    <row r="134" spans="1:47" x14ac:dyDescent="0.3">
      <c r="A134" t="s">
        <v>449</v>
      </c>
      <c r="B134">
        <v>1384</v>
      </c>
      <c r="C134">
        <v>1384</v>
      </c>
      <c r="D134">
        <v>1320</v>
      </c>
      <c r="E134">
        <v>1346</v>
      </c>
      <c r="F134">
        <v>3430</v>
      </c>
      <c r="G134" s="66">
        <v>2.6100000000000002E-2</v>
      </c>
      <c r="K134" s="126">
        <v>42496</v>
      </c>
      <c r="L134">
        <v>1265</v>
      </c>
      <c r="M134">
        <v>1265</v>
      </c>
      <c r="N134">
        <v>1229</v>
      </c>
      <c r="O134">
        <v>1239.4000000000001</v>
      </c>
      <c r="P134">
        <v>121</v>
      </c>
      <c r="Q134">
        <v>6.987325E-3</v>
      </c>
      <c r="U134" t="s">
        <v>448</v>
      </c>
      <c r="V134">
        <v>971</v>
      </c>
      <c r="W134">
        <v>971</v>
      </c>
      <c r="X134">
        <v>971</v>
      </c>
      <c r="Y134">
        <v>971</v>
      </c>
      <c r="Z134">
        <v>50</v>
      </c>
      <c r="AA134">
        <v>-3.489327E-3</v>
      </c>
      <c r="AE134" s="126">
        <v>43257</v>
      </c>
      <c r="AF134">
        <v>1149.8</v>
      </c>
      <c r="AG134">
        <v>1149.8</v>
      </c>
      <c r="AH134">
        <v>1104.3</v>
      </c>
      <c r="AI134">
        <v>1126.5999999999999</v>
      </c>
      <c r="AJ134">
        <v>476</v>
      </c>
      <c r="AK134">
        <v>1.5595421E-2</v>
      </c>
      <c r="AO134" s="126">
        <v>43805</v>
      </c>
      <c r="AP134">
        <v>1423</v>
      </c>
      <c r="AQ134">
        <v>1450</v>
      </c>
      <c r="AR134">
        <v>1422</v>
      </c>
      <c r="AS134">
        <v>1439.2</v>
      </c>
      <c r="AT134">
        <v>4726</v>
      </c>
      <c r="AU134">
        <v>1.8109791E-2</v>
      </c>
    </row>
    <row r="135" spans="1:47" x14ac:dyDescent="0.3">
      <c r="A135" t="s">
        <v>447</v>
      </c>
      <c r="B135">
        <v>1390</v>
      </c>
      <c r="C135">
        <v>1390</v>
      </c>
      <c r="D135">
        <v>1310.0999999999999</v>
      </c>
      <c r="E135">
        <v>1311.8</v>
      </c>
      <c r="F135">
        <v>2340</v>
      </c>
      <c r="G135" s="66">
        <v>-4.7399999999999998E-2</v>
      </c>
      <c r="K135" s="126">
        <v>42406</v>
      </c>
      <c r="L135">
        <v>1253</v>
      </c>
      <c r="M135">
        <v>1253</v>
      </c>
      <c r="N135">
        <v>1227.2</v>
      </c>
      <c r="O135">
        <v>1230.8</v>
      </c>
      <c r="P135">
        <v>4213</v>
      </c>
      <c r="Q135">
        <v>-1.217236E-3</v>
      </c>
      <c r="U135" t="s">
        <v>446</v>
      </c>
      <c r="V135">
        <v>975</v>
      </c>
      <c r="W135">
        <v>979</v>
      </c>
      <c r="X135">
        <v>969.1</v>
      </c>
      <c r="Y135">
        <v>974.4</v>
      </c>
      <c r="Z135">
        <v>106</v>
      </c>
      <c r="AA135">
        <v>5.9880239999999998E-3</v>
      </c>
      <c r="AE135" s="126">
        <v>43226</v>
      </c>
      <c r="AF135">
        <v>1095.2</v>
      </c>
      <c r="AG135">
        <v>1128</v>
      </c>
      <c r="AH135">
        <v>1095.2</v>
      </c>
      <c r="AI135">
        <v>1109.3</v>
      </c>
      <c r="AJ135">
        <v>131</v>
      </c>
      <c r="AK135">
        <v>1.3707393E-2</v>
      </c>
      <c r="AO135" s="126">
        <v>43775</v>
      </c>
      <c r="AP135">
        <v>1405.1</v>
      </c>
      <c r="AQ135">
        <v>1427.5</v>
      </c>
      <c r="AR135">
        <v>1404</v>
      </c>
      <c r="AS135">
        <v>1413.6</v>
      </c>
      <c r="AT135">
        <v>2378</v>
      </c>
      <c r="AU135">
        <v>-1.0599959999999999E-3</v>
      </c>
    </row>
    <row r="136" spans="1:47" x14ac:dyDescent="0.3">
      <c r="A136" s="126">
        <v>42314</v>
      </c>
      <c r="B136">
        <v>1404</v>
      </c>
      <c r="C136">
        <v>1425</v>
      </c>
      <c r="D136">
        <v>1365.5</v>
      </c>
      <c r="E136">
        <v>1377.1</v>
      </c>
      <c r="F136">
        <v>3395</v>
      </c>
      <c r="G136" s="66">
        <v>-1.5299999999999999E-2</v>
      </c>
      <c r="K136" s="126">
        <v>42375</v>
      </c>
      <c r="L136">
        <v>1230</v>
      </c>
      <c r="M136">
        <v>1232.5</v>
      </c>
      <c r="N136">
        <v>1230</v>
      </c>
      <c r="O136">
        <v>1232.3</v>
      </c>
      <c r="P136">
        <v>4416</v>
      </c>
      <c r="Q136">
        <v>8.9343699999999996E-4</v>
      </c>
      <c r="U136" t="s">
        <v>445</v>
      </c>
      <c r="V136">
        <v>968.3</v>
      </c>
      <c r="W136">
        <v>968.7</v>
      </c>
      <c r="X136">
        <v>968.3</v>
      </c>
      <c r="Y136">
        <v>968.6</v>
      </c>
      <c r="Z136">
        <v>101</v>
      </c>
      <c r="AA136">
        <v>3.09821E-4</v>
      </c>
      <c r="AE136" s="126">
        <v>43196</v>
      </c>
      <c r="AF136">
        <v>1085.0999999999999</v>
      </c>
      <c r="AG136">
        <v>1130</v>
      </c>
      <c r="AH136">
        <v>1085.0999999999999</v>
      </c>
      <c r="AI136">
        <v>1094.3</v>
      </c>
      <c r="AJ136">
        <v>187</v>
      </c>
      <c r="AK136">
        <v>-8.6964399999999997E-3</v>
      </c>
      <c r="AO136" s="126">
        <v>43744</v>
      </c>
      <c r="AP136">
        <v>1402.9</v>
      </c>
      <c r="AQ136">
        <v>1420</v>
      </c>
      <c r="AR136">
        <v>1395</v>
      </c>
      <c r="AS136">
        <v>1415.1</v>
      </c>
      <c r="AT136">
        <v>2562</v>
      </c>
      <c r="AU136">
        <v>2.0112457E-2</v>
      </c>
    </row>
    <row r="137" spans="1:47" x14ac:dyDescent="0.3">
      <c r="A137" s="126">
        <v>42283</v>
      </c>
      <c r="B137">
        <v>1362</v>
      </c>
      <c r="C137">
        <v>1409</v>
      </c>
      <c r="D137">
        <v>1355</v>
      </c>
      <c r="E137">
        <v>1398.5</v>
      </c>
      <c r="F137">
        <v>9358</v>
      </c>
      <c r="G137" s="66">
        <v>3.2800000000000003E-2</v>
      </c>
      <c r="K137" t="s">
        <v>444</v>
      </c>
      <c r="L137">
        <v>1231.0999999999999</v>
      </c>
      <c r="M137">
        <v>1240</v>
      </c>
      <c r="N137">
        <v>1230</v>
      </c>
      <c r="O137">
        <v>1231.2</v>
      </c>
      <c r="P137">
        <v>4219</v>
      </c>
      <c r="Q137">
        <v>1.0569970000000001E-3</v>
      </c>
      <c r="U137" t="s">
        <v>443</v>
      </c>
      <c r="V137">
        <v>977.6</v>
      </c>
      <c r="W137">
        <v>977.6</v>
      </c>
      <c r="X137">
        <v>966.1</v>
      </c>
      <c r="Y137">
        <v>968.3</v>
      </c>
      <c r="Z137">
        <v>743</v>
      </c>
      <c r="AA137">
        <v>-4.6258219999999999E-3</v>
      </c>
      <c r="AE137" s="126">
        <v>43165</v>
      </c>
      <c r="AF137">
        <v>1086</v>
      </c>
      <c r="AG137">
        <v>1106</v>
      </c>
      <c r="AH137">
        <v>1086</v>
      </c>
      <c r="AI137">
        <v>1103.9000000000001</v>
      </c>
      <c r="AJ137">
        <v>242</v>
      </c>
      <c r="AK137">
        <v>-2.6886460000000001E-2</v>
      </c>
      <c r="AO137" s="126">
        <v>43714</v>
      </c>
      <c r="AP137">
        <v>1355</v>
      </c>
      <c r="AQ137">
        <v>1392.9</v>
      </c>
      <c r="AR137">
        <v>1355</v>
      </c>
      <c r="AS137">
        <v>1387.2</v>
      </c>
      <c r="AT137">
        <v>1571</v>
      </c>
      <c r="AU137">
        <v>6.0550459000000001E-2</v>
      </c>
    </row>
    <row r="138" spans="1:47" x14ac:dyDescent="0.3">
      <c r="A138" s="126">
        <v>42253</v>
      </c>
      <c r="B138">
        <v>1326</v>
      </c>
      <c r="C138">
        <v>1365</v>
      </c>
      <c r="D138">
        <v>1322</v>
      </c>
      <c r="E138">
        <v>1354.1</v>
      </c>
      <c r="F138">
        <v>6793</v>
      </c>
      <c r="G138" s="66">
        <v>2.23E-2</v>
      </c>
      <c r="K138" t="s">
        <v>442</v>
      </c>
      <c r="L138">
        <v>1230.2</v>
      </c>
      <c r="M138">
        <v>1253</v>
      </c>
      <c r="N138">
        <v>1226</v>
      </c>
      <c r="O138">
        <v>1229.9000000000001</v>
      </c>
      <c r="P138">
        <v>1232</v>
      </c>
      <c r="Q138">
        <v>-1.4187239000000001E-2</v>
      </c>
      <c r="U138" s="126">
        <v>43075</v>
      </c>
      <c r="V138">
        <v>984</v>
      </c>
      <c r="W138">
        <v>984</v>
      </c>
      <c r="X138">
        <v>972</v>
      </c>
      <c r="Y138">
        <v>972.8</v>
      </c>
      <c r="Z138">
        <v>383</v>
      </c>
      <c r="AA138">
        <v>2.5765229999999998E-3</v>
      </c>
      <c r="AE138" t="s">
        <v>441</v>
      </c>
      <c r="AF138">
        <v>1134.9000000000001</v>
      </c>
      <c r="AG138">
        <v>1134.9000000000001</v>
      </c>
      <c r="AH138">
        <v>1116</v>
      </c>
      <c r="AI138">
        <v>1134.4000000000001</v>
      </c>
      <c r="AJ138">
        <v>103</v>
      </c>
      <c r="AK138">
        <v>1.9960439E-2</v>
      </c>
      <c r="AO138" t="s">
        <v>440</v>
      </c>
      <c r="AP138">
        <v>1300.5</v>
      </c>
      <c r="AQ138">
        <v>1310</v>
      </c>
      <c r="AR138">
        <v>1300</v>
      </c>
      <c r="AS138">
        <v>1308</v>
      </c>
      <c r="AT138">
        <v>842</v>
      </c>
      <c r="AU138">
        <v>5.7670129999999997E-3</v>
      </c>
    </row>
    <row r="139" spans="1:47" x14ac:dyDescent="0.3">
      <c r="A139" s="126">
        <v>42222</v>
      </c>
      <c r="B139">
        <v>1280</v>
      </c>
      <c r="C139">
        <v>1333</v>
      </c>
      <c r="D139">
        <v>1280</v>
      </c>
      <c r="E139">
        <v>1324.5</v>
      </c>
      <c r="F139">
        <v>4133</v>
      </c>
      <c r="G139" s="66">
        <v>3.8300000000000001E-2</v>
      </c>
      <c r="K139" t="s">
        <v>439</v>
      </c>
      <c r="L139">
        <v>1255</v>
      </c>
      <c r="M139">
        <v>1255</v>
      </c>
      <c r="N139">
        <v>1246</v>
      </c>
      <c r="O139">
        <v>1247.5999999999999</v>
      </c>
      <c r="P139">
        <v>727</v>
      </c>
      <c r="Q139">
        <v>-5.9756189999999997E-3</v>
      </c>
      <c r="U139" s="126">
        <v>43045</v>
      </c>
      <c r="V139">
        <v>970.1</v>
      </c>
      <c r="W139">
        <v>983</v>
      </c>
      <c r="X139">
        <v>970</v>
      </c>
      <c r="Y139">
        <v>970.3</v>
      </c>
      <c r="Z139">
        <v>269</v>
      </c>
      <c r="AA139">
        <v>-4.207718E-3</v>
      </c>
      <c r="AE139" t="s">
        <v>438</v>
      </c>
      <c r="AF139">
        <v>1116</v>
      </c>
      <c r="AG139">
        <v>1120</v>
      </c>
      <c r="AH139">
        <v>1110</v>
      </c>
      <c r="AI139">
        <v>1112.2</v>
      </c>
      <c r="AJ139">
        <v>141</v>
      </c>
      <c r="AK139">
        <v>-3.1184669000000002E-2</v>
      </c>
      <c r="AO139" t="s">
        <v>437</v>
      </c>
      <c r="AP139">
        <v>1295</v>
      </c>
      <c r="AQ139">
        <v>1307</v>
      </c>
      <c r="AR139">
        <v>1289.2</v>
      </c>
      <c r="AS139">
        <v>1300.5</v>
      </c>
      <c r="AT139">
        <v>2207</v>
      </c>
      <c r="AU139">
        <v>7.6708510000000002E-3</v>
      </c>
    </row>
    <row r="140" spans="1:47" x14ac:dyDescent="0.3">
      <c r="A140" s="126">
        <v>42191</v>
      </c>
      <c r="B140">
        <v>1286</v>
      </c>
      <c r="C140">
        <v>1300</v>
      </c>
      <c r="D140">
        <v>1236</v>
      </c>
      <c r="E140">
        <v>1275.7</v>
      </c>
      <c r="F140">
        <v>659</v>
      </c>
      <c r="G140" s="66">
        <v>-4.0000000000000001E-3</v>
      </c>
      <c r="K140" t="s">
        <v>436</v>
      </c>
      <c r="L140">
        <v>1255.0999999999999</v>
      </c>
      <c r="M140">
        <v>1255.0999999999999</v>
      </c>
      <c r="N140">
        <v>1255</v>
      </c>
      <c r="O140">
        <v>1255.0999999999999</v>
      </c>
      <c r="P140">
        <v>32</v>
      </c>
      <c r="Q140">
        <v>8.1124500000000002E-3</v>
      </c>
      <c r="U140" s="126">
        <v>42953</v>
      </c>
      <c r="V140">
        <v>975.5</v>
      </c>
      <c r="W140">
        <v>975.5</v>
      </c>
      <c r="X140">
        <v>968.2</v>
      </c>
      <c r="Y140">
        <v>974.4</v>
      </c>
      <c r="Z140">
        <v>1798</v>
      </c>
      <c r="AA140">
        <v>1.8507090000000001E-3</v>
      </c>
      <c r="AE140" t="s">
        <v>435</v>
      </c>
      <c r="AF140">
        <v>1154</v>
      </c>
      <c r="AG140">
        <v>1154</v>
      </c>
      <c r="AH140">
        <v>1147</v>
      </c>
      <c r="AI140">
        <v>1148</v>
      </c>
      <c r="AJ140">
        <v>180</v>
      </c>
      <c r="AK140">
        <v>3.6007580999999997E-2</v>
      </c>
      <c r="AO140" t="s">
        <v>434</v>
      </c>
      <c r="AP140">
        <v>1287</v>
      </c>
      <c r="AQ140">
        <v>1294</v>
      </c>
      <c r="AR140">
        <v>1287</v>
      </c>
      <c r="AS140">
        <v>1290.5999999999999</v>
      </c>
      <c r="AT140">
        <v>1783</v>
      </c>
      <c r="AU140">
        <v>2.875126E-3</v>
      </c>
    </row>
    <row r="141" spans="1:47" x14ac:dyDescent="0.3">
      <c r="A141" s="126">
        <v>42100</v>
      </c>
      <c r="B141">
        <v>1294</v>
      </c>
      <c r="C141">
        <v>1294</v>
      </c>
      <c r="D141">
        <v>1272.9000000000001</v>
      </c>
      <c r="E141">
        <v>1280.8</v>
      </c>
      <c r="F141">
        <v>365</v>
      </c>
      <c r="G141" s="66">
        <v>1.0699999999999999E-2</v>
      </c>
      <c r="K141" t="s">
        <v>433</v>
      </c>
      <c r="L141">
        <v>1244.5999999999999</v>
      </c>
      <c r="M141">
        <v>1245</v>
      </c>
      <c r="N141">
        <v>1225</v>
      </c>
      <c r="O141">
        <v>1245</v>
      </c>
      <c r="P141">
        <v>4304</v>
      </c>
      <c r="Q141">
        <v>3.2138799999999998E-4</v>
      </c>
      <c r="U141" s="126">
        <v>42922</v>
      </c>
      <c r="V141">
        <v>976.3</v>
      </c>
      <c r="W141">
        <v>984</v>
      </c>
      <c r="X141">
        <v>971</v>
      </c>
      <c r="Y141">
        <v>972.6</v>
      </c>
      <c r="Z141">
        <v>1631</v>
      </c>
      <c r="AA141">
        <v>-8.2594069999999999E-3</v>
      </c>
      <c r="AE141" t="s">
        <v>432</v>
      </c>
      <c r="AF141">
        <v>1170</v>
      </c>
      <c r="AG141">
        <v>1170</v>
      </c>
      <c r="AH141">
        <v>1107.0999999999999</v>
      </c>
      <c r="AI141">
        <v>1108.0999999999999</v>
      </c>
      <c r="AJ141">
        <v>242</v>
      </c>
      <c r="AK141">
        <v>-1.1331192E-2</v>
      </c>
      <c r="AO141" t="s">
        <v>431</v>
      </c>
      <c r="AP141">
        <v>1290</v>
      </c>
      <c r="AQ141">
        <v>1290</v>
      </c>
      <c r="AR141">
        <v>1280.2</v>
      </c>
      <c r="AS141">
        <v>1286.9000000000001</v>
      </c>
      <c r="AT141">
        <v>1286</v>
      </c>
      <c r="AU141">
        <v>0</v>
      </c>
    </row>
    <row r="142" spans="1:47" x14ac:dyDescent="0.3">
      <c r="A142" s="126">
        <v>42041</v>
      </c>
      <c r="B142">
        <v>1304</v>
      </c>
      <c r="C142">
        <v>1304</v>
      </c>
      <c r="D142">
        <v>1266</v>
      </c>
      <c r="E142">
        <v>1267.2</v>
      </c>
      <c r="F142">
        <v>1062</v>
      </c>
      <c r="G142" s="66">
        <v>-2.1399999999999999E-2</v>
      </c>
      <c r="K142" t="s">
        <v>430</v>
      </c>
      <c r="L142">
        <v>1221.0999999999999</v>
      </c>
      <c r="M142">
        <v>1255.9000000000001</v>
      </c>
      <c r="N142">
        <v>1221.0999999999999</v>
      </c>
      <c r="O142">
        <v>1244.5999999999999</v>
      </c>
      <c r="P142">
        <v>914</v>
      </c>
      <c r="Q142">
        <v>-8.9975320000000008E-3</v>
      </c>
      <c r="U142" s="126">
        <v>42892</v>
      </c>
      <c r="V142">
        <v>979</v>
      </c>
      <c r="W142">
        <v>985</v>
      </c>
      <c r="X142">
        <v>975.4</v>
      </c>
      <c r="Y142">
        <v>980.7</v>
      </c>
      <c r="Z142">
        <v>392</v>
      </c>
      <c r="AA142">
        <v>3.0599799999999998E-4</v>
      </c>
      <c r="AE142" t="s">
        <v>429</v>
      </c>
      <c r="AF142">
        <v>1170</v>
      </c>
      <c r="AG142">
        <v>1170</v>
      </c>
      <c r="AH142">
        <v>1100</v>
      </c>
      <c r="AI142">
        <v>1120.8</v>
      </c>
      <c r="AJ142">
        <v>333</v>
      </c>
      <c r="AK142">
        <v>-9.9814499999999994E-3</v>
      </c>
      <c r="AO142" t="s">
        <v>428</v>
      </c>
      <c r="AP142">
        <v>1287</v>
      </c>
      <c r="AQ142">
        <v>1289.7</v>
      </c>
      <c r="AR142">
        <v>1280</v>
      </c>
      <c r="AS142">
        <v>1286.9000000000001</v>
      </c>
      <c r="AT142">
        <v>1292</v>
      </c>
      <c r="AU142">
        <v>-3.1072800000000002E-4</v>
      </c>
    </row>
    <row r="143" spans="1:47" x14ac:dyDescent="0.3">
      <c r="A143" s="126">
        <v>42010</v>
      </c>
      <c r="B143">
        <v>1243</v>
      </c>
      <c r="C143">
        <v>1296.0999999999999</v>
      </c>
      <c r="D143">
        <v>1243</v>
      </c>
      <c r="E143">
        <v>1294.9000000000001</v>
      </c>
      <c r="F143">
        <v>4936</v>
      </c>
      <c r="G143" s="66">
        <v>6.3299999999999995E-2</v>
      </c>
      <c r="K143" t="s">
        <v>427</v>
      </c>
      <c r="L143">
        <v>1269</v>
      </c>
      <c r="M143">
        <v>1269</v>
      </c>
      <c r="N143">
        <v>1255</v>
      </c>
      <c r="O143">
        <v>1255.9000000000001</v>
      </c>
      <c r="P143">
        <v>1368</v>
      </c>
      <c r="Q143">
        <v>-1.59223E-4</v>
      </c>
      <c r="U143" s="126">
        <v>42831</v>
      </c>
      <c r="V143">
        <v>990</v>
      </c>
      <c r="W143">
        <v>990</v>
      </c>
      <c r="X143">
        <v>978</v>
      </c>
      <c r="Y143">
        <v>980.4</v>
      </c>
      <c r="Z143">
        <v>250</v>
      </c>
      <c r="AA143">
        <v>-9.6969699999999992E-3</v>
      </c>
      <c r="AE143" t="s">
        <v>426</v>
      </c>
      <c r="AF143">
        <v>1121</v>
      </c>
      <c r="AG143">
        <v>1203.5999999999999</v>
      </c>
      <c r="AH143">
        <v>1121</v>
      </c>
      <c r="AI143">
        <v>1132.0999999999999</v>
      </c>
      <c r="AJ143">
        <v>1003</v>
      </c>
      <c r="AK143">
        <v>1.9470749999999999E-3</v>
      </c>
      <c r="AO143" t="s">
        <v>425</v>
      </c>
      <c r="AP143">
        <v>1289</v>
      </c>
      <c r="AQ143">
        <v>1290</v>
      </c>
      <c r="AR143">
        <v>1271.5999999999999</v>
      </c>
      <c r="AS143">
        <v>1287.3</v>
      </c>
      <c r="AT143">
        <v>3113</v>
      </c>
      <c r="AU143">
        <v>7.7742399999999998E-4</v>
      </c>
    </row>
    <row r="144" spans="1:47" x14ac:dyDescent="0.3">
      <c r="A144" t="s">
        <v>424</v>
      </c>
      <c r="B144">
        <v>1221.0999999999999</v>
      </c>
      <c r="C144">
        <v>1222</v>
      </c>
      <c r="D144">
        <v>1215</v>
      </c>
      <c r="E144">
        <v>1217.8</v>
      </c>
      <c r="F144">
        <v>597</v>
      </c>
      <c r="G144" s="66">
        <v>8.9999999999999998E-4</v>
      </c>
      <c r="K144" t="s">
        <v>423</v>
      </c>
      <c r="L144">
        <v>1263.4000000000001</v>
      </c>
      <c r="M144">
        <v>1263.5</v>
      </c>
      <c r="N144">
        <v>1252</v>
      </c>
      <c r="O144">
        <v>1256.0999999999999</v>
      </c>
      <c r="P144">
        <v>336</v>
      </c>
      <c r="Q144">
        <v>5.5759099999999997E-4</v>
      </c>
      <c r="U144" s="126">
        <v>42741</v>
      </c>
      <c r="V144">
        <v>990</v>
      </c>
      <c r="W144">
        <v>990</v>
      </c>
      <c r="X144">
        <v>989.9</v>
      </c>
      <c r="Y144">
        <v>990</v>
      </c>
      <c r="Z144">
        <v>34</v>
      </c>
      <c r="AA144">
        <v>8.1466400000000001E-3</v>
      </c>
      <c r="AE144" t="s">
        <v>422</v>
      </c>
      <c r="AF144">
        <v>1129.7</v>
      </c>
      <c r="AG144">
        <v>1130</v>
      </c>
      <c r="AH144">
        <v>1129.7</v>
      </c>
      <c r="AI144">
        <v>1129.9000000000001</v>
      </c>
      <c r="AJ144">
        <v>152</v>
      </c>
      <c r="AK144">
        <v>5.9049583000000003E-2</v>
      </c>
      <c r="AO144" t="s">
        <v>421</v>
      </c>
      <c r="AP144">
        <v>1289.9000000000001</v>
      </c>
      <c r="AQ144">
        <v>1300</v>
      </c>
      <c r="AR144">
        <v>1266</v>
      </c>
      <c r="AS144">
        <v>1286.3</v>
      </c>
      <c r="AT144">
        <v>1106</v>
      </c>
      <c r="AU144">
        <v>-5.4390099999999995E-4</v>
      </c>
    </row>
    <row r="145" spans="1:47" x14ac:dyDescent="0.3">
      <c r="A145" t="s">
        <v>420</v>
      </c>
      <c r="B145">
        <v>1221</v>
      </c>
      <c r="C145">
        <v>1224.8</v>
      </c>
      <c r="D145">
        <v>1215</v>
      </c>
      <c r="E145">
        <v>1216.7</v>
      </c>
      <c r="F145">
        <v>1645</v>
      </c>
      <c r="G145" s="66">
        <v>-3.0999999999999999E-3</v>
      </c>
      <c r="K145" t="s">
        <v>419</v>
      </c>
      <c r="L145">
        <v>1264.4000000000001</v>
      </c>
      <c r="M145">
        <v>1265</v>
      </c>
      <c r="N145">
        <v>1246.5</v>
      </c>
      <c r="O145">
        <v>1255.4000000000001</v>
      </c>
      <c r="P145">
        <v>214</v>
      </c>
      <c r="Q145">
        <v>0</v>
      </c>
      <c r="U145" t="s">
        <v>418</v>
      </c>
      <c r="V145">
        <v>982.5</v>
      </c>
      <c r="W145">
        <v>985</v>
      </c>
      <c r="X145">
        <v>970.5</v>
      </c>
      <c r="Y145">
        <v>982</v>
      </c>
      <c r="Z145">
        <v>794</v>
      </c>
      <c r="AA145">
        <v>-2.0325199999999999E-3</v>
      </c>
      <c r="AE145" t="s">
        <v>417</v>
      </c>
      <c r="AF145">
        <v>1115</v>
      </c>
      <c r="AG145">
        <v>1120</v>
      </c>
      <c r="AH145">
        <v>1060</v>
      </c>
      <c r="AI145">
        <v>1066.9000000000001</v>
      </c>
      <c r="AJ145">
        <v>441</v>
      </c>
      <c r="AK145">
        <v>-3.0971843999999998E-2</v>
      </c>
      <c r="AO145" t="s">
        <v>416</v>
      </c>
      <c r="AP145">
        <v>1289</v>
      </c>
      <c r="AQ145">
        <v>1295</v>
      </c>
      <c r="AR145">
        <v>1240</v>
      </c>
      <c r="AS145">
        <v>1287</v>
      </c>
      <c r="AT145">
        <v>5610</v>
      </c>
      <c r="AU145">
        <v>-5.4095829999999999E-3</v>
      </c>
    </row>
    <row r="146" spans="1:47" x14ac:dyDescent="0.3">
      <c r="A146" t="s">
        <v>415</v>
      </c>
      <c r="B146">
        <v>1230</v>
      </c>
      <c r="C146">
        <v>1230</v>
      </c>
      <c r="D146">
        <v>1215</v>
      </c>
      <c r="E146">
        <v>1220.5</v>
      </c>
      <c r="F146">
        <v>651</v>
      </c>
      <c r="G146" s="66">
        <v>-1.6500000000000001E-2</v>
      </c>
      <c r="K146" t="s">
        <v>414</v>
      </c>
      <c r="L146">
        <v>1288</v>
      </c>
      <c r="M146">
        <v>1288</v>
      </c>
      <c r="N146">
        <v>1255</v>
      </c>
      <c r="O146">
        <v>1255.4000000000001</v>
      </c>
      <c r="P146">
        <v>579</v>
      </c>
      <c r="Q146">
        <v>-1.4677027E-2</v>
      </c>
      <c r="U146" t="s">
        <v>413</v>
      </c>
      <c r="V146">
        <v>993.8</v>
      </c>
      <c r="W146">
        <v>993.8</v>
      </c>
      <c r="X146">
        <v>983</v>
      </c>
      <c r="Y146">
        <v>984</v>
      </c>
      <c r="Z146">
        <v>93</v>
      </c>
      <c r="AA146">
        <v>-1.724663E-3</v>
      </c>
      <c r="AE146" t="s">
        <v>412</v>
      </c>
      <c r="AF146">
        <v>1101.0999999999999</v>
      </c>
      <c r="AG146">
        <v>1101.0999999999999</v>
      </c>
      <c r="AH146">
        <v>1100.7</v>
      </c>
      <c r="AI146">
        <v>1101</v>
      </c>
      <c r="AJ146">
        <v>40</v>
      </c>
      <c r="AK146">
        <v>-3.9804599999999999E-3</v>
      </c>
      <c r="AO146" t="s">
        <v>411</v>
      </c>
      <c r="AP146">
        <v>1297.8</v>
      </c>
      <c r="AQ146">
        <v>1298</v>
      </c>
      <c r="AR146">
        <v>1291.0999999999999</v>
      </c>
      <c r="AS146">
        <v>1294</v>
      </c>
      <c r="AT146">
        <v>1710</v>
      </c>
      <c r="AU146">
        <v>-2.9280320000000001E-3</v>
      </c>
    </row>
    <row r="147" spans="1:47" x14ac:dyDescent="0.3">
      <c r="A147" t="s">
        <v>410</v>
      </c>
      <c r="B147">
        <v>1240</v>
      </c>
      <c r="C147">
        <v>1250</v>
      </c>
      <c r="D147">
        <v>1240</v>
      </c>
      <c r="E147">
        <v>1241</v>
      </c>
      <c r="F147">
        <v>702</v>
      </c>
      <c r="G147" s="66">
        <v>1.41E-2</v>
      </c>
      <c r="K147" t="s">
        <v>409</v>
      </c>
      <c r="L147">
        <v>1270</v>
      </c>
      <c r="M147">
        <v>1280</v>
      </c>
      <c r="N147">
        <v>1250</v>
      </c>
      <c r="O147">
        <v>1274.0999999999999</v>
      </c>
      <c r="P147">
        <v>419</v>
      </c>
      <c r="Q147">
        <v>2.5020113E-2</v>
      </c>
      <c r="U147" t="s">
        <v>408</v>
      </c>
      <c r="V147">
        <v>1003</v>
      </c>
      <c r="W147">
        <v>1003</v>
      </c>
      <c r="X147">
        <v>985</v>
      </c>
      <c r="Y147">
        <v>985.7</v>
      </c>
      <c r="Z147">
        <v>394</v>
      </c>
      <c r="AA147">
        <v>1.320601E-3</v>
      </c>
      <c r="AE147" t="s">
        <v>407</v>
      </c>
      <c r="AF147">
        <v>1090.4000000000001</v>
      </c>
      <c r="AG147">
        <v>1105.7</v>
      </c>
      <c r="AH147">
        <v>1090.4000000000001</v>
      </c>
      <c r="AI147">
        <v>1105.4000000000001</v>
      </c>
      <c r="AJ147">
        <v>92</v>
      </c>
      <c r="AK147">
        <v>-1.1623748E-2</v>
      </c>
      <c r="AO147" t="s">
        <v>406</v>
      </c>
      <c r="AP147">
        <v>1290</v>
      </c>
      <c r="AQ147">
        <v>1300</v>
      </c>
      <c r="AR147">
        <v>1290</v>
      </c>
      <c r="AS147">
        <v>1297.8</v>
      </c>
      <c r="AT147">
        <v>787</v>
      </c>
      <c r="AU147">
        <v>5.9685299999999997E-3</v>
      </c>
    </row>
    <row r="148" spans="1:47" x14ac:dyDescent="0.3">
      <c r="A148" t="s">
        <v>405</v>
      </c>
      <c r="B148">
        <v>1237</v>
      </c>
      <c r="C148">
        <v>1240</v>
      </c>
      <c r="D148">
        <v>1196</v>
      </c>
      <c r="E148">
        <v>1223.7</v>
      </c>
      <c r="F148">
        <v>509</v>
      </c>
      <c r="G148" s="66">
        <v>-8.8000000000000005E-3</v>
      </c>
      <c r="K148" s="126">
        <v>42709</v>
      </c>
      <c r="L148">
        <v>1236.5</v>
      </c>
      <c r="M148">
        <v>1246</v>
      </c>
      <c r="N148">
        <v>1236.5</v>
      </c>
      <c r="O148">
        <v>1243</v>
      </c>
      <c r="P148">
        <v>1280</v>
      </c>
      <c r="Q148">
        <v>-1.606426E-3</v>
      </c>
      <c r="U148" t="s">
        <v>404</v>
      </c>
      <c r="V148">
        <v>983.4</v>
      </c>
      <c r="W148">
        <v>986</v>
      </c>
      <c r="X148">
        <v>983.2</v>
      </c>
      <c r="Y148">
        <v>984.4</v>
      </c>
      <c r="Z148">
        <v>340</v>
      </c>
      <c r="AA148">
        <v>-7.8613180000000008E-3</v>
      </c>
      <c r="AE148" t="s">
        <v>403</v>
      </c>
      <c r="AF148">
        <v>1125.2</v>
      </c>
      <c r="AG148">
        <v>1125.2</v>
      </c>
      <c r="AH148">
        <v>1105.0999999999999</v>
      </c>
      <c r="AI148">
        <v>1118.4000000000001</v>
      </c>
      <c r="AJ148">
        <v>93</v>
      </c>
      <c r="AK148">
        <v>-2.8323197000000001E-2</v>
      </c>
      <c r="AO148" t="s">
        <v>402</v>
      </c>
      <c r="AP148">
        <v>1292</v>
      </c>
      <c r="AQ148">
        <v>1299.9000000000001</v>
      </c>
      <c r="AR148">
        <v>1290</v>
      </c>
      <c r="AS148">
        <v>1290.0999999999999</v>
      </c>
      <c r="AT148">
        <v>2108</v>
      </c>
      <c r="AU148">
        <v>-1.934086E-3</v>
      </c>
    </row>
    <row r="149" spans="1:47" x14ac:dyDescent="0.3">
      <c r="A149" t="s">
        <v>401</v>
      </c>
      <c r="B149">
        <v>1245</v>
      </c>
      <c r="C149">
        <v>1285</v>
      </c>
      <c r="D149">
        <v>1216</v>
      </c>
      <c r="E149">
        <v>1234.5999999999999</v>
      </c>
      <c r="F149">
        <v>537</v>
      </c>
      <c r="G149" s="66">
        <v>-4.7000000000000002E-3</v>
      </c>
      <c r="K149" s="126">
        <v>42679</v>
      </c>
      <c r="L149">
        <v>1241</v>
      </c>
      <c r="M149">
        <v>1259</v>
      </c>
      <c r="N149">
        <v>1241</v>
      </c>
      <c r="O149">
        <v>1245</v>
      </c>
      <c r="P149">
        <v>128</v>
      </c>
      <c r="Q149">
        <v>-1.5237790000000001E-3</v>
      </c>
      <c r="U149" t="s">
        <v>400</v>
      </c>
      <c r="V149">
        <v>991</v>
      </c>
      <c r="W149">
        <v>999.9</v>
      </c>
      <c r="X149">
        <v>991</v>
      </c>
      <c r="Y149">
        <v>992.2</v>
      </c>
      <c r="Z149">
        <v>98</v>
      </c>
      <c r="AA149">
        <v>-6.4089730000000001E-3</v>
      </c>
      <c r="AE149" t="s">
        <v>399</v>
      </c>
      <c r="AF149">
        <v>1085</v>
      </c>
      <c r="AG149">
        <v>1170</v>
      </c>
      <c r="AH149">
        <v>1085</v>
      </c>
      <c r="AI149">
        <v>1151</v>
      </c>
      <c r="AJ149">
        <v>202</v>
      </c>
      <c r="AK149" s="127">
        <v>8.6899999999999998E-5</v>
      </c>
      <c r="AO149" t="s">
        <v>398</v>
      </c>
      <c r="AP149">
        <v>1298.9000000000001</v>
      </c>
      <c r="AQ149">
        <v>1298.9000000000001</v>
      </c>
      <c r="AR149">
        <v>1292.3</v>
      </c>
      <c r="AS149">
        <v>1292.5999999999999</v>
      </c>
      <c r="AT149">
        <v>659</v>
      </c>
      <c r="AU149">
        <v>-4.8502579999999997E-3</v>
      </c>
    </row>
    <row r="150" spans="1:47" x14ac:dyDescent="0.3">
      <c r="A150" t="s">
        <v>397</v>
      </c>
      <c r="B150">
        <v>1241</v>
      </c>
      <c r="C150">
        <v>1245</v>
      </c>
      <c r="D150">
        <v>1240</v>
      </c>
      <c r="E150">
        <v>1240.4000000000001</v>
      </c>
      <c r="F150">
        <v>1130</v>
      </c>
      <c r="G150" s="66">
        <v>1E-4</v>
      </c>
      <c r="K150" s="126">
        <v>42648</v>
      </c>
      <c r="L150">
        <v>1235.0999999999999</v>
      </c>
      <c r="M150">
        <v>1250</v>
      </c>
      <c r="N150">
        <v>1235</v>
      </c>
      <c r="O150">
        <v>1246.9000000000001</v>
      </c>
      <c r="P150">
        <v>786</v>
      </c>
      <c r="Q150">
        <v>9.9627410000000007E-3</v>
      </c>
      <c r="U150" t="s">
        <v>396</v>
      </c>
      <c r="V150">
        <v>994.9</v>
      </c>
      <c r="W150">
        <v>1004.7</v>
      </c>
      <c r="X150">
        <v>985.2</v>
      </c>
      <c r="Y150">
        <v>998.6</v>
      </c>
      <c r="Z150">
        <v>622</v>
      </c>
      <c r="AA150">
        <v>-5.7745920000000003E-3</v>
      </c>
      <c r="AE150" t="s">
        <v>395</v>
      </c>
      <c r="AF150">
        <v>1150</v>
      </c>
      <c r="AG150">
        <v>1199</v>
      </c>
      <c r="AH150">
        <v>1150</v>
      </c>
      <c r="AI150">
        <v>1150.9000000000001</v>
      </c>
      <c r="AJ150">
        <v>66</v>
      </c>
      <c r="AK150">
        <v>8.5882040000000003E-3</v>
      </c>
      <c r="AO150" t="s">
        <v>394</v>
      </c>
      <c r="AP150">
        <v>1318</v>
      </c>
      <c r="AQ150">
        <v>1340</v>
      </c>
      <c r="AR150">
        <v>1295.3</v>
      </c>
      <c r="AS150">
        <v>1298.9000000000001</v>
      </c>
      <c r="AT150">
        <v>1088</v>
      </c>
      <c r="AU150">
        <v>5.7297720000000002E-3</v>
      </c>
    </row>
    <row r="151" spans="1:47" x14ac:dyDescent="0.3">
      <c r="A151" t="s">
        <v>393</v>
      </c>
      <c r="B151">
        <v>1241.0999999999999</v>
      </c>
      <c r="C151">
        <v>1289</v>
      </c>
      <c r="D151">
        <v>1240</v>
      </c>
      <c r="E151">
        <v>1240.3</v>
      </c>
      <c r="F151">
        <v>1274</v>
      </c>
      <c r="G151" s="66">
        <v>-4.0000000000000002E-4</v>
      </c>
      <c r="K151" s="126">
        <v>42618</v>
      </c>
      <c r="L151">
        <v>1248.0999999999999</v>
      </c>
      <c r="M151">
        <v>1248.0999999999999</v>
      </c>
      <c r="N151">
        <v>1230</v>
      </c>
      <c r="O151">
        <v>1234.5999999999999</v>
      </c>
      <c r="P151">
        <v>328</v>
      </c>
      <c r="Q151">
        <v>-1.0420006000000001E-2</v>
      </c>
      <c r="U151" t="s">
        <v>392</v>
      </c>
      <c r="V151">
        <v>990</v>
      </c>
      <c r="W151">
        <v>1009</v>
      </c>
      <c r="X151">
        <v>990</v>
      </c>
      <c r="Y151">
        <v>1004.4</v>
      </c>
      <c r="Z151">
        <v>1239</v>
      </c>
      <c r="AA151">
        <v>5.506057E-3</v>
      </c>
      <c r="AE151" t="s">
        <v>391</v>
      </c>
      <c r="AF151">
        <v>1140</v>
      </c>
      <c r="AG151">
        <v>1142.0999999999999</v>
      </c>
      <c r="AH151">
        <v>1140</v>
      </c>
      <c r="AI151">
        <v>1141.0999999999999</v>
      </c>
      <c r="AJ151">
        <v>282</v>
      </c>
      <c r="AK151">
        <v>-6.1306700000000002E-4</v>
      </c>
      <c r="AO151" s="126">
        <v>43804</v>
      </c>
      <c r="AP151">
        <v>1290.4000000000001</v>
      </c>
      <c r="AQ151">
        <v>1292.0999999999999</v>
      </c>
      <c r="AR151">
        <v>1290</v>
      </c>
      <c r="AS151">
        <v>1291.5</v>
      </c>
      <c r="AT151">
        <v>1755</v>
      </c>
      <c r="AU151">
        <v>8.5244900000000002E-4</v>
      </c>
    </row>
    <row r="152" spans="1:47" x14ac:dyDescent="0.3">
      <c r="A152" t="s">
        <v>390</v>
      </c>
      <c r="B152">
        <v>1241</v>
      </c>
      <c r="C152">
        <v>1258</v>
      </c>
      <c r="D152">
        <v>1240</v>
      </c>
      <c r="E152">
        <v>1240.8</v>
      </c>
      <c r="F152">
        <v>1372</v>
      </c>
      <c r="G152" s="66">
        <v>5.9999999999999995E-4</v>
      </c>
      <c r="K152" s="126">
        <v>42587</v>
      </c>
      <c r="L152">
        <v>1258.2</v>
      </c>
      <c r="M152">
        <v>1269</v>
      </c>
      <c r="N152">
        <v>1240.0999999999999</v>
      </c>
      <c r="O152">
        <v>1247.5999999999999</v>
      </c>
      <c r="P152">
        <v>2440</v>
      </c>
      <c r="Q152">
        <v>-1.6321059999999998E-2</v>
      </c>
      <c r="U152" t="s">
        <v>389</v>
      </c>
      <c r="V152">
        <v>988</v>
      </c>
      <c r="W152">
        <v>1000</v>
      </c>
      <c r="X152">
        <v>988</v>
      </c>
      <c r="Y152">
        <v>998.9</v>
      </c>
      <c r="Z152">
        <v>1699</v>
      </c>
      <c r="AA152">
        <v>4.6263700000000003E-3</v>
      </c>
      <c r="AE152" s="126">
        <v>43378</v>
      </c>
      <c r="AF152">
        <v>1146.0999999999999</v>
      </c>
      <c r="AG152">
        <v>1146.3</v>
      </c>
      <c r="AH152">
        <v>1140</v>
      </c>
      <c r="AI152">
        <v>1141.8</v>
      </c>
      <c r="AJ152">
        <v>182</v>
      </c>
      <c r="AK152">
        <v>-4.3599579999999997E-3</v>
      </c>
      <c r="AO152" s="126">
        <v>43713</v>
      </c>
      <c r="AP152">
        <v>1286.0999999999999</v>
      </c>
      <c r="AQ152">
        <v>1295</v>
      </c>
      <c r="AR152">
        <v>1286.0999999999999</v>
      </c>
      <c r="AS152">
        <v>1290.4000000000001</v>
      </c>
      <c r="AT152">
        <v>3632</v>
      </c>
      <c r="AU152">
        <v>1.008456E-3</v>
      </c>
    </row>
    <row r="153" spans="1:47" x14ac:dyDescent="0.3">
      <c r="A153" t="s">
        <v>388</v>
      </c>
      <c r="B153">
        <v>1240</v>
      </c>
      <c r="C153">
        <v>1241.5</v>
      </c>
      <c r="D153">
        <v>1240</v>
      </c>
      <c r="E153">
        <v>1240</v>
      </c>
      <c r="F153">
        <v>2592</v>
      </c>
      <c r="G153" s="66">
        <v>5.8999999999999999E-3</v>
      </c>
      <c r="K153" s="126">
        <v>42495</v>
      </c>
      <c r="L153">
        <v>1265.2</v>
      </c>
      <c r="M153">
        <v>1279</v>
      </c>
      <c r="N153">
        <v>1265.2</v>
      </c>
      <c r="O153">
        <v>1268.3</v>
      </c>
      <c r="P153">
        <v>486</v>
      </c>
      <c r="Q153">
        <v>1.500316E-3</v>
      </c>
      <c r="U153" t="s">
        <v>387</v>
      </c>
      <c r="V153">
        <v>990.7</v>
      </c>
      <c r="W153">
        <v>1003</v>
      </c>
      <c r="X153">
        <v>990.7</v>
      </c>
      <c r="Y153">
        <v>994.3</v>
      </c>
      <c r="Z153">
        <v>682</v>
      </c>
      <c r="AA153">
        <v>-3.4078379999999998E-3</v>
      </c>
      <c r="AE153" s="126">
        <v>43348</v>
      </c>
      <c r="AF153">
        <v>1141.3</v>
      </c>
      <c r="AG153">
        <v>1150</v>
      </c>
      <c r="AH153">
        <v>1141.3</v>
      </c>
      <c r="AI153">
        <v>1146.8</v>
      </c>
      <c r="AJ153">
        <v>23</v>
      </c>
      <c r="AK153">
        <v>5.9649120000000002E-3</v>
      </c>
      <c r="AO153" s="126">
        <v>43682</v>
      </c>
      <c r="AP153">
        <v>1291.0999999999999</v>
      </c>
      <c r="AQ153">
        <v>1305</v>
      </c>
      <c r="AR153">
        <v>1285</v>
      </c>
      <c r="AS153">
        <v>1289.0999999999999</v>
      </c>
      <c r="AT153">
        <v>3677</v>
      </c>
      <c r="AU153">
        <v>-9.4513600000000007E-3</v>
      </c>
    </row>
    <row r="154" spans="1:47" x14ac:dyDescent="0.3">
      <c r="A154" t="s">
        <v>386</v>
      </c>
      <c r="B154">
        <v>1238.5</v>
      </c>
      <c r="C154">
        <v>1238.5</v>
      </c>
      <c r="D154">
        <v>1216</v>
      </c>
      <c r="E154">
        <v>1232.7</v>
      </c>
      <c r="F154">
        <v>300</v>
      </c>
      <c r="G154" s="66">
        <v>-2.5499999999999998E-2</v>
      </c>
      <c r="K154" s="126">
        <v>42465</v>
      </c>
      <c r="L154">
        <v>1229</v>
      </c>
      <c r="M154">
        <v>1280</v>
      </c>
      <c r="N154">
        <v>1225</v>
      </c>
      <c r="O154">
        <v>1266.4000000000001</v>
      </c>
      <c r="P154">
        <v>1801</v>
      </c>
      <c r="Q154">
        <v>4.4970706999999999E-2</v>
      </c>
      <c r="U154" t="s">
        <v>385</v>
      </c>
      <c r="V154">
        <v>990.6</v>
      </c>
      <c r="W154">
        <v>1000</v>
      </c>
      <c r="X154">
        <v>990.5</v>
      </c>
      <c r="Y154">
        <v>997.7</v>
      </c>
      <c r="Z154">
        <v>964</v>
      </c>
      <c r="AA154">
        <v>7.8795840000000002E-3</v>
      </c>
      <c r="AE154" s="126">
        <v>43317</v>
      </c>
      <c r="AF154">
        <v>1140</v>
      </c>
      <c r="AG154">
        <v>1140</v>
      </c>
      <c r="AH154">
        <v>1140</v>
      </c>
      <c r="AI154">
        <v>1140</v>
      </c>
      <c r="AJ154">
        <v>161</v>
      </c>
      <c r="AK154">
        <v>5.8231869999999996E-3</v>
      </c>
      <c r="AO154" s="126">
        <v>43651</v>
      </c>
      <c r="AP154">
        <v>1300</v>
      </c>
      <c r="AQ154">
        <v>1320</v>
      </c>
      <c r="AR154">
        <v>1292</v>
      </c>
      <c r="AS154">
        <v>1301.4000000000001</v>
      </c>
      <c r="AT154">
        <v>2744</v>
      </c>
      <c r="AU154">
        <v>4.0117269999999997E-3</v>
      </c>
    </row>
    <row r="155" spans="1:47" x14ac:dyDescent="0.3">
      <c r="A155" t="s">
        <v>384</v>
      </c>
      <c r="B155">
        <v>1260</v>
      </c>
      <c r="C155">
        <v>1290</v>
      </c>
      <c r="D155">
        <v>1230</v>
      </c>
      <c r="E155">
        <v>1265</v>
      </c>
      <c r="F155">
        <v>8017</v>
      </c>
      <c r="G155" s="66">
        <v>-1.5E-3</v>
      </c>
      <c r="K155" s="126">
        <v>42434</v>
      </c>
      <c r="L155">
        <v>1227</v>
      </c>
      <c r="M155">
        <v>1227</v>
      </c>
      <c r="N155">
        <v>1210</v>
      </c>
      <c r="O155">
        <v>1211.9000000000001</v>
      </c>
      <c r="P155">
        <v>638</v>
      </c>
      <c r="Q155">
        <v>1.7462848999999999E-2</v>
      </c>
      <c r="U155" t="s">
        <v>383</v>
      </c>
      <c r="V155">
        <v>989</v>
      </c>
      <c r="W155">
        <v>1001</v>
      </c>
      <c r="X155">
        <v>988.5</v>
      </c>
      <c r="Y155">
        <v>989.9</v>
      </c>
      <c r="Z155">
        <v>543</v>
      </c>
      <c r="AA155">
        <v>-1.1483923E-2</v>
      </c>
      <c r="AE155" s="126">
        <v>43286</v>
      </c>
      <c r="AF155">
        <v>1133</v>
      </c>
      <c r="AG155">
        <v>1135.0999999999999</v>
      </c>
      <c r="AH155">
        <v>1133</v>
      </c>
      <c r="AI155">
        <v>1133.4000000000001</v>
      </c>
      <c r="AJ155">
        <v>1157</v>
      </c>
      <c r="AK155">
        <v>8.8307999999999995E-4</v>
      </c>
      <c r="AO155" s="126">
        <v>43621</v>
      </c>
      <c r="AP155">
        <v>1290</v>
      </c>
      <c r="AQ155">
        <v>1300</v>
      </c>
      <c r="AR155">
        <v>1290</v>
      </c>
      <c r="AS155">
        <v>1296.2</v>
      </c>
      <c r="AT155">
        <v>6652</v>
      </c>
      <c r="AU155">
        <v>-6.1680800000000005E-4</v>
      </c>
    </row>
    <row r="156" spans="1:47" x14ac:dyDescent="0.3">
      <c r="A156" t="s">
        <v>382</v>
      </c>
      <c r="B156">
        <v>1265</v>
      </c>
      <c r="C156">
        <v>1269</v>
      </c>
      <c r="D156">
        <v>1215</v>
      </c>
      <c r="E156">
        <v>1266.9000000000001</v>
      </c>
      <c r="F156">
        <v>5197</v>
      </c>
      <c r="G156" s="66">
        <v>5.28E-2</v>
      </c>
      <c r="K156" s="126">
        <v>42405</v>
      </c>
      <c r="L156">
        <v>1184</v>
      </c>
      <c r="M156">
        <v>1205</v>
      </c>
      <c r="N156">
        <v>1184</v>
      </c>
      <c r="O156">
        <v>1191.0999999999999</v>
      </c>
      <c r="P156">
        <v>380</v>
      </c>
      <c r="Q156">
        <v>-4.6795350000000003E-3</v>
      </c>
      <c r="U156" t="s">
        <v>381</v>
      </c>
      <c r="V156">
        <v>985.3</v>
      </c>
      <c r="W156">
        <v>1005</v>
      </c>
      <c r="X156">
        <v>985.3</v>
      </c>
      <c r="Y156">
        <v>1001.4</v>
      </c>
      <c r="Z156">
        <v>4356</v>
      </c>
      <c r="AA156">
        <v>7.9516859999999995E-3</v>
      </c>
      <c r="AE156" s="126">
        <v>43256</v>
      </c>
      <c r="AF156">
        <v>1150</v>
      </c>
      <c r="AG156">
        <v>1170</v>
      </c>
      <c r="AH156">
        <v>1126</v>
      </c>
      <c r="AI156">
        <v>1132.4000000000001</v>
      </c>
      <c r="AJ156">
        <v>517</v>
      </c>
      <c r="AK156">
        <v>-2.202837E-3</v>
      </c>
      <c r="AO156" s="126">
        <v>43590</v>
      </c>
      <c r="AP156">
        <v>1276.2</v>
      </c>
      <c r="AQ156">
        <v>1302</v>
      </c>
      <c r="AR156">
        <v>1276.0999999999999</v>
      </c>
      <c r="AS156">
        <v>1297</v>
      </c>
      <c r="AT156">
        <v>8809</v>
      </c>
      <c r="AU156">
        <v>1.0518115E-2</v>
      </c>
    </row>
    <row r="157" spans="1:47" x14ac:dyDescent="0.3">
      <c r="A157" s="126">
        <v>42343</v>
      </c>
      <c r="B157">
        <v>1200</v>
      </c>
      <c r="C157">
        <v>1216</v>
      </c>
      <c r="D157">
        <v>1196</v>
      </c>
      <c r="E157">
        <v>1203.4000000000001</v>
      </c>
      <c r="F157">
        <v>1751</v>
      </c>
      <c r="G157" s="66">
        <v>7.1000000000000004E-3</v>
      </c>
      <c r="K157" t="s">
        <v>380</v>
      </c>
      <c r="L157">
        <v>1195</v>
      </c>
      <c r="M157">
        <v>1199</v>
      </c>
      <c r="N157">
        <v>1193</v>
      </c>
      <c r="O157">
        <v>1196.7</v>
      </c>
      <c r="P157">
        <v>617</v>
      </c>
      <c r="Q157">
        <v>3.0173499999999998E-3</v>
      </c>
      <c r="U157" t="s">
        <v>379</v>
      </c>
      <c r="V157">
        <v>980.2</v>
      </c>
      <c r="W157">
        <v>995</v>
      </c>
      <c r="X157">
        <v>976</v>
      </c>
      <c r="Y157">
        <v>993.5</v>
      </c>
      <c r="Z157">
        <v>1205</v>
      </c>
      <c r="AA157">
        <v>3.4339969999999998E-3</v>
      </c>
      <c r="AE157" s="126">
        <v>43164</v>
      </c>
      <c r="AF157">
        <v>1150</v>
      </c>
      <c r="AG157">
        <v>1155.4000000000001</v>
      </c>
      <c r="AH157">
        <v>1127</v>
      </c>
      <c r="AI157">
        <v>1134.9000000000001</v>
      </c>
      <c r="AJ157">
        <v>612</v>
      </c>
      <c r="AK157">
        <v>-2.5836910000000001E-2</v>
      </c>
      <c r="AO157" s="126">
        <v>43501</v>
      </c>
      <c r="AP157">
        <v>1266</v>
      </c>
      <c r="AQ157">
        <v>1334.9</v>
      </c>
      <c r="AR157">
        <v>1266</v>
      </c>
      <c r="AS157">
        <v>1283.5</v>
      </c>
      <c r="AT157">
        <v>14199</v>
      </c>
      <c r="AU157">
        <v>-1.1856185999999999E-2</v>
      </c>
    </row>
    <row r="158" spans="1:47" x14ac:dyDescent="0.3">
      <c r="A158" s="126">
        <v>42313</v>
      </c>
      <c r="B158">
        <v>1183</v>
      </c>
      <c r="C158">
        <v>1241</v>
      </c>
      <c r="D158">
        <v>1183</v>
      </c>
      <c r="E158">
        <v>1194.9000000000001</v>
      </c>
      <c r="F158">
        <v>2257</v>
      </c>
      <c r="G158" s="66">
        <v>9.7000000000000003E-3</v>
      </c>
      <c r="K158" t="s">
        <v>378</v>
      </c>
      <c r="L158">
        <v>1200</v>
      </c>
      <c r="M158">
        <v>1210</v>
      </c>
      <c r="N158">
        <v>1173</v>
      </c>
      <c r="O158">
        <v>1193.0999999999999</v>
      </c>
      <c r="P158">
        <v>470</v>
      </c>
      <c r="Q158">
        <v>-1.4943857E-2</v>
      </c>
      <c r="U158" t="s">
        <v>377</v>
      </c>
      <c r="V158">
        <v>980</v>
      </c>
      <c r="W158">
        <v>995</v>
      </c>
      <c r="X158">
        <v>980</v>
      </c>
      <c r="Y158">
        <v>990.1</v>
      </c>
      <c r="Z158">
        <v>803</v>
      </c>
      <c r="AA158">
        <v>-1.4120020000000001E-3</v>
      </c>
      <c r="AE158" t="s">
        <v>376</v>
      </c>
      <c r="AF158">
        <v>1210</v>
      </c>
      <c r="AG158">
        <v>1210</v>
      </c>
      <c r="AH158">
        <v>1160</v>
      </c>
      <c r="AI158">
        <v>1165</v>
      </c>
      <c r="AJ158">
        <v>310</v>
      </c>
      <c r="AK158">
        <v>-6.0332311999999999E-2</v>
      </c>
      <c r="AO158" t="s">
        <v>375</v>
      </c>
      <c r="AP158">
        <v>1334</v>
      </c>
      <c r="AQ158">
        <v>1334</v>
      </c>
      <c r="AR158">
        <v>1200</v>
      </c>
      <c r="AS158">
        <v>1298.9000000000001</v>
      </c>
      <c r="AT158">
        <v>21914</v>
      </c>
      <c r="AU158">
        <v>-4.1614403000000001E-2</v>
      </c>
    </row>
    <row r="159" spans="1:47" x14ac:dyDescent="0.3">
      <c r="A159" s="126">
        <v>42282</v>
      </c>
      <c r="B159">
        <v>1177</v>
      </c>
      <c r="C159">
        <v>1195</v>
      </c>
      <c r="D159">
        <v>1177</v>
      </c>
      <c r="E159">
        <v>1183.4000000000001</v>
      </c>
      <c r="F159">
        <v>1939</v>
      </c>
      <c r="G159" s="66">
        <v>-1.83E-2</v>
      </c>
      <c r="K159" t="s">
        <v>374</v>
      </c>
      <c r="L159">
        <v>1220</v>
      </c>
      <c r="M159">
        <v>1240</v>
      </c>
      <c r="N159">
        <v>1202</v>
      </c>
      <c r="O159">
        <v>1211.2</v>
      </c>
      <c r="P159">
        <v>1361</v>
      </c>
      <c r="Q159">
        <v>-3.9263900999999997E-2</v>
      </c>
      <c r="U159" s="126">
        <v>43044</v>
      </c>
      <c r="V159">
        <v>985.5</v>
      </c>
      <c r="W159">
        <v>994.8</v>
      </c>
      <c r="X159">
        <v>985.5</v>
      </c>
      <c r="Y159">
        <v>991.5</v>
      </c>
      <c r="Z159">
        <v>1724</v>
      </c>
      <c r="AA159">
        <v>0</v>
      </c>
      <c r="AE159" t="s">
        <v>373</v>
      </c>
      <c r="AF159">
        <v>1200</v>
      </c>
      <c r="AG159">
        <v>1243.7</v>
      </c>
      <c r="AH159">
        <v>1185</v>
      </c>
      <c r="AI159">
        <v>1239.8</v>
      </c>
      <c r="AJ159">
        <v>16658</v>
      </c>
      <c r="AK159">
        <v>2.8452924000000001E-2</v>
      </c>
      <c r="AO159" t="s">
        <v>372</v>
      </c>
      <c r="AP159">
        <v>1282</v>
      </c>
      <c r="AQ159">
        <v>1375</v>
      </c>
      <c r="AR159">
        <v>1280</v>
      </c>
      <c r="AS159">
        <v>1355.3</v>
      </c>
      <c r="AT159">
        <v>11546</v>
      </c>
      <c r="AU159">
        <v>5.2006520000000001E-2</v>
      </c>
    </row>
    <row r="160" spans="1:47" x14ac:dyDescent="0.3">
      <c r="A160" s="126">
        <v>42190</v>
      </c>
      <c r="B160">
        <v>1167</v>
      </c>
      <c r="C160">
        <v>1210</v>
      </c>
      <c r="D160">
        <v>1165</v>
      </c>
      <c r="E160">
        <v>1205.5</v>
      </c>
      <c r="F160">
        <v>1463</v>
      </c>
      <c r="G160" s="66">
        <v>3.3399999999999999E-2</v>
      </c>
      <c r="K160" t="s">
        <v>371</v>
      </c>
      <c r="L160">
        <v>1261.0999999999999</v>
      </c>
      <c r="M160">
        <v>1274</v>
      </c>
      <c r="N160">
        <v>1250.3</v>
      </c>
      <c r="O160">
        <v>1260.7</v>
      </c>
      <c r="P160">
        <v>489</v>
      </c>
      <c r="Q160">
        <v>-2.5056067000000001E-2</v>
      </c>
      <c r="U160" s="126">
        <v>42983</v>
      </c>
      <c r="V160">
        <v>991</v>
      </c>
      <c r="W160">
        <v>997.9</v>
      </c>
      <c r="X160">
        <v>981.1</v>
      </c>
      <c r="Y160">
        <v>991.5</v>
      </c>
      <c r="Z160">
        <v>2389</v>
      </c>
      <c r="AA160">
        <v>3.6440940000000001E-3</v>
      </c>
      <c r="AE160" t="s">
        <v>370</v>
      </c>
      <c r="AF160">
        <v>1178.9000000000001</v>
      </c>
      <c r="AG160">
        <v>1210</v>
      </c>
      <c r="AH160">
        <v>1178.9000000000001</v>
      </c>
      <c r="AI160">
        <v>1205.5</v>
      </c>
      <c r="AJ160">
        <v>6639</v>
      </c>
      <c r="AK160">
        <v>2.3257788000000001E-2</v>
      </c>
      <c r="AO160" t="s">
        <v>369</v>
      </c>
      <c r="AP160">
        <v>1282</v>
      </c>
      <c r="AQ160">
        <v>1308.9000000000001</v>
      </c>
      <c r="AR160">
        <v>1282</v>
      </c>
      <c r="AS160">
        <v>1288.3</v>
      </c>
      <c r="AT160">
        <v>4748</v>
      </c>
      <c r="AU160">
        <v>1.409005E-2</v>
      </c>
    </row>
    <row r="161" spans="1:47" x14ac:dyDescent="0.3">
      <c r="A161" s="126">
        <v>42160</v>
      </c>
      <c r="B161">
        <v>1157</v>
      </c>
      <c r="C161">
        <v>1182.9000000000001</v>
      </c>
      <c r="D161">
        <v>1145</v>
      </c>
      <c r="E161">
        <v>1166.5</v>
      </c>
      <c r="F161">
        <v>2571</v>
      </c>
      <c r="G161" s="66">
        <v>2.23E-2</v>
      </c>
      <c r="K161" t="s">
        <v>368</v>
      </c>
      <c r="L161">
        <v>1269</v>
      </c>
      <c r="M161">
        <v>1314</v>
      </c>
      <c r="N161">
        <v>1269</v>
      </c>
      <c r="O161">
        <v>1293.0999999999999</v>
      </c>
      <c r="P161">
        <v>1166</v>
      </c>
      <c r="Q161">
        <v>2.8146616999999999E-2</v>
      </c>
      <c r="U161" s="126">
        <v>42952</v>
      </c>
      <c r="V161">
        <v>989</v>
      </c>
      <c r="W161">
        <v>990</v>
      </c>
      <c r="X161">
        <v>982</v>
      </c>
      <c r="Y161">
        <v>987.9</v>
      </c>
      <c r="Z161">
        <v>355</v>
      </c>
      <c r="AA161">
        <v>-2.0240899999999999E-4</v>
      </c>
      <c r="AE161" t="s">
        <v>367</v>
      </c>
      <c r="AF161">
        <v>1152</v>
      </c>
      <c r="AG161">
        <v>1181.2</v>
      </c>
      <c r="AH161">
        <v>1150</v>
      </c>
      <c r="AI161">
        <v>1178.0999999999999</v>
      </c>
      <c r="AJ161">
        <v>772</v>
      </c>
      <c r="AK161">
        <v>2.3366920999999999E-2</v>
      </c>
      <c r="AO161" t="s">
        <v>366</v>
      </c>
      <c r="AP161">
        <v>1285</v>
      </c>
      <c r="AQ161">
        <v>1285</v>
      </c>
      <c r="AR161">
        <v>1270</v>
      </c>
      <c r="AS161">
        <v>1270.4000000000001</v>
      </c>
      <c r="AT161">
        <v>5079</v>
      </c>
      <c r="AU161">
        <v>-2.1208070000000002E-3</v>
      </c>
    </row>
    <row r="162" spans="1:47" x14ac:dyDescent="0.3">
      <c r="A162" s="126">
        <v>42129</v>
      </c>
      <c r="B162">
        <v>1142.0999999999999</v>
      </c>
      <c r="C162">
        <v>1160.9000000000001</v>
      </c>
      <c r="D162">
        <v>1129</v>
      </c>
      <c r="E162">
        <v>1141</v>
      </c>
      <c r="F162">
        <v>2868</v>
      </c>
      <c r="G162" s="66">
        <v>1.5E-3</v>
      </c>
      <c r="K162" t="s">
        <v>365</v>
      </c>
      <c r="L162">
        <v>1222.0999999999999</v>
      </c>
      <c r="M162">
        <v>1267</v>
      </c>
      <c r="N162">
        <v>1222</v>
      </c>
      <c r="O162">
        <v>1257.7</v>
      </c>
      <c r="P162">
        <v>840</v>
      </c>
      <c r="Q162">
        <v>4.1516970000000002E-3</v>
      </c>
      <c r="U162" s="126">
        <v>42921</v>
      </c>
      <c r="V162">
        <v>977.4</v>
      </c>
      <c r="W162">
        <v>994</v>
      </c>
      <c r="X162">
        <v>977.4</v>
      </c>
      <c r="Y162">
        <v>988.1</v>
      </c>
      <c r="Z162">
        <v>2554</v>
      </c>
      <c r="AA162">
        <v>2.6382549999999999E-3</v>
      </c>
      <c r="AE162" t="s">
        <v>364</v>
      </c>
      <c r="AF162">
        <v>1150</v>
      </c>
      <c r="AG162">
        <v>1155</v>
      </c>
      <c r="AH162">
        <v>1142.0999999999999</v>
      </c>
      <c r="AI162">
        <v>1151.2</v>
      </c>
      <c r="AJ162">
        <v>398</v>
      </c>
      <c r="AK162">
        <v>1.4720141000000001E-2</v>
      </c>
      <c r="AO162" t="s">
        <v>363</v>
      </c>
      <c r="AP162">
        <v>1240</v>
      </c>
      <c r="AQ162">
        <v>1289</v>
      </c>
      <c r="AR162">
        <v>1240</v>
      </c>
      <c r="AS162">
        <v>1273.0999999999999</v>
      </c>
      <c r="AT162">
        <v>16128</v>
      </c>
      <c r="AU162">
        <v>2.1995665000000001E-2</v>
      </c>
    </row>
    <row r="163" spans="1:47" x14ac:dyDescent="0.3">
      <c r="A163" s="126">
        <v>42099</v>
      </c>
      <c r="B163">
        <v>1090</v>
      </c>
      <c r="C163">
        <v>1149.8</v>
      </c>
      <c r="D163">
        <v>1085.0999999999999</v>
      </c>
      <c r="E163">
        <v>1139.3</v>
      </c>
      <c r="F163">
        <v>772</v>
      </c>
      <c r="G163" s="66">
        <v>2.0899999999999998E-2</v>
      </c>
      <c r="K163" t="s">
        <v>362</v>
      </c>
      <c r="L163">
        <v>1249</v>
      </c>
      <c r="M163">
        <v>1269</v>
      </c>
      <c r="N163">
        <v>1220</v>
      </c>
      <c r="O163">
        <v>1252.5</v>
      </c>
      <c r="P163">
        <v>398</v>
      </c>
      <c r="Q163">
        <v>2.6134688E-2</v>
      </c>
      <c r="U163" s="126">
        <v>42830</v>
      </c>
      <c r="V163">
        <v>990</v>
      </c>
      <c r="W163">
        <v>991.9</v>
      </c>
      <c r="X163">
        <v>975</v>
      </c>
      <c r="Y163">
        <v>985.5</v>
      </c>
      <c r="Z163">
        <v>2378</v>
      </c>
      <c r="AA163">
        <v>-3.1357479999999998E-3</v>
      </c>
      <c r="AE163" t="s">
        <v>361</v>
      </c>
      <c r="AF163">
        <v>1173.9000000000001</v>
      </c>
      <c r="AG163">
        <v>1173.9000000000001</v>
      </c>
      <c r="AH163">
        <v>1132</v>
      </c>
      <c r="AI163">
        <v>1134.5</v>
      </c>
      <c r="AJ163">
        <v>572</v>
      </c>
      <c r="AK163">
        <v>-3.0507606E-2</v>
      </c>
      <c r="AO163" t="s">
        <v>360</v>
      </c>
      <c r="AP163">
        <v>1254</v>
      </c>
      <c r="AQ163">
        <v>1280</v>
      </c>
      <c r="AR163">
        <v>1240</v>
      </c>
      <c r="AS163">
        <v>1245.7</v>
      </c>
      <c r="AT163">
        <v>7959</v>
      </c>
      <c r="AU163">
        <v>2.1721639999999999E-3</v>
      </c>
    </row>
    <row r="164" spans="1:47" x14ac:dyDescent="0.3">
      <c r="A164" t="s">
        <v>359</v>
      </c>
      <c r="B164">
        <v>1078.2</v>
      </c>
      <c r="C164">
        <v>1164.9000000000001</v>
      </c>
      <c r="D164">
        <v>1078.2</v>
      </c>
      <c r="E164">
        <v>1116</v>
      </c>
      <c r="F164">
        <v>2057</v>
      </c>
      <c r="G164" s="66">
        <v>1.72E-2</v>
      </c>
      <c r="K164" t="s">
        <v>358</v>
      </c>
      <c r="L164">
        <v>1221</v>
      </c>
      <c r="M164">
        <v>1228</v>
      </c>
      <c r="N164">
        <v>1220</v>
      </c>
      <c r="O164">
        <v>1220.5999999999999</v>
      </c>
      <c r="P164">
        <v>812</v>
      </c>
      <c r="Q164">
        <v>1.581225E-2</v>
      </c>
      <c r="U164" s="126">
        <v>42799</v>
      </c>
      <c r="V164">
        <v>989</v>
      </c>
      <c r="W164">
        <v>990</v>
      </c>
      <c r="X164">
        <v>980.1</v>
      </c>
      <c r="Y164">
        <v>988.6</v>
      </c>
      <c r="Z164">
        <v>473</v>
      </c>
      <c r="AA164">
        <v>3.145611E-3</v>
      </c>
      <c r="AE164" t="s">
        <v>357</v>
      </c>
      <c r="AF164">
        <v>1165</v>
      </c>
      <c r="AG164">
        <v>1173</v>
      </c>
      <c r="AH164">
        <v>1165</v>
      </c>
      <c r="AI164">
        <v>1170.2</v>
      </c>
      <c r="AJ164">
        <v>2652</v>
      </c>
      <c r="AK164">
        <v>2.6491227999999999E-2</v>
      </c>
      <c r="AO164" t="s">
        <v>356</v>
      </c>
      <c r="AP164">
        <v>1255.2</v>
      </c>
      <c r="AQ164">
        <v>1267</v>
      </c>
      <c r="AR164">
        <v>1240</v>
      </c>
      <c r="AS164">
        <v>1243</v>
      </c>
      <c r="AT164">
        <v>11893</v>
      </c>
      <c r="AU164">
        <v>-1.4586966999999999E-2</v>
      </c>
    </row>
    <row r="165" spans="1:47" x14ac:dyDescent="0.3">
      <c r="A165" t="s">
        <v>355</v>
      </c>
      <c r="B165">
        <v>1059.0999999999999</v>
      </c>
      <c r="C165">
        <v>1125</v>
      </c>
      <c r="D165">
        <v>1059.0999999999999</v>
      </c>
      <c r="E165">
        <v>1097.0999999999999</v>
      </c>
      <c r="F165">
        <v>1131</v>
      </c>
      <c r="G165" s="66">
        <v>-2.7000000000000001E-3</v>
      </c>
      <c r="K165" t="s">
        <v>354</v>
      </c>
      <c r="L165">
        <v>1202.5</v>
      </c>
      <c r="M165">
        <v>1205</v>
      </c>
      <c r="N165">
        <v>1200.7</v>
      </c>
      <c r="O165">
        <v>1201.5999999999999</v>
      </c>
      <c r="P165">
        <v>185</v>
      </c>
      <c r="Q165">
        <v>-9.3165139999999997E-3</v>
      </c>
      <c r="U165" s="126">
        <v>42771</v>
      </c>
      <c r="V165">
        <v>990</v>
      </c>
      <c r="W165">
        <v>993</v>
      </c>
      <c r="X165">
        <v>975</v>
      </c>
      <c r="Y165">
        <v>985.5</v>
      </c>
      <c r="Z165">
        <v>2070</v>
      </c>
      <c r="AA165">
        <v>9.6301609999999999E-3</v>
      </c>
      <c r="AE165" t="s">
        <v>353</v>
      </c>
      <c r="AF165">
        <v>1140.0999999999999</v>
      </c>
      <c r="AG165">
        <v>1149.8</v>
      </c>
      <c r="AH165">
        <v>1137</v>
      </c>
      <c r="AI165">
        <v>1140</v>
      </c>
      <c r="AJ165">
        <v>332</v>
      </c>
      <c r="AK165">
        <v>-1.9261079999999999E-3</v>
      </c>
      <c r="AO165" t="s">
        <v>352</v>
      </c>
      <c r="AP165">
        <v>1270</v>
      </c>
      <c r="AQ165">
        <v>1270</v>
      </c>
      <c r="AR165">
        <v>1250</v>
      </c>
      <c r="AS165">
        <v>1261.4000000000001</v>
      </c>
      <c r="AT165">
        <v>5209</v>
      </c>
      <c r="AU165">
        <v>8.3133489999999994E-3</v>
      </c>
    </row>
    <row r="166" spans="1:47" x14ac:dyDescent="0.3">
      <c r="A166" t="s">
        <v>351</v>
      </c>
      <c r="B166">
        <v>1098.0999999999999</v>
      </c>
      <c r="C166">
        <v>1105.2</v>
      </c>
      <c r="D166">
        <v>1095</v>
      </c>
      <c r="E166">
        <v>1100.0999999999999</v>
      </c>
      <c r="F166">
        <v>2144</v>
      </c>
      <c r="G166" s="66">
        <v>-3.6600000000000001E-2</v>
      </c>
      <c r="K166" t="s">
        <v>350</v>
      </c>
      <c r="L166">
        <v>1215</v>
      </c>
      <c r="M166">
        <v>1215</v>
      </c>
      <c r="N166">
        <v>1190</v>
      </c>
      <c r="O166">
        <v>1212.9000000000001</v>
      </c>
      <c r="P166">
        <v>2284</v>
      </c>
      <c r="Q166">
        <v>3.6408769999999998E-3</v>
      </c>
      <c r="U166" t="s">
        <v>349</v>
      </c>
      <c r="V166">
        <v>991.9</v>
      </c>
      <c r="W166">
        <v>992</v>
      </c>
      <c r="X166">
        <v>975</v>
      </c>
      <c r="Y166">
        <v>976.1</v>
      </c>
      <c r="Z166">
        <v>1867</v>
      </c>
      <c r="AA166">
        <v>-1.5532021999999999E-2</v>
      </c>
      <c r="AE166" t="s">
        <v>348</v>
      </c>
      <c r="AF166">
        <v>1151</v>
      </c>
      <c r="AG166">
        <v>1151</v>
      </c>
      <c r="AH166">
        <v>1140</v>
      </c>
      <c r="AI166">
        <v>1142.2</v>
      </c>
      <c r="AJ166">
        <v>96</v>
      </c>
      <c r="AK166">
        <v>-4.618736E-3</v>
      </c>
      <c r="AO166" t="s">
        <v>347</v>
      </c>
      <c r="AP166">
        <v>1255</v>
      </c>
      <c r="AQ166">
        <v>1268.9000000000001</v>
      </c>
      <c r="AR166">
        <v>1231</v>
      </c>
      <c r="AS166">
        <v>1251</v>
      </c>
      <c r="AT166">
        <v>11770</v>
      </c>
      <c r="AU166">
        <v>2.5645139999999999E-3</v>
      </c>
    </row>
    <row r="167" spans="1:47" x14ac:dyDescent="0.3">
      <c r="A167" t="s">
        <v>346</v>
      </c>
      <c r="B167">
        <v>1166.2</v>
      </c>
      <c r="C167">
        <v>1180.2</v>
      </c>
      <c r="D167">
        <v>1135</v>
      </c>
      <c r="E167">
        <v>1141.9000000000001</v>
      </c>
      <c r="F167">
        <v>2435</v>
      </c>
      <c r="G167" s="66">
        <v>-5.3100000000000001E-2</v>
      </c>
      <c r="K167" t="s">
        <v>345</v>
      </c>
      <c r="L167">
        <v>1211</v>
      </c>
      <c r="M167">
        <v>1213</v>
      </c>
      <c r="N167">
        <v>1205.0999999999999</v>
      </c>
      <c r="O167">
        <v>1208.5</v>
      </c>
      <c r="P167">
        <v>457</v>
      </c>
      <c r="Q167">
        <v>-4.1203129999999996E-3</v>
      </c>
      <c r="U167" t="s">
        <v>344</v>
      </c>
      <c r="V167">
        <v>985.1</v>
      </c>
      <c r="W167">
        <v>994.8</v>
      </c>
      <c r="X167">
        <v>985</v>
      </c>
      <c r="Y167">
        <v>991.5</v>
      </c>
      <c r="Z167">
        <v>1622</v>
      </c>
      <c r="AA167">
        <v>1.1106620000000001E-3</v>
      </c>
      <c r="AE167" t="s">
        <v>343</v>
      </c>
      <c r="AF167">
        <v>1150</v>
      </c>
      <c r="AG167">
        <v>1156</v>
      </c>
      <c r="AH167">
        <v>1143</v>
      </c>
      <c r="AI167">
        <v>1147.5</v>
      </c>
      <c r="AJ167">
        <v>2147</v>
      </c>
      <c r="AK167">
        <v>-5.2260299999999996E-4</v>
      </c>
      <c r="AO167" t="s">
        <v>342</v>
      </c>
      <c r="AP167">
        <v>1308.9000000000001</v>
      </c>
      <c r="AQ167">
        <v>1308.9000000000001</v>
      </c>
      <c r="AR167">
        <v>1240</v>
      </c>
      <c r="AS167">
        <v>1247.8</v>
      </c>
      <c r="AT167">
        <v>5584</v>
      </c>
      <c r="AU167">
        <v>-2.3477853E-2</v>
      </c>
    </row>
    <row r="168" spans="1:47" x14ac:dyDescent="0.3">
      <c r="A168" t="s">
        <v>341</v>
      </c>
      <c r="B168">
        <v>1265</v>
      </c>
      <c r="C168">
        <v>1265</v>
      </c>
      <c r="D168">
        <v>1180</v>
      </c>
      <c r="E168">
        <v>1205.9000000000001</v>
      </c>
      <c r="F168">
        <v>11186</v>
      </c>
      <c r="G168" s="66">
        <v>-3.9699999999999999E-2</v>
      </c>
      <c r="K168" s="126">
        <v>42708</v>
      </c>
      <c r="L168">
        <v>1220</v>
      </c>
      <c r="M168">
        <v>1227.9000000000001</v>
      </c>
      <c r="N168">
        <v>1210</v>
      </c>
      <c r="O168">
        <v>1213.5</v>
      </c>
      <c r="P168">
        <v>658</v>
      </c>
      <c r="Q168">
        <v>-9.9534959999999992E-3</v>
      </c>
      <c r="U168" t="s">
        <v>340</v>
      </c>
      <c r="V168">
        <v>985.1</v>
      </c>
      <c r="W168">
        <v>998</v>
      </c>
      <c r="X168">
        <v>984.9</v>
      </c>
      <c r="Y168">
        <v>990.4</v>
      </c>
      <c r="Z168">
        <v>1678</v>
      </c>
      <c r="AA168">
        <v>2.2262699999999998E-3</v>
      </c>
      <c r="AE168" t="s">
        <v>339</v>
      </c>
      <c r="AF168">
        <v>1144</v>
      </c>
      <c r="AG168">
        <v>1150</v>
      </c>
      <c r="AH168">
        <v>1144</v>
      </c>
      <c r="AI168">
        <v>1148.0999999999999</v>
      </c>
      <c r="AJ168">
        <v>1429</v>
      </c>
      <c r="AK168">
        <v>5.3415060000000002E-3</v>
      </c>
      <c r="AO168" s="126">
        <v>43773</v>
      </c>
      <c r="AP168">
        <v>1269.9000000000001</v>
      </c>
      <c r="AQ168">
        <v>1289.8</v>
      </c>
      <c r="AR168">
        <v>1251.2</v>
      </c>
      <c r="AS168">
        <v>1277.8</v>
      </c>
      <c r="AT168">
        <v>4207</v>
      </c>
      <c r="AU168">
        <v>2.4370691E-2</v>
      </c>
    </row>
    <row r="169" spans="1:47" x14ac:dyDescent="0.3">
      <c r="A169" t="s">
        <v>338</v>
      </c>
      <c r="B169">
        <v>1280</v>
      </c>
      <c r="C169">
        <v>1280</v>
      </c>
      <c r="D169">
        <v>1225</v>
      </c>
      <c r="E169">
        <v>1255.8</v>
      </c>
      <c r="F169">
        <v>2843</v>
      </c>
      <c r="G169" s="66">
        <v>1.32E-2</v>
      </c>
      <c r="K169" s="126">
        <v>42678</v>
      </c>
      <c r="L169">
        <v>1227.2</v>
      </c>
      <c r="M169">
        <v>1235</v>
      </c>
      <c r="N169">
        <v>1210</v>
      </c>
      <c r="O169">
        <v>1225.7</v>
      </c>
      <c r="P169">
        <v>156</v>
      </c>
      <c r="Q169">
        <v>-4.3054429999999999E-3</v>
      </c>
      <c r="U169" t="s">
        <v>337</v>
      </c>
      <c r="V169">
        <v>980.3</v>
      </c>
      <c r="W169">
        <v>991</v>
      </c>
      <c r="X169">
        <v>979.3</v>
      </c>
      <c r="Y169">
        <v>988.2</v>
      </c>
      <c r="Z169">
        <v>2202</v>
      </c>
      <c r="AA169">
        <v>-1.7107619000000001E-2</v>
      </c>
      <c r="AE169" s="126">
        <v>43438</v>
      </c>
      <c r="AF169">
        <v>1142</v>
      </c>
      <c r="AG169">
        <v>1143</v>
      </c>
      <c r="AH169">
        <v>1142</v>
      </c>
      <c r="AI169">
        <v>1142</v>
      </c>
      <c r="AJ169">
        <v>486</v>
      </c>
      <c r="AK169">
        <v>-6.0922540000000001E-3</v>
      </c>
      <c r="AO169" s="126">
        <v>43742</v>
      </c>
      <c r="AP169">
        <v>1257.0999999999999</v>
      </c>
      <c r="AQ169">
        <v>1297</v>
      </c>
      <c r="AR169">
        <v>1238.5</v>
      </c>
      <c r="AS169">
        <v>1247.4000000000001</v>
      </c>
      <c r="AT169">
        <v>6968</v>
      </c>
      <c r="AU169">
        <v>-2.1723785999999998E-2</v>
      </c>
    </row>
    <row r="170" spans="1:47" x14ac:dyDescent="0.3">
      <c r="A170" t="s">
        <v>336</v>
      </c>
      <c r="B170">
        <v>1244.9000000000001</v>
      </c>
      <c r="C170">
        <v>1259.9000000000001</v>
      </c>
      <c r="D170">
        <v>1231</v>
      </c>
      <c r="E170">
        <v>1239.5</v>
      </c>
      <c r="F170">
        <v>1177</v>
      </c>
      <c r="G170" s="66">
        <v>4.1000000000000003E-3</v>
      </c>
      <c r="K170" s="126">
        <v>42647</v>
      </c>
      <c r="L170">
        <v>1232</v>
      </c>
      <c r="M170">
        <v>1236</v>
      </c>
      <c r="N170">
        <v>1230</v>
      </c>
      <c r="O170">
        <v>1231</v>
      </c>
      <c r="P170">
        <v>1175</v>
      </c>
      <c r="Q170">
        <v>2.606288E-3</v>
      </c>
      <c r="U170" t="s">
        <v>335</v>
      </c>
      <c r="V170">
        <v>1008.5</v>
      </c>
      <c r="W170">
        <v>1010</v>
      </c>
      <c r="X170">
        <v>996</v>
      </c>
      <c r="Y170">
        <v>1005.4</v>
      </c>
      <c r="Z170">
        <v>3829</v>
      </c>
      <c r="AA170">
        <v>-2.7772270000000002E-3</v>
      </c>
      <c r="AE170" s="126">
        <v>43408</v>
      </c>
      <c r="AF170">
        <v>1160</v>
      </c>
      <c r="AG170">
        <v>1160</v>
      </c>
      <c r="AH170">
        <v>1148</v>
      </c>
      <c r="AI170">
        <v>1149</v>
      </c>
      <c r="AJ170">
        <v>503</v>
      </c>
      <c r="AK170">
        <v>7.8390399999999998E-4</v>
      </c>
      <c r="AO170" s="126">
        <v>43712</v>
      </c>
      <c r="AP170">
        <v>1345</v>
      </c>
      <c r="AQ170">
        <v>1358.8</v>
      </c>
      <c r="AR170">
        <v>1263</v>
      </c>
      <c r="AS170">
        <v>1275.0999999999999</v>
      </c>
      <c r="AT170">
        <v>12140</v>
      </c>
      <c r="AU170">
        <v>-5.9313906E-2</v>
      </c>
    </row>
    <row r="171" spans="1:47" x14ac:dyDescent="0.3">
      <c r="A171" t="s">
        <v>334</v>
      </c>
      <c r="B171">
        <v>1231.0999999999999</v>
      </c>
      <c r="C171">
        <v>1260</v>
      </c>
      <c r="D171">
        <v>1231</v>
      </c>
      <c r="E171">
        <v>1234.4000000000001</v>
      </c>
      <c r="F171">
        <v>2339</v>
      </c>
      <c r="G171" s="66">
        <v>-6.0000000000000001E-3</v>
      </c>
      <c r="K171" s="126">
        <v>42555</v>
      </c>
      <c r="L171">
        <v>1226.5</v>
      </c>
      <c r="M171">
        <v>1239.7</v>
      </c>
      <c r="N171">
        <v>1226</v>
      </c>
      <c r="O171">
        <v>1227.8</v>
      </c>
      <c r="P171">
        <v>585</v>
      </c>
      <c r="Q171">
        <v>7.8804789999999993E-3</v>
      </c>
      <c r="U171" t="s">
        <v>333</v>
      </c>
      <c r="V171">
        <v>1008.5</v>
      </c>
      <c r="W171">
        <v>1010.4</v>
      </c>
      <c r="X171">
        <v>1005</v>
      </c>
      <c r="Y171">
        <v>1008.2</v>
      </c>
      <c r="Z171">
        <v>7573</v>
      </c>
      <c r="AA171" s="127">
        <v>-9.9199999999999999E-5</v>
      </c>
      <c r="AE171" s="126">
        <v>43377</v>
      </c>
      <c r="AF171">
        <v>1131.3</v>
      </c>
      <c r="AG171">
        <v>1153</v>
      </c>
      <c r="AH171">
        <v>1131.3</v>
      </c>
      <c r="AI171">
        <v>1148.0999999999999</v>
      </c>
      <c r="AJ171">
        <v>140</v>
      </c>
      <c r="AK171">
        <v>8.6979440000000009E-3</v>
      </c>
      <c r="AO171" s="126">
        <v>43681</v>
      </c>
      <c r="AP171">
        <v>1345</v>
      </c>
      <c r="AQ171">
        <v>1388</v>
      </c>
      <c r="AR171">
        <v>1330</v>
      </c>
      <c r="AS171">
        <v>1355.5</v>
      </c>
      <c r="AT171">
        <v>19431</v>
      </c>
      <c r="AU171">
        <v>8.6315950000000006E-3</v>
      </c>
    </row>
    <row r="172" spans="1:47" x14ac:dyDescent="0.3">
      <c r="A172" t="s">
        <v>332</v>
      </c>
      <c r="B172">
        <v>1262</v>
      </c>
      <c r="C172">
        <v>1280</v>
      </c>
      <c r="D172">
        <v>1235.0999999999999</v>
      </c>
      <c r="E172">
        <v>1241.8</v>
      </c>
      <c r="F172">
        <v>2123</v>
      </c>
      <c r="G172" s="66">
        <v>-2.7300000000000001E-2</v>
      </c>
      <c r="K172" s="126">
        <v>42525</v>
      </c>
      <c r="L172">
        <v>1213.5</v>
      </c>
      <c r="M172">
        <v>1220.5</v>
      </c>
      <c r="N172">
        <v>1211</v>
      </c>
      <c r="O172">
        <v>1218.2</v>
      </c>
      <c r="P172">
        <v>235</v>
      </c>
      <c r="Q172">
        <v>-8.2021000000000004E-4</v>
      </c>
      <c r="U172" t="s">
        <v>331</v>
      </c>
      <c r="V172">
        <v>989</v>
      </c>
      <c r="W172">
        <v>1020</v>
      </c>
      <c r="X172">
        <v>982.2</v>
      </c>
      <c r="Y172">
        <v>1008.3</v>
      </c>
      <c r="Z172">
        <v>5370</v>
      </c>
      <c r="AA172">
        <v>2.8772573999999999E-2</v>
      </c>
      <c r="AE172" s="126">
        <v>43347</v>
      </c>
      <c r="AF172">
        <v>1131</v>
      </c>
      <c r="AG172">
        <v>1149.9000000000001</v>
      </c>
      <c r="AH172">
        <v>1130</v>
      </c>
      <c r="AI172">
        <v>1138.2</v>
      </c>
      <c r="AJ172">
        <v>833</v>
      </c>
      <c r="AK172">
        <v>-1.491359E-3</v>
      </c>
      <c r="AO172" s="126">
        <v>43650</v>
      </c>
      <c r="AP172">
        <v>1348</v>
      </c>
      <c r="AQ172">
        <v>1355</v>
      </c>
      <c r="AR172">
        <v>1315.6</v>
      </c>
      <c r="AS172">
        <v>1343.9</v>
      </c>
      <c r="AT172">
        <v>7884</v>
      </c>
      <c r="AU172">
        <v>1.20491E-2</v>
      </c>
    </row>
    <row r="173" spans="1:47" x14ac:dyDescent="0.3">
      <c r="A173" t="s">
        <v>330</v>
      </c>
      <c r="B173">
        <v>1282.0999999999999</v>
      </c>
      <c r="C173">
        <v>1285</v>
      </c>
      <c r="D173">
        <v>1275.2</v>
      </c>
      <c r="E173">
        <v>1276.7</v>
      </c>
      <c r="F173">
        <v>1417</v>
      </c>
      <c r="G173" s="66">
        <v>-1.3100000000000001E-2</v>
      </c>
      <c r="K173" s="126">
        <v>42494</v>
      </c>
      <c r="L173">
        <v>1215</v>
      </c>
      <c r="M173">
        <v>1223</v>
      </c>
      <c r="N173">
        <v>1215</v>
      </c>
      <c r="O173">
        <v>1219.2</v>
      </c>
      <c r="P173">
        <v>218</v>
      </c>
      <c r="Q173">
        <v>5.359941E-3</v>
      </c>
      <c r="U173" t="s">
        <v>329</v>
      </c>
      <c r="V173">
        <v>985</v>
      </c>
      <c r="W173">
        <v>986.1</v>
      </c>
      <c r="X173">
        <v>975</v>
      </c>
      <c r="Y173">
        <v>980.1</v>
      </c>
      <c r="Z173">
        <v>1038</v>
      </c>
      <c r="AA173">
        <v>-5.2775799999999996E-3</v>
      </c>
      <c r="AE173" s="126">
        <v>43316</v>
      </c>
      <c r="AF173">
        <v>1140.5</v>
      </c>
      <c r="AG173">
        <v>1140.5</v>
      </c>
      <c r="AH173">
        <v>1136.0999999999999</v>
      </c>
      <c r="AI173">
        <v>1139.9000000000001</v>
      </c>
      <c r="AJ173">
        <v>179</v>
      </c>
      <c r="AK173">
        <v>-1.0417571E-2</v>
      </c>
      <c r="AO173" s="126">
        <v>43559</v>
      </c>
      <c r="AP173">
        <v>1334</v>
      </c>
      <c r="AQ173">
        <v>1340</v>
      </c>
      <c r="AR173">
        <v>1280.2</v>
      </c>
      <c r="AS173">
        <v>1327.9</v>
      </c>
      <c r="AT173">
        <v>10751</v>
      </c>
      <c r="AU173">
        <v>8.5061140000000004E-3</v>
      </c>
    </row>
    <row r="174" spans="1:47" x14ac:dyDescent="0.3">
      <c r="A174" t="s">
        <v>328</v>
      </c>
      <c r="B174">
        <v>1315</v>
      </c>
      <c r="C174">
        <v>1316</v>
      </c>
      <c r="D174">
        <v>1285</v>
      </c>
      <c r="E174">
        <v>1293.5999999999999</v>
      </c>
      <c r="F174">
        <v>3085</v>
      </c>
      <c r="G174" s="66">
        <v>-1.46E-2</v>
      </c>
      <c r="K174" s="126">
        <v>42464</v>
      </c>
      <c r="L174">
        <v>1226</v>
      </c>
      <c r="M174">
        <v>1226</v>
      </c>
      <c r="N174">
        <v>1211</v>
      </c>
      <c r="O174">
        <v>1212.7</v>
      </c>
      <c r="P174">
        <v>1690</v>
      </c>
      <c r="Q174">
        <v>-1.4225329E-2</v>
      </c>
      <c r="U174" t="s">
        <v>327</v>
      </c>
      <c r="V174">
        <v>987</v>
      </c>
      <c r="W174">
        <v>989</v>
      </c>
      <c r="X174">
        <v>983</v>
      </c>
      <c r="Y174">
        <v>985.3</v>
      </c>
      <c r="Z174">
        <v>370</v>
      </c>
      <c r="AA174">
        <v>-1.3176570000000001E-3</v>
      </c>
      <c r="AE174" s="126">
        <v>43224</v>
      </c>
      <c r="AF174">
        <v>1139</v>
      </c>
      <c r="AG174">
        <v>1158</v>
      </c>
      <c r="AH174">
        <v>1139</v>
      </c>
      <c r="AI174">
        <v>1151.9000000000001</v>
      </c>
      <c r="AJ174">
        <v>276</v>
      </c>
      <c r="AK174">
        <v>1.2303366E-2</v>
      </c>
      <c r="AO174" s="126">
        <v>43528</v>
      </c>
      <c r="AP174">
        <v>1309.7</v>
      </c>
      <c r="AQ174">
        <v>1364.5</v>
      </c>
      <c r="AR174">
        <v>1297.5</v>
      </c>
      <c r="AS174">
        <v>1316.7</v>
      </c>
      <c r="AT174">
        <v>15785</v>
      </c>
      <c r="AU174">
        <v>2.5786849000000001E-2</v>
      </c>
    </row>
    <row r="175" spans="1:47" x14ac:dyDescent="0.3">
      <c r="A175" t="s">
        <v>326</v>
      </c>
      <c r="B175">
        <v>1272</v>
      </c>
      <c r="C175">
        <v>1325</v>
      </c>
      <c r="D175">
        <v>1272</v>
      </c>
      <c r="E175">
        <v>1312.7</v>
      </c>
      <c r="F175">
        <v>3330</v>
      </c>
      <c r="G175" s="66">
        <v>3.3500000000000002E-2</v>
      </c>
      <c r="K175" s="126">
        <v>42433</v>
      </c>
      <c r="L175">
        <v>1211</v>
      </c>
      <c r="M175">
        <v>1239.9000000000001</v>
      </c>
      <c r="N175">
        <v>1211</v>
      </c>
      <c r="O175">
        <v>1230.2</v>
      </c>
      <c r="P175">
        <v>590</v>
      </c>
      <c r="Q175">
        <v>1.6778246E-2</v>
      </c>
      <c r="U175" t="s">
        <v>325</v>
      </c>
      <c r="V175">
        <v>999</v>
      </c>
      <c r="W175">
        <v>1000</v>
      </c>
      <c r="X175">
        <v>985.1</v>
      </c>
      <c r="Y175">
        <v>986.6</v>
      </c>
      <c r="Z175">
        <v>602</v>
      </c>
      <c r="AA175">
        <v>-1.3597280999999999E-2</v>
      </c>
      <c r="AE175" s="126">
        <v>43194</v>
      </c>
      <c r="AF175">
        <v>1151</v>
      </c>
      <c r="AG175">
        <v>1189</v>
      </c>
      <c r="AH175">
        <v>1135</v>
      </c>
      <c r="AI175">
        <v>1137.9000000000001</v>
      </c>
      <c r="AJ175">
        <v>995</v>
      </c>
      <c r="AK175">
        <v>-1.1982286999999999E-2</v>
      </c>
      <c r="AO175" s="126">
        <v>43500</v>
      </c>
      <c r="AP175">
        <v>1242.0999999999999</v>
      </c>
      <c r="AQ175">
        <v>1328.7</v>
      </c>
      <c r="AR175">
        <v>1223</v>
      </c>
      <c r="AS175">
        <v>1283.5999999999999</v>
      </c>
      <c r="AT175">
        <v>14786</v>
      </c>
      <c r="AU175">
        <v>2.06743E-2</v>
      </c>
    </row>
    <row r="176" spans="1:47" x14ac:dyDescent="0.3">
      <c r="A176" s="126">
        <v>42342</v>
      </c>
      <c r="B176">
        <v>1257</v>
      </c>
      <c r="C176">
        <v>1283</v>
      </c>
      <c r="D176">
        <v>1257</v>
      </c>
      <c r="E176">
        <v>1270.0999999999999</v>
      </c>
      <c r="F176">
        <v>2084</v>
      </c>
      <c r="G176" s="66">
        <v>-5.9999999999999995E-4</v>
      </c>
      <c r="K176" t="s">
        <v>324</v>
      </c>
      <c r="L176">
        <v>1202</v>
      </c>
      <c r="M176">
        <v>1242</v>
      </c>
      <c r="N176">
        <v>1185.0999999999999</v>
      </c>
      <c r="O176">
        <v>1209.9000000000001</v>
      </c>
      <c r="P176">
        <v>908</v>
      </c>
      <c r="Q176">
        <v>6.9912610000000004E-3</v>
      </c>
      <c r="U176" t="s">
        <v>323</v>
      </c>
      <c r="V176">
        <v>992</v>
      </c>
      <c r="W176">
        <v>1004.8</v>
      </c>
      <c r="X176">
        <v>990</v>
      </c>
      <c r="Y176">
        <v>1000.2</v>
      </c>
      <c r="Z176">
        <v>1026</v>
      </c>
      <c r="AA176">
        <v>-3.9975999999999998E-4</v>
      </c>
      <c r="AE176" s="126">
        <v>43163</v>
      </c>
      <c r="AF176">
        <v>1145</v>
      </c>
      <c r="AG176">
        <v>1162</v>
      </c>
      <c r="AH176">
        <v>1140</v>
      </c>
      <c r="AI176">
        <v>1151.7</v>
      </c>
      <c r="AJ176">
        <v>460</v>
      </c>
      <c r="AK176">
        <v>-3.4719200000000002E-4</v>
      </c>
      <c r="AO176" s="126">
        <v>43469</v>
      </c>
      <c r="AP176">
        <v>1310</v>
      </c>
      <c r="AQ176">
        <v>1350</v>
      </c>
      <c r="AR176">
        <v>1190.2</v>
      </c>
      <c r="AS176">
        <v>1257.5999999999999</v>
      </c>
      <c r="AT176">
        <v>20622</v>
      </c>
      <c r="AU176">
        <v>-3.7649218999999998E-2</v>
      </c>
    </row>
    <row r="177" spans="1:47" x14ac:dyDescent="0.3">
      <c r="A177" s="126">
        <v>42251</v>
      </c>
      <c r="B177">
        <v>1270</v>
      </c>
      <c r="C177">
        <v>1275</v>
      </c>
      <c r="D177">
        <v>1265.5999999999999</v>
      </c>
      <c r="E177">
        <v>1270.9000000000001</v>
      </c>
      <c r="F177">
        <v>1074</v>
      </c>
      <c r="G177" s="66">
        <v>-4.4000000000000003E-3</v>
      </c>
      <c r="K177" t="s">
        <v>322</v>
      </c>
      <c r="L177">
        <v>1196.2</v>
      </c>
      <c r="M177">
        <v>1230</v>
      </c>
      <c r="N177">
        <v>1196.0999999999999</v>
      </c>
      <c r="O177">
        <v>1201.5</v>
      </c>
      <c r="P177">
        <v>1379</v>
      </c>
      <c r="Q177">
        <v>-2.8776978000000002E-2</v>
      </c>
      <c r="U177" t="s">
        <v>321</v>
      </c>
      <c r="V177">
        <v>1001</v>
      </c>
      <c r="W177">
        <v>1008</v>
      </c>
      <c r="X177">
        <v>1000</v>
      </c>
      <c r="Y177">
        <v>1000.6</v>
      </c>
      <c r="Z177">
        <v>1258</v>
      </c>
      <c r="AA177">
        <v>4.9994999999999998E-4</v>
      </c>
      <c r="AE177" s="126">
        <v>43135</v>
      </c>
      <c r="AF177">
        <v>1145</v>
      </c>
      <c r="AG177">
        <v>1160</v>
      </c>
      <c r="AH177">
        <v>1145</v>
      </c>
      <c r="AI177">
        <v>1152.0999999999999</v>
      </c>
      <c r="AJ177">
        <v>530</v>
      </c>
      <c r="AK177">
        <v>-1.2429282E-2</v>
      </c>
      <c r="AO177" t="s">
        <v>320</v>
      </c>
      <c r="AP177">
        <v>1310</v>
      </c>
      <c r="AQ177">
        <v>1324</v>
      </c>
      <c r="AR177">
        <v>1285</v>
      </c>
      <c r="AS177">
        <v>1306.8</v>
      </c>
      <c r="AT177">
        <v>18203</v>
      </c>
      <c r="AU177">
        <v>5.2307689999999997E-3</v>
      </c>
    </row>
    <row r="178" spans="1:47" x14ac:dyDescent="0.3">
      <c r="A178" s="126">
        <v>42220</v>
      </c>
      <c r="B178">
        <v>1275</v>
      </c>
      <c r="C178">
        <v>1295</v>
      </c>
      <c r="D178">
        <v>1265</v>
      </c>
      <c r="E178">
        <v>1276.5</v>
      </c>
      <c r="F178">
        <v>4282</v>
      </c>
      <c r="G178" s="66">
        <v>-1.4E-2</v>
      </c>
      <c r="K178" t="s">
        <v>319</v>
      </c>
      <c r="L178">
        <v>1245</v>
      </c>
      <c r="M178">
        <v>1245</v>
      </c>
      <c r="N178">
        <v>1233.9000000000001</v>
      </c>
      <c r="O178">
        <v>1237.0999999999999</v>
      </c>
      <c r="P178">
        <v>35</v>
      </c>
      <c r="Q178">
        <v>2.5934030000000002E-3</v>
      </c>
      <c r="U178" s="126">
        <v>43073</v>
      </c>
      <c r="V178">
        <v>1001.6</v>
      </c>
      <c r="W178">
        <v>1001.6</v>
      </c>
      <c r="X178">
        <v>1000</v>
      </c>
      <c r="Y178">
        <v>1000.1</v>
      </c>
      <c r="Z178">
        <v>1019</v>
      </c>
      <c r="AA178">
        <v>-9.409667E-3</v>
      </c>
      <c r="AE178" s="126">
        <v>43104</v>
      </c>
      <c r="AF178">
        <v>1140.0999999999999</v>
      </c>
      <c r="AG178">
        <v>1170</v>
      </c>
      <c r="AH178">
        <v>1140</v>
      </c>
      <c r="AI178">
        <v>1166.5999999999999</v>
      </c>
      <c r="AJ178">
        <v>621</v>
      </c>
      <c r="AK178">
        <v>1.717328E-3</v>
      </c>
      <c r="AO178" t="s">
        <v>318</v>
      </c>
      <c r="AP178">
        <v>1367</v>
      </c>
      <c r="AQ178">
        <v>1370</v>
      </c>
      <c r="AR178">
        <v>1291</v>
      </c>
      <c r="AS178">
        <v>1300</v>
      </c>
      <c r="AT178">
        <v>10586</v>
      </c>
      <c r="AU178">
        <v>-3.9598108999999999E-2</v>
      </c>
    </row>
    <row r="179" spans="1:47" x14ac:dyDescent="0.3">
      <c r="A179" s="126">
        <v>42189</v>
      </c>
      <c r="B179">
        <v>1315</v>
      </c>
      <c r="C179">
        <v>1315.4</v>
      </c>
      <c r="D179">
        <v>1285</v>
      </c>
      <c r="E179">
        <v>1294.5999999999999</v>
      </c>
      <c r="F179">
        <v>3498</v>
      </c>
      <c r="G179" s="66">
        <v>-1.95E-2</v>
      </c>
      <c r="K179" t="s">
        <v>317</v>
      </c>
      <c r="L179">
        <v>1228</v>
      </c>
      <c r="M179">
        <v>1249</v>
      </c>
      <c r="N179">
        <v>1227</v>
      </c>
      <c r="O179">
        <v>1233.9000000000001</v>
      </c>
      <c r="P179">
        <v>209</v>
      </c>
      <c r="Q179">
        <v>6.4437189999999997E-3</v>
      </c>
      <c r="U179" s="126">
        <v>43043</v>
      </c>
      <c r="V179">
        <v>1009</v>
      </c>
      <c r="W179">
        <v>1020</v>
      </c>
      <c r="X179">
        <v>1005</v>
      </c>
      <c r="Y179">
        <v>1009.6</v>
      </c>
      <c r="Z179">
        <v>2367</v>
      </c>
      <c r="AA179">
        <v>-6.2992129999999997E-3</v>
      </c>
      <c r="AE179" t="s">
        <v>316</v>
      </c>
      <c r="AF179">
        <v>1155</v>
      </c>
      <c r="AG179">
        <v>1180</v>
      </c>
      <c r="AH179">
        <v>1148</v>
      </c>
      <c r="AI179">
        <v>1164.5999999999999</v>
      </c>
      <c r="AJ179">
        <v>654</v>
      </c>
      <c r="AK179">
        <v>2.9280059999999999E-3</v>
      </c>
      <c r="AO179" t="s">
        <v>315</v>
      </c>
      <c r="AP179">
        <v>1370</v>
      </c>
      <c r="AQ179">
        <v>1415</v>
      </c>
      <c r="AR179">
        <v>1342</v>
      </c>
      <c r="AS179">
        <v>1353.6</v>
      </c>
      <c r="AT179">
        <v>16498</v>
      </c>
      <c r="AU179">
        <v>-1.0019747000000001E-2</v>
      </c>
    </row>
    <row r="180" spans="1:47" x14ac:dyDescent="0.3">
      <c r="A180" s="126">
        <v>42159</v>
      </c>
      <c r="B180">
        <v>1365</v>
      </c>
      <c r="C180">
        <v>1380</v>
      </c>
      <c r="D180">
        <v>1315</v>
      </c>
      <c r="E180">
        <v>1320.4</v>
      </c>
      <c r="F180">
        <v>1903</v>
      </c>
      <c r="G180" s="66">
        <v>-3.32E-2</v>
      </c>
      <c r="K180" t="s">
        <v>314</v>
      </c>
      <c r="L180">
        <v>1248</v>
      </c>
      <c r="M180">
        <v>1249.9000000000001</v>
      </c>
      <c r="N180">
        <v>1226</v>
      </c>
      <c r="O180">
        <v>1226</v>
      </c>
      <c r="P180">
        <v>291</v>
      </c>
      <c r="Q180">
        <v>-7.2874489999999997E-3</v>
      </c>
      <c r="U180" s="126">
        <v>43012</v>
      </c>
      <c r="V180">
        <v>1011.2</v>
      </c>
      <c r="W180">
        <v>1022.5</v>
      </c>
      <c r="X180">
        <v>1011.2</v>
      </c>
      <c r="Y180">
        <v>1016</v>
      </c>
      <c r="Z180">
        <v>11540</v>
      </c>
      <c r="AA180">
        <v>-5.2868610000000003E-3</v>
      </c>
      <c r="AE180" t="s">
        <v>313</v>
      </c>
      <c r="AF180">
        <v>1165</v>
      </c>
      <c r="AG180">
        <v>1170</v>
      </c>
      <c r="AH180">
        <v>1131.5</v>
      </c>
      <c r="AI180">
        <v>1161.2</v>
      </c>
      <c r="AJ180">
        <v>851</v>
      </c>
      <c r="AK180">
        <v>-4.9700090000000001E-3</v>
      </c>
      <c r="AO180" t="s">
        <v>312</v>
      </c>
      <c r="AP180">
        <v>1442.1</v>
      </c>
      <c r="AQ180">
        <v>1486.9</v>
      </c>
      <c r="AR180">
        <v>1360.4</v>
      </c>
      <c r="AS180">
        <v>1367.3</v>
      </c>
      <c r="AT180">
        <v>18181</v>
      </c>
      <c r="AU180">
        <v>-6.3300677999999999E-2</v>
      </c>
    </row>
    <row r="181" spans="1:47" x14ac:dyDescent="0.3">
      <c r="A181" s="126">
        <v>42128</v>
      </c>
      <c r="B181">
        <v>1381</v>
      </c>
      <c r="C181">
        <v>1393.9</v>
      </c>
      <c r="D181">
        <v>1356</v>
      </c>
      <c r="E181">
        <v>1365.7</v>
      </c>
      <c r="F181">
        <v>1866</v>
      </c>
      <c r="G181" s="66">
        <v>-2.1499999999999998E-2</v>
      </c>
      <c r="K181" t="s">
        <v>311</v>
      </c>
      <c r="L181">
        <v>1235.0999999999999</v>
      </c>
      <c r="M181">
        <v>1235.0999999999999</v>
      </c>
      <c r="N181">
        <v>1235</v>
      </c>
      <c r="O181">
        <v>1235</v>
      </c>
      <c r="P181">
        <v>14</v>
      </c>
      <c r="Q181">
        <v>-4.2731599999999998E-3</v>
      </c>
      <c r="U181" s="126">
        <v>42982</v>
      </c>
      <c r="V181">
        <v>986</v>
      </c>
      <c r="W181">
        <v>1025</v>
      </c>
      <c r="X181">
        <v>986</v>
      </c>
      <c r="Y181">
        <v>1021.4</v>
      </c>
      <c r="Z181">
        <v>6007</v>
      </c>
      <c r="AA181">
        <v>1.7128061999999999E-2</v>
      </c>
      <c r="AE181" t="s">
        <v>310</v>
      </c>
      <c r="AF181">
        <v>1160</v>
      </c>
      <c r="AG181">
        <v>1182.9000000000001</v>
      </c>
      <c r="AH181">
        <v>1155</v>
      </c>
      <c r="AI181">
        <v>1167</v>
      </c>
      <c r="AJ181">
        <v>3977</v>
      </c>
      <c r="AK181">
        <v>2.9917923999999999E-2</v>
      </c>
      <c r="AO181" t="s">
        <v>309</v>
      </c>
      <c r="AP181">
        <v>1530</v>
      </c>
      <c r="AQ181">
        <v>1545</v>
      </c>
      <c r="AR181">
        <v>1450.1</v>
      </c>
      <c r="AS181">
        <v>1459.7</v>
      </c>
      <c r="AT181">
        <v>25426</v>
      </c>
      <c r="AU181">
        <v>-4.2882433999999997E-2</v>
      </c>
    </row>
    <row r="182" spans="1:47" x14ac:dyDescent="0.3">
      <c r="A182" s="126">
        <v>42039</v>
      </c>
      <c r="B182">
        <v>1391</v>
      </c>
      <c r="C182">
        <v>1403</v>
      </c>
      <c r="D182">
        <v>1385</v>
      </c>
      <c r="E182">
        <v>1395.7</v>
      </c>
      <c r="F182">
        <v>3147</v>
      </c>
      <c r="G182" s="66">
        <v>5.0000000000000001E-4</v>
      </c>
      <c r="K182" t="s">
        <v>308</v>
      </c>
      <c r="L182">
        <v>1249.9000000000001</v>
      </c>
      <c r="M182">
        <v>1249.9000000000001</v>
      </c>
      <c r="N182">
        <v>1235</v>
      </c>
      <c r="O182">
        <v>1240.3</v>
      </c>
      <c r="P182">
        <v>1128</v>
      </c>
      <c r="Q182">
        <v>2.4193500000000001E-4</v>
      </c>
      <c r="U182" s="126">
        <v>42890</v>
      </c>
      <c r="V182">
        <v>988</v>
      </c>
      <c r="W182">
        <v>1008.4</v>
      </c>
      <c r="X182">
        <v>988</v>
      </c>
      <c r="Y182">
        <v>1004.2</v>
      </c>
      <c r="Z182">
        <v>4225</v>
      </c>
      <c r="AA182">
        <v>1.7529638E-2</v>
      </c>
      <c r="AE182" t="s">
        <v>307</v>
      </c>
      <c r="AF182">
        <v>1159</v>
      </c>
      <c r="AG182">
        <v>1159</v>
      </c>
      <c r="AH182">
        <v>1126</v>
      </c>
      <c r="AI182">
        <v>1133.0999999999999</v>
      </c>
      <c r="AJ182">
        <v>254</v>
      </c>
      <c r="AK182">
        <v>2.8321090000000002E-3</v>
      </c>
      <c r="AO182" t="s">
        <v>306</v>
      </c>
      <c r="AP182">
        <v>1569</v>
      </c>
      <c r="AQ182">
        <v>1569</v>
      </c>
      <c r="AR182">
        <v>1510</v>
      </c>
      <c r="AS182">
        <v>1525.1</v>
      </c>
      <c r="AT182">
        <v>40503</v>
      </c>
      <c r="AU182">
        <v>-1.7142489E-2</v>
      </c>
    </row>
    <row r="183" spans="1:47" x14ac:dyDescent="0.3">
      <c r="A183" s="126">
        <v>42008</v>
      </c>
      <c r="B183">
        <v>1396.6</v>
      </c>
      <c r="C183">
        <v>1413</v>
      </c>
      <c r="D183">
        <v>1383</v>
      </c>
      <c r="E183">
        <v>1395</v>
      </c>
      <c r="F183">
        <v>2400</v>
      </c>
      <c r="G183" s="66">
        <v>-1.1999999999999999E-3</v>
      </c>
      <c r="K183" t="s">
        <v>305</v>
      </c>
      <c r="L183">
        <v>1241</v>
      </c>
      <c r="M183">
        <v>1241</v>
      </c>
      <c r="N183">
        <v>1240</v>
      </c>
      <c r="O183">
        <v>1240</v>
      </c>
      <c r="P183">
        <v>1280</v>
      </c>
      <c r="Q183">
        <v>-8.8721919999999992E-3</v>
      </c>
      <c r="U183" s="126">
        <v>42859</v>
      </c>
      <c r="V183">
        <v>978.6</v>
      </c>
      <c r="W183">
        <v>993.5</v>
      </c>
      <c r="X183">
        <v>978.6</v>
      </c>
      <c r="Y183">
        <v>986.9</v>
      </c>
      <c r="Z183">
        <v>2939</v>
      </c>
      <c r="AA183">
        <v>1.0133059999999999E-2</v>
      </c>
      <c r="AE183" t="s">
        <v>304</v>
      </c>
      <c r="AF183">
        <v>1105</v>
      </c>
      <c r="AG183">
        <v>1132</v>
      </c>
      <c r="AH183">
        <v>1100</v>
      </c>
      <c r="AI183">
        <v>1129.9000000000001</v>
      </c>
      <c r="AJ183">
        <v>3121</v>
      </c>
      <c r="AK183">
        <v>2.1424696999999999E-2</v>
      </c>
      <c r="AO183" t="s">
        <v>303</v>
      </c>
      <c r="AP183">
        <v>1461.1</v>
      </c>
      <c r="AQ183">
        <v>1557.3</v>
      </c>
      <c r="AR183">
        <v>1450</v>
      </c>
      <c r="AS183">
        <v>1551.7</v>
      </c>
      <c r="AT183">
        <v>79792</v>
      </c>
      <c r="AU183">
        <v>6.4193128000000002E-2</v>
      </c>
    </row>
    <row r="184" spans="1:47" x14ac:dyDescent="0.3">
      <c r="A184" t="s">
        <v>302</v>
      </c>
      <c r="B184">
        <v>1395</v>
      </c>
      <c r="C184">
        <v>1422</v>
      </c>
      <c r="D184">
        <v>1391</v>
      </c>
      <c r="E184">
        <v>1396.7</v>
      </c>
      <c r="F184">
        <v>4410</v>
      </c>
      <c r="G184" s="66">
        <v>5.3E-3</v>
      </c>
      <c r="K184" t="s">
        <v>301</v>
      </c>
      <c r="L184">
        <v>1248.5999999999999</v>
      </c>
      <c r="M184">
        <v>1260</v>
      </c>
      <c r="N184">
        <v>1232.0999999999999</v>
      </c>
      <c r="O184">
        <v>1251.0999999999999</v>
      </c>
      <c r="P184">
        <v>891</v>
      </c>
      <c r="Q184">
        <v>2.4400228999999999E-2</v>
      </c>
      <c r="U184" s="126">
        <v>42829</v>
      </c>
      <c r="V184">
        <v>976</v>
      </c>
      <c r="W184">
        <v>978.6</v>
      </c>
      <c r="X184">
        <v>975.5</v>
      </c>
      <c r="Y184">
        <v>977</v>
      </c>
      <c r="Z184">
        <v>1566</v>
      </c>
      <c r="AA184">
        <v>1.640353E-3</v>
      </c>
      <c r="AE184" t="s">
        <v>300</v>
      </c>
      <c r="AF184">
        <v>1091</v>
      </c>
      <c r="AG184">
        <v>1120</v>
      </c>
      <c r="AH184">
        <v>1091</v>
      </c>
      <c r="AI184">
        <v>1106.2</v>
      </c>
      <c r="AJ184">
        <v>857</v>
      </c>
      <c r="AK184">
        <v>5.6363639999999996E-3</v>
      </c>
      <c r="AO184" t="s">
        <v>299</v>
      </c>
      <c r="AP184">
        <v>1519</v>
      </c>
      <c r="AQ184">
        <v>1520</v>
      </c>
      <c r="AR184">
        <v>1430</v>
      </c>
      <c r="AS184">
        <v>1458.1</v>
      </c>
      <c r="AT184">
        <v>55705</v>
      </c>
      <c r="AU184">
        <v>-2.2655674000000001E-2</v>
      </c>
    </row>
    <row r="185" spans="1:47" x14ac:dyDescent="0.3">
      <c r="A185" t="s">
        <v>298</v>
      </c>
      <c r="B185">
        <v>1392</v>
      </c>
      <c r="C185">
        <v>1402</v>
      </c>
      <c r="D185">
        <v>1365</v>
      </c>
      <c r="E185">
        <v>1389.4</v>
      </c>
      <c r="F185">
        <v>2443</v>
      </c>
      <c r="G185" s="66">
        <v>-9.1000000000000004E-3</v>
      </c>
      <c r="K185" t="s">
        <v>297</v>
      </c>
      <c r="L185">
        <v>1240</v>
      </c>
      <c r="M185">
        <v>1252</v>
      </c>
      <c r="N185">
        <v>1208</v>
      </c>
      <c r="O185">
        <v>1221.3</v>
      </c>
      <c r="P185">
        <v>80</v>
      </c>
      <c r="Q185">
        <v>-1.5080645E-2</v>
      </c>
      <c r="U185" s="126">
        <v>42798</v>
      </c>
      <c r="V185">
        <v>973.5</v>
      </c>
      <c r="W185">
        <v>977.9</v>
      </c>
      <c r="X185">
        <v>972</v>
      </c>
      <c r="Y185">
        <v>975.4</v>
      </c>
      <c r="Z185">
        <v>2188</v>
      </c>
      <c r="AA185">
        <v>3.6011939999999998E-3</v>
      </c>
      <c r="AE185" t="s">
        <v>296</v>
      </c>
      <c r="AF185">
        <v>1100</v>
      </c>
      <c r="AG185">
        <v>1100</v>
      </c>
      <c r="AH185">
        <v>1100</v>
      </c>
      <c r="AI185">
        <v>1100</v>
      </c>
      <c r="AJ185">
        <v>800</v>
      </c>
      <c r="AK185" s="127">
        <v>-9.09E-5</v>
      </c>
      <c r="AO185" t="s">
        <v>295</v>
      </c>
      <c r="AP185">
        <v>1401</v>
      </c>
      <c r="AQ185">
        <v>1491.9</v>
      </c>
      <c r="AR185">
        <v>1401</v>
      </c>
      <c r="AS185">
        <v>1491.9</v>
      </c>
      <c r="AT185">
        <v>74913</v>
      </c>
      <c r="AU185">
        <v>6.8313640999999994E-2</v>
      </c>
    </row>
    <row r="186" spans="1:47" x14ac:dyDescent="0.3">
      <c r="A186" t="s">
        <v>294</v>
      </c>
      <c r="B186">
        <v>1435</v>
      </c>
      <c r="C186">
        <v>1435</v>
      </c>
      <c r="D186">
        <v>1395.1</v>
      </c>
      <c r="E186">
        <v>1402.1</v>
      </c>
      <c r="F186">
        <v>4659</v>
      </c>
      <c r="G186" s="66">
        <v>-9.4000000000000004E-3</v>
      </c>
      <c r="K186" t="s">
        <v>293</v>
      </c>
      <c r="L186">
        <v>1241</v>
      </c>
      <c r="M186">
        <v>1241</v>
      </c>
      <c r="N186">
        <v>1200.0999999999999</v>
      </c>
      <c r="O186">
        <v>1240</v>
      </c>
      <c r="P186">
        <v>867</v>
      </c>
      <c r="Q186">
        <v>-2.333253E-3</v>
      </c>
      <c r="U186" s="126">
        <v>42770</v>
      </c>
      <c r="V186">
        <v>975</v>
      </c>
      <c r="W186">
        <v>975</v>
      </c>
      <c r="X186">
        <v>970.5</v>
      </c>
      <c r="Y186">
        <v>971.9</v>
      </c>
      <c r="Z186">
        <v>982</v>
      </c>
      <c r="AA186">
        <v>-4.3028379999999998E-3</v>
      </c>
      <c r="AE186" t="s">
        <v>292</v>
      </c>
      <c r="AF186">
        <v>1095</v>
      </c>
      <c r="AG186">
        <v>1105</v>
      </c>
      <c r="AH186">
        <v>1090.0999999999999</v>
      </c>
      <c r="AI186">
        <v>1100.0999999999999</v>
      </c>
      <c r="AJ186">
        <v>945</v>
      </c>
      <c r="AK186">
        <v>6.3117449999999997E-3</v>
      </c>
      <c r="AO186" t="s">
        <v>291</v>
      </c>
      <c r="AP186">
        <v>1440</v>
      </c>
      <c r="AQ186">
        <v>1440</v>
      </c>
      <c r="AR186">
        <v>1393</v>
      </c>
      <c r="AS186">
        <v>1396.5</v>
      </c>
      <c r="AT186">
        <v>50761</v>
      </c>
      <c r="AU186">
        <v>-1.5023275000000001E-2</v>
      </c>
    </row>
    <row r="187" spans="1:47" x14ac:dyDescent="0.3">
      <c r="A187" t="s">
        <v>290</v>
      </c>
      <c r="B187">
        <v>1445</v>
      </c>
      <c r="C187">
        <v>1445</v>
      </c>
      <c r="D187">
        <v>1399</v>
      </c>
      <c r="E187">
        <v>1415.4</v>
      </c>
      <c r="F187">
        <v>7848</v>
      </c>
      <c r="G187" s="66">
        <v>-1.2800000000000001E-2</v>
      </c>
      <c r="K187" t="s">
        <v>289</v>
      </c>
      <c r="L187">
        <v>1250</v>
      </c>
      <c r="M187">
        <v>1255.0999999999999</v>
      </c>
      <c r="N187">
        <v>1241</v>
      </c>
      <c r="O187">
        <v>1242.9000000000001</v>
      </c>
      <c r="P187">
        <v>169</v>
      </c>
      <c r="Q187">
        <v>-5.6800000000000002E-3</v>
      </c>
      <c r="U187" t="s">
        <v>288</v>
      </c>
      <c r="V187">
        <v>970.2</v>
      </c>
      <c r="W187">
        <v>978</v>
      </c>
      <c r="X187">
        <v>970.2</v>
      </c>
      <c r="Y187">
        <v>976.1</v>
      </c>
      <c r="Z187">
        <v>1353</v>
      </c>
      <c r="AA187">
        <v>4.4247790000000002E-3</v>
      </c>
      <c r="AE187" t="s">
        <v>287</v>
      </c>
      <c r="AF187">
        <v>1111.0999999999999</v>
      </c>
      <c r="AG187">
        <v>1111.0999999999999</v>
      </c>
      <c r="AH187">
        <v>1091</v>
      </c>
      <c r="AI187">
        <v>1093.2</v>
      </c>
      <c r="AJ187">
        <v>211</v>
      </c>
      <c r="AK187">
        <v>-1.6021601999999999E-2</v>
      </c>
      <c r="AO187" t="s">
        <v>286</v>
      </c>
      <c r="AP187">
        <v>1340.1</v>
      </c>
      <c r="AQ187">
        <v>1426.9</v>
      </c>
      <c r="AR187">
        <v>1340</v>
      </c>
      <c r="AS187">
        <v>1417.8</v>
      </c>
      <c r="AT187">
        <v>46354</v>
      </c>
      <c r="AU187">
        <v>6.1704358000000001E-2</v>
      </c>
    </row>
    <row r="188" spans="1:47" x14ac:dyDescent="0.3">
      <c r="A188" t="s">
        <v>285</v>
      </c>
      <c r="B188">
        <v>1395</v>
      </c>
      <c r="C188">
        <v>1444</v>
      </c>
      <c r="D188">
        <v>1395</v>
      </c>
      <c r="E188">
        <v>1433.8</v>
      </c>
      <c r="F188">
        <v>6140</v>
      </c>
      <c r="G188" s="66">
        <v>3.7400000000000003E-2</v>
      </c>
      <c r="K188" t="s">
        <v>284</v>
      </c>
      <c r="L188">
        <v>1251</v>
      </c>
      <c r="M188">
        <v>1255</v>
      </c>
      <c r="N188">
        <v>1240</v>
      </c>
      <c r="O188">
        <v>1250</v>
      </c>
      <c r="P188">
        <v>158</v>
      </c>
      <c r="Q188">
        <v>8.6339060000000002E-3</v>
      </c>
      <c r="U188" t="s">
        <v>283</v>
      </c>
      <c r="V188">
        <v>970.2</v>
      </c>
      <c r="W188">
        <v>973</v>
      </c>
      <c r="X188">
        <v>970</v>
      </c>
      <c r="Y188">
        <v>971.8</v>
      </c>
      <c r="Z188">
        <v>1768</v>
      </c>
      <c r="AA188">
        <v>1.030078E-3</v>
      </c>
      <c r="AE188" t="s">
        <v>282</v>
      </c>
      <c r="AF188">
        <v>1111</v>
      </c>
      <c r="AG188">
        <v>1111</v>
      </c>
      <c r="AH188">
        <v>1111</v>
      </c>
      <c r="AI188">
        <v>1111</v>
      </c>
      <c r="AJ188">
        <v>37</v>
      </c>
      <c r="AK188">
        <v>6.5229210000000001E-3</v>
      </c>
      <c r="AO188" s="126">
        <v>43802</v>
      </c>
      <c r="AP188">
        <v>1265</v>
      </c>
      <c r="AQ188">
        <v>1335.4</v>
      </c>
      <c r="AR188">
        <v>1265</v>
      </c>
      <c r="AS188">
        <v>1335.4</v>
      </c>
      <c r="AT188">
        <v>34990</v>
      </c>
      <c r="AU188">
        <v>6.9004162999999993E-2</v>
      </c>
    </row>
    <row r="189" spans="1:47" x14ac:dyDescent="0.3">
      <c r="A189" t="s">
        <v>281</v>
      </c>
      <c r="B189">
        <v>1310</v>
      </c>
      <c r="C189">
        <v>1389</v>
      </c>
      <c r="D189">
        <v>1310</v>
      </c>
      <c r="E189">
        <v>1382.1</v>
      </c>
      <c r="F189">
        <v>12080</v>
      </c>
      <c r="G189" s="66">
        <v>8.6E-3</v>
      </c>
      <c r="K189" t="s">
        <v>280</v>
      </c>
      <c r="L189">
        <v>1240</v>
      </c>
      <c r="M189">
        <v>1246</v>
      </c>
      <c r="N189">
        <v>1210</v>
      </c>
      <c r="O189">
        <v>1239.3</v>
      </c>
      <c r="P189">
        <v>1244</v>
      </c>
      <c r="Q189">
        <v>-1.7720500000000001E-3</v>
      </c>
      <c r="U189" t="s">
        <v>279</v>
      </c>
      <c r="V189">
        <v>970.1</v>
      </c>
      <c r="W189">
        <v>973</v>
      </c>
      <c r="X189">
        <v>970</v>
      </c>
      <c r="Y189">
        <v>970.8</v>
      </c>
      <c r="Z189">
        <v>1999</v>
      </c>
      <c r="AA189">
        <v>8.2474200000000005E-4</v>
      </c>
      <c r="AE189" t="s">
        <v>278</v>
      </c>
      <c r="AF189">
        <v>1114.4000000000001</v>
      </c>
      <c r="AG189">
        <v>1114.4000000000001</v>
      </c>
      <c r="AH189">
        <v>1100</v>
      </c>
      <c r="AI189">
        <v>1103.8</v>
      </c>
      <c r="AJ189">
        <v>541</v>
      </c>
      <c r="AK189">
        <v>3.910869E-3</v>
      </c>
      <c r="AO189" s="126">
        <v>43772</v>
      </c>
      <c r="AP189">
        <v>1204</v>
      </c>
      <c r="AQ189">
        <v>1260</v>
      </c>
      <c r="AR189">
        <v>1204</v>
      </c>
      <c r="AS189">
        <v>1249.2</v>
      </c>
      <c r="AT189">
        <v>8623</v>
      </c>
      <c r="AU189">
        <v>4.7722888999999998E-2</v>
      </c>
    </row>
    <row r="190" spans="1:47" x14ac:dyDescent="0.3">
      <c r="A190" t="s">
        <v>277</v>
      </c>
      <c r="B190">
        <v>1290</v>
      </c>
      <c r="C190">
        <v>1393</v>
      </c>
      <c r="D190">
        <v>1290</v>
      </c>
      <c r="E190">
        <v>1370.3</v>
      </c>
      <c r="F190">
        <v>11134</v>
      </c>
      <c r="G190" s="66">
        <v>3.1699999999999999E-2</v>
      </c>
      <c r="K190" s="126">
        <v>42646</v>
      </c>
      <c r="L190">
        <v>1245</v>
      </c>
      <c r="M190">
        <v>1250</v>
      </c>
      <c r="N190">
        <v>1240</v>
      </c>
      <c r="O190">
        <v>1241.5</v>
      </c>
      <c r="P190">
        <v>366</v>
      </c>
      <c r="Q190">
        <v>2.4222850000000001E-3</v>
      </c>
      <c r="U190" t="s">
        <v>276</v>
      </c>
      <c r="V190">
        <v>970</v>
      </c>
      <c r="W190">
        <v>975</v>
      </c>
      <c r="X190">
        <v>970</v>
      </c>
      <c r="Y190">
        <v>970</v>
      </c>
      <c r="Z190">
        <v>8709</v>
      </c>
      <c r="AA190">
        <v>-9.2697500000000002E-4</v>
      </c>
      <c r="AE190" t="s">
        <v>275</v>
      </c>
      <c r="AF190">
        <v>1092</v>
      </c>
      <c r="AG190">
        <v>1110.4000000000001</v>
      </c>
      <c r="AH190">
        <v>1092</v>
      </c>
      <c r="AI190">
        <v>1099.5</v>
      </c>
      <c r="AJ190">
        <v>514</v>
      </c>
      <c r="AK190">
        <v>-9.8162820000000008E-3</v>
      </c>
      <c r="AO190" s="126">
        <v>43741</v>
      </c>
      <c r="AP190">
        <v>1179</v>
      </c>
      <c r="AQ190">
        <v>1198</v>
      </c>
      <c r="AR190">
        <v>1170</v>
      </c>
      <c r="AS190">
        <v>1192.3</v>
      </c>
      <c r="AT190">
        <v>3095</v>
      </c>
      <c r="AU190">
        <v>2.3609202999999999E-2</v>
      </c>
    </row>
    <row r="191" spans="1:47" x14ac:dyDescent="0.3">
      <c r="A191" t="s">
        <v>274</v>
      </c>
      <c r="B191">
        <v>1313</v>
      </c>
      <c r="C191">
        <v>1335</v>
      </c>
      <c r="D191">
        <v>1300</v>
      </c>
      <c r="E191">
        <v>1328.2</v>
      </c>
      <c r="F191">
        <v>4401</v>
      </c>
      <c r="G191" s="66">
        <v>2.53E-2</v>
      </c>
      <c r="K191" s="126">
        <v>42616</v>
      </c>
      <c r="L191">
        <v>1240</v>
      </c>
      <c r="M191">
        <v>1240</v>
      </c>
      <c r="N191">
        <v>1230</v>
      </c>
      <c r="O191">
        <v>1238.5</v>
      </c>
      <c r="P191">
        <v>433</v>
      </c>
      <c r="Q191">
        <v>1.1846405000000001E-2</v>
      </c>
      <c r="U191" t="s">
        <v>273</v>
      </c>
      <c r="V191">
        <v>970.1</v>
      </c>
      <c r="W191">
        <v>975</v>
      </c>
      <c r="X191">
        <v>970</v>
      </c>
      <c r="Y191">
        <v>970.9</v>
      </c>
      <c r="Z191">
        <v>4426</v>
      </c>
      <c r="AA191">
        <v>7.2150100000000004E-4</v>
      </c>
      <c r="AE191" s="126">
        <v>43437</v>
      </c>
      <c r="AF191">
        <v>1114.9000000000001</v>
      </c>
      <c r="AG191">
        <v>1118</v>
      </c>
      <c r="AH191">
        <v>1105.2</v>
      </c>
      <c r="AI191">
        <v>1110.4000000000001</v>
      </c>
      <c r="AJ191">
        <v>1792</v>
      </c>
      <c r="AK191">
        <v>6.5264679999999997E-3</v>
      </c>
      <c r="AO191" s="126">
        <v>43649</v>
      </c>
      <c r="AP191">
        <v>1168.0999999999999</v>
      </c>
      <c r="AQ191">
        <v>1170.3</v>
      </c>
      <c r="AR191">
        <v>1160</v>
      </c>
      <c r="AS191">
        <v>1164.8</v>
      </c>
      <c r="AT191">
        <v>1309</v>
      </c>
      <c r="AU191">
        <v>-5.2946199999999999E-3</v>
      </c>
    </row>
    <row r="192" spans="1:47" x14ac:dyDescent="0.3">
      <c r="A192" t="s">
        <v>272</v>
      </c>
      <c r="B192">
        <v>1280</v>
      </c>
      <c r="C192">
        <v>1304</v>
      </c>
      <c r="D192">
        <v>1239</v>
      </c>
      <c r="E192">
        <v>1295.4000000000001</v>
      </c>
      <c r="F192">
        <v>11551</v>
      </c>
      <c r="G192" s="66">
        <v>1.5100000000000001E-2</v>
      </c>
      <c r="K192" s="126">
        <v>42585</v>
      </c>
      <c r="L192">
        <v>1219</v>
      </c>
      <c r="M192">
        <v>1240</v>
      </c>
      <c r="N192">
        <v>1200</v>
      </c>
      <c r="O192">
        <v>1224</v>
      </c>
      <c r="P192">
        <v>557</v>
      </c>
      <c r="Q192">
        <v>3.9578732999999998E-2</v>
      </c>
      <c r="U192" t="s">
        <v>271</v>
      </c>
      <c r="V192">
        <v>969</v>
      </c>
      <c r="W192">
        <v>976.2</v>
      </c>
      <c r="X192">
        <v>969</v>
      </c>
      <c r="Y192">
        <v>970.2</v>
      </c>
      <c r="Z192">
        <v>5038</v>
      </c>
      <c r="AA192">
        <v>1.031779E-3</v>
      </c>
      <c r="AE192" s="126">
        <v>43407</v>
      </c>
      <c r="AF192">
        <v>1091</v>
      </c>
      <c r="AG192">
        <v>1115</v>
      </c>
      <c r="AH192">
        <v>1090</v>
      </c>
      <c r="AI192">
        <v>1103.2</v>
      </c>
      <c r="AJ192">
        <v>614</v>
      </c>
      <c r="AK192">
        <v>1.0997066999999999E-2</v>
      </c>
      <c r="AO192" s="126">
        <v>43619</v>
      </c>
      <c r="AP192">
        <v>1179</v>
      </c>
      <c r="AQ192">
        <v>1179</v>
      </c>
      <c r="AR192">
        <v>1166.3</v>
      </c>
      <c r="AS192">
        <v>1171</v>
      </c>
      <c r="AT192">
        <v>497</v>
      </c>
      <c r="AU192">
        <v>-1.70765E-4</v>
      </c>
    </row>
    <row r="193" spans="1:47" x14ac:dyDescent="0.3">
      <c r="A193" t="s">
        <v>270</v>
      </c>
      <c r="B193">
        <v>1269</v>
      </c>
      <c r="C193">
        <v>1282.5</v>
      </c>
      <c r="D193">
        <v>1260.2</v>
      </c>
      <c r="E193">
        <v>1276.0999999999999</v>
      </c>
      <c r="F193">
        <v>11609</v>
      </c>
      <c r="G193" s="66">
        <v>1.0500000000000001E-2</v>
      </c>
      <c r="K193" s="126">
        <v>42554</v>
      </c>
      <c r="L193">
        <v>1220</v>
      </c>
      <c r="M193">
        <v>1220</v>
      </c>
      <c r="N193">
        <v>1176</v>
      </c>
      <c r="O193">
        <v>1177.4000000000001</v>
      </c>
      <c r="P193">
        <v>8702</v>
      </c>
      <c r="Q193">
        <v>-8.1711730000000003E-3</v>
      </c>
      <c r="U193" t="s">
        <v>269</v>
      </c>
      <c r="V193">
        <v>973</v>
      </c>
      <c r="W193">
        <v>973</v>
      </c>
      <c r="X193">
        <v>968.5</v>
      </c>
      <c r="Y193">
        <v>969.2</v>
      </c>
      <c r="Z193">
        <v>2031</v>
      </c>
      <c r="AA193">
        <v>-6.6618839999999999E-3</v>
      </c>
      <c r="AE193" s="126">
        <v>43315</v>
      </c>
      <c r="AF193">
        <v>1100</v>
      </c>
      <c r="AG193">
        <v>1101</v>
      </c>
      <c r="AH193">
        <v>1090</v>
      </c>
      <c r="AI193">
        <v>1091.2</v>
      </c>
      <c r="AJ193">
        <v>105</v>
      </c>
      <c r="AK193">
        <v>-5.6497179999999998E-3</v>
      </c>
      <c r="AO193" s="126">
        <v>43588</v>
      </c>
      <c r="AP193">
        <v>1171</v>
      </c>
      <c r="AQ193">
        <v>1177.0999999999999</v>
      </c>
      <c r="AR193">
        <v>1165</v>
      </c>
      <c r="AS193">
        <v>1171.2</v>
      </c>
      <c r="AT193">
        <v>1740</v>
      </c>
      <c r="AU193">
        <v>1.7079399999999999E-4</v>
      </c>
    </row>
    <row r="194" spans="1:47" x14ac:dyDescent="0.3">
      <c r="A194" t="s">
        <v>268</v>
      </c>
      <c r="B194">
        <v>1205</v>
      </c>
      <c r="C194">
        <v>1275</v>
      </c>
      <c r="D194">
        <v>1174</v>
      </c>
      <c r="E194">
        <v>1262.8</v>
      </c>
      <c r="F194">
        <v>5944</v>
      </c>
      <c r="G194" s="66">
        <v>4.36E-2</v>
      </c>
      <c r="K194" s="126">
        <v>42524</v>
      </c>
      <c r="L194">
        <v>1196</v>
      </c>
      <c r="M194">
        <v>1201</v>
      </c>
      <c r="N194">
        <v>1185</v>
      </c>
      <c r="O194">
        <v>1187.0999999999999</v>
      </c>
      <c r="P194">
        <v>4649</v>
      </c>
      <c r="Q194">
        <v>-2.903648E-2</v>
      </c>
      <c r="U194" t="s">
        <v>267</v>
      </c>
      <c r="V194">
        <v>984</v>
      </c>
      <c r="W194">
        <v>984</v>
      </c>
      <c r="X194">
        <v>975</v>
      </c>
      <c r="Y194">
        <v>975.7</v>
      </c>
      <c r="Z194">
        <v>1498</v>
      </c>
      <c r="AA194">
        <v>-8.9385469999999998E-3</v>
      </c>
      <c r="AE194" s="126">
        <v>43284</v>
      </c>
      <c r="AF194">
        <v>1098</v>
      </c>
      <c r="AG194">
        <v>1098</v>
      </c>
      <c r="AH194">
        <v>1097</v>
      </c>
      <c r="AI194">
        <v>1097.4000000000001</v>
      </c>
      <c r="AJ194">
        <v>52</v>
      </c>
      <c r="AK194">
        <v>4.7610329999999996E-3</v>
      </c>
      <c r="AO194" s="126">
        <v>43558</v>
      </c>
      <c r="AP194">
        <v>1175.3</v>
      </c>
      <c r="AQ194">
        <v>1185</v>
      </c>
      <c r="AR194">
        <v>1165</v>
      </c>
      <c r="AS194">
        <v>1171</v>
      </c>
      <c r="AT194">
        <v>1697</v>
      </c>
      <c r="AU194">
        <v>-1.1397213999999999E-2</v>
      </c>
    </row>
    <row r="195" spans="1:47" x14ac:dyDescent="0.3">
      <c r="A195" s="126">
        <v>42341</v>
      </c>
      <c r="B195">
        <v>1146</v>
      </c>
      <c r="C195">
        <v>1215</v>
      </c>
      <c r="D195">
        <v>1146</v>
      </c>
      <c r="E195">
        <v>1210.0999999999999</v>
      </c>
      <c r="F195">
        <v>15594</v>
      </c>
      <c r="G195" s="66">
        <v>5.0099999999999999E-2</v>
      </c>
      <c r="K195" s="126">
        <v>42432</v>
      </c>
      <c r="L195">
        <v>1191.5</v>
      </c>
      <c r="M195">
        <v>1237</v>
      </c>
      <c r="N195">
        <v>1191.5</v>
      </c>
      <c r="O195">
        <v>1222.5999999999999</v>
      </c>
      <c r="P195">
        <v>581</v>
      </c>
      <c r="Q195">
        <v>4.0156542000000003E-2</v>
      </c>
      <c r="U195" t="s">
        <v>266</v>
      </c>
      <c r="V195">
        <v>968</v>
      </c>
      <c r="W195">
        <v>985</v>
      </c>
      <c r="X195">
        <v>968</v>
      </c>
      <c r="Y195">
        <v>984.5</v>
      </c>
      <c r="Z195">
        <v>1282</v>
      </c>
      <c r="AA195">
        <v>1.6940398999999998E-2</v>
      </c>
      <c r="AE195" s="126">
        <v>43254</v>
      </c>
      <c r="AF195">
        <v>1092.2</v>
      </c>
      <c r="AG195">
        <v>1092.2</v>
      </c>
      <c r="AH195">
        <v>1092.0999999999999</v>
      </c>
      <c r="AI195">
        <v>1092.2</v>
      </c>
      <c r="AJ195">
        <v>10</v>
      </c>
      <c r="AK195">
        <v>-7.0909090000000003E-3</v>
      </c>
      <c r="AO195" s="126">
        <v>43527</v>
      </c>
      <c r="AP195">
        <v>1210</v>
      </c>
      <c r="AQ195">
        <v>1220</v>
      </c>
      <c r="AR195">
        <v>1170</v>
      </c>
      <c r="AS195">
        <v>1184.5</v>
      </c>
      <c r="AT195">
        <v>1955</v>
      </c>
      <c r="AU195">
        <v>3.7284979999999998E-3</v>
      </c>
    </row>
    <row r="196" spans="1:47" x14ac:dyDescent="0.3">
      <c r="A196" s="126">
        <v>42311</v>
      </c>
      <c r="B196">
        <v>1153</v>
      </c>
      <c r="C196">
        <v>1160</v>
      </c>
      <c r="D196">
        <v>1140.5999999999999</v>
      </c>
      <c r="E196">
        <v>1152.4000000000001</v>
      </c>
      <c r="F196">
        <v>3119</v>
      </c>
      <c r="G196" s="66">
        <v>1.4E-2</v>
      </c>
      <c r="K196" s="126">
        <v>42403</v>
      </c>
      <c r="L196">
        <v>1250.0999999999999</v>
      </c>
      <c r="M196">
        <v>1250.0999999999999</v>
      </c>
      <c r="N196">
        <v>1172.5</v>
      </c>
      <c r="O196">
        <v>1175.4000000000001</v>
      </c>
      <c r="P196">
        <v>10301</v>
      </c>
      <c r="Q196">
        <v>-6.2679425999999996E-2</v>
      </c>
      <c r="U196" t="s">
        <v>265</v>
      </c>
      <c r="V196">
        <v>967</v>
      </c>
      <c r="W196">
        <v>969.7</v>
      </c>
      <c r="X196">
        <v>963</v>
      </c>
      <c r="Y196">
        <v>968.1</v>
      </c>
      <c r="Z196">
        <v>494</v>
      </c>
      <c r="AA196">
        <v>4.461507E-3</v>
      </c>
      <c r="AE196" s="126">
        <v>43223</v>
      </c>
      <c r="AF196">
        <v>1100</v>
      </c>
      <c r="AG196">
        <v>1100</v>
      </c>
      <c r="AH196">
        <v>1100</v>
      </c>
      <c r="AI196">
        <v>1100</v>
      </c>
      <c r="AJ196">
        <v>32</v>
      </c>
      <c r="AK196">
        <v>2.643332E-3</v>
      </c>
      <c r="AO196" t="s">
        <v>264</v>
      </c>
      <c r="AP196">
        <v>1162.2</v>
      </c>
      <c r="AQ196">
        <v>1194</v>
      </c>
      <c r="AR196">
        <v>1162.2</v>
      </c>
      <c r="AS196">
        <v>1180.0999999999999</v>
      </c>
      <c r="AT196">
        <v>1383</v>
      </c>
      <c r="AU196">
        <v>-1.6919039999999999E-3</v>
      </c>
    </row>
    <row r="197" spans="1:47" x14ac:dyDescent="0.3">
      <c r="A197" s="126">
        <v>42280</v>
      </c>
      <c r="B197">
        <v>1130</v>
      </c>
      <c r="C197">
        <v>1147</v>
      </c>
      <c r="D197">
        <v>1125.2</v>
      </c>
      <c r="E197">
        <v>1136.5</v>
      </c>
      <c r="F197">
        <v>2325</v>
      </c>
      <c r="G197" s="66">
        <v>6.8999999999999999E-3</v>
      </c>
      <c r="K197" s="126">
        <v>42372</v>
      </c>
      <c r="L197">
        <v>1283</v>
      </c>
      <c r="M197">
        <v>1283</v>
      </c>
      <c r="N197">
        <v>1230</v>
      </c>
      <c r="O197">
        <v>1254</v>
      </c>
      <c r="P197">
        <v>3803</v>
      </c>
      <c r="Q197">
        <v>-3.2631334999999997E-2</v>
      </c>
      <c r="U197" t="s">
        <v>263</v>
      </c>
      <c r="V197">
        <v>963</v>
      </c>
      <c r="W197">
        <v>970</v>
      </c>
      <c r="X197">
        <v>962</v>
      </c>
      <c r="Y197">
        <v>963.8</v>
      </c>
      <c r="Z197">
        <v>2224</v>
      </c>
      <c r="AA197">
        <v>1.14262E-3</v>
      </c>
      <c r="AE197" s="126">
        <v>43193</v>
      </c>
      <c r="AF197">
        <v>1098.2</v>
      </c>
      <c r="AG197">
        <v>1123.9000000000001</v>
      </c>
      <c r="AH197">
        <v>1095</v>
      </c>
      <c r="AI197">
        <v>1097.0999999999999</v>
      </c>
      <c r="AJ197">
        <v>102</v>
      </c>
      <c r="AK197">
        <v>-1.9308125999999998E-2</v>
      </c>
      <c r="AO197" t="s">
        <v>262</v>
      </c>
      <c r="AP197">
        <v>1170</v>
      </c>
      <c r="AQ197">
        <v>1190</v>
      </c>
      <c r="AR197">
        <v>1138.0999999999999</v>
      </c>
      <c r="AS197">
        <v>1182.0999999999999</v>
      </c>
      <c r="AT197">
        <v>2166</v>
      </c>
      <c r="AU197">
        <v>3.5567236000000002E-2</v>
      </c>
    </row>
    <row r="198" spans="1:47" x14ac:dyDescent="0.3">
      <c r="A198" s="126">
        <v>42250</v>
      </c>
      <c r="B198">
        <v>1121.0999999999999</v>
      </c>
      <c r="C198">
        <v>1144.9000000000001</v>
      </c>
      <c r="D198">
        <v>1120</v>
      </c>
      <c r="E198">
        <v>1128.7</v>
      </c>
      <c r="F198">
        <v>1465</v>
      </c>
      <c r="G198" s="66">
        <v>-2.7000000000000001E-3</v>
      </c>
      <c r="K198" t="s">
        <v>261</v>
      </c>
      <c r="L198">
        <v>1271</v>
      </c>
      <c r="M198">
        <v>1300</v>
      </c>
      <c r="N198">
        <v>1267</v>
      </c>
      <c r="O198">
        <v>1296.3</v>
      </c>
      <c r="P198">
        <v>472</v>
      </c>
      <c r="Q198">
        <v>1.4795679000000001E-2</v>
      </c>
      <c r="U198" t="s">
        <v>260</v>
      </c>
      <c r="V198">
        <v>963.1</v>
      </c>
      <c r="W198">
        <v>969</v>
      </c>
      <c r="X198">
        <v>962</v>
      </c>
      <c r="Y198">
        <v>962.7</v>
      </c>
      <c r="Z198">
        <v>1113</v>
      </c>
      <c r="AA198">
        <v>-2.9000520000000002E-3</v>
      </c>
      <c r="AE198" s="126">
        <v>43103</v>
      </c>
      <c r="AF198">
        <v>1133</v>
      </c>
      <c r="AG198">
        <v>1133</v>
      </c>
      <c r="AH198">
        <v>1115</v>
      </c>
      <c r="AI198">
        <v>1118.7</v>
      </c>
      <c r="AJ198">
        <v>403</v>
      </c>
      <c r="AK198">
        <v>9.930487E-3</v>
      </c>
      <c r="AO198" t="s">
        <v>259</v>
      </c>
      <c r="AP198">
        <v>1134.8</v>
      </c>
      <c r="AQ198">
        <v>1149</v>
      </c>
      <c r="AR198">
        <v>1130.9000000000001</v>
      </c>
      <c r="AS198">
        <v>1141.5</v>
      </c>
      <c r="AT198">
        <v>3912</v>
      </c>
      <c r="AU198">
        <v>6.0814379999999998E-3</v>
      </c>
    </row>
    <row r="199" spans="1:47" x14ac:dyDescent="0.3">
      <c r="A199" s="126">
        <v>42219</v>
      </c>
      <c r="B199">
        <v>1137.5999999999999</v>
      </c>
      <c r="C199">
        <v>1144</v>
      </c>
      <c r="D199">
        <v>1127</v>
      </c>
      <c r="E199">
        <v>1131.8</v>
      </c>
      <c r="F199">
        <v>2253</v>
      </c>
      <c r="G199" s="66">
        <v>-1.41E-2</v>
      </c>
      <c r="K199" t="s">
        <v>258</v>
      </c>
      <c r="L199">
        <v>1277</v>
      </c>
      <c r="M199">
        <v>1304</v>
      </c>
      <c r="N199">
        <v>1276</v>
      </c>
      <c r="O199">
        <v>1277.4000000000001</v>
      </c>
      <c r="P199">
        <v>105</v>
      </c>
      <c r="Q199">
        <v>-7.3820810000000004E-3</v>
      </c>
      <c r="U199" t="s">
        <v>257</v>
      </c>
      <c r="V199">
        <v>967</v>
      </c>
      <c r="W199">
        <v>968</v>
      </c>
      <c r="X199">
        <v>962</v>
      </c>
      <c r="Y199">
        <v>965.5</v>
      </c>
      <c r="Z199">
        <v>1821</v>
      </c>
      <c r="AA199">
        <v>-9.31291E-4</v>
      </c>
      <c r="AE199" t="s">
        <v>256</v>
      </c>
      <c r="AF199">
        <v>1099.9000000000001</v>
      </c>
      <c r="AG199">
        <v>1150</v>
      </c>
      <c r="AH199">
        <v>1098</v>
      </c>
      <c r="AI199">
        <v>1107.7</v>
      </c>
      <c r="AJ199">
        <v>1469</v>
      </c>
      <c r="AK199">
        <v>1.9887670999999999E-2</v>
      </c>
      <c r="AO199" t="s">
        <v>255</v>
      </c>
      <c r="AP199">
        <v>1151.5</v>
      </c>
      <c r="AQ199">
        <v>1170</v>
      </c>
      <c r="AR199">
        <v>1131.5</v>
      </c>
      <c r="AS199">
        <v>1134.5999999999999</v>
      </c>
      <c r="AT199">
        <v>3794</v>
      </c>
      <c r="AU199">
        <v>-1.4676509000000001E-2</v>
      </c>
    </row>
    <row r="200" spans="1:47" x14ac:dyDescent="0.3">
      <c r="A200" s="126">
        <v>42127</v>
      </c>
      <c r="B200">
        <v>1164.5999999999999</v>
      </c>
      <c r="C200">
        <v>1164.5999999999999</v>
      </c>
      <c r="D200">
        <v>1136.3</v>
      </c>
      <c r="E200">
        <v>1148</v>
      </c>
      <c r="F200">
        <v>2210</v>
      </c>
      <c r="G200" s="66">
        <v>6.1999999999999998E-3</v>
      </c>
      <c r="K200" t="s">
        <v>254</v>
      </c>
      <c r="L200">
        <v>1287.5</v>
      </c>
      <c r="M200">
        <v>1290</v>
      </c>
      <c r="N200">
        <v>1276</v>
      </c>
      <c r="O200">
        <v>1286.9000000000001</v>
      </c>
      <c r="P200">
        <v>119</v>
      </c>
      <c r="Q200">
        <v>-1.0305313999999999E-2</v>
      </c>
      <c r="U200" s="126">
        <v>43072</v>
      </c>
      <c r="V200">
        <v>970</v>
      </c>
      <c r="W200">
        <v>970</v>
      </c>
      <c r="X200">
        <v>965.3</v>
      </c>
      <c r="Y200">
        <v>966.4</v>
      </c>
      <c r="Z200">
        <v>3860</v>
      </c>
      <c r="AA200">
        <v>-3.1975240000000002E-3</v>
      </c>
      <c r="AE200" t="s">
        <v>253</v>
      </c>
      <c r="AF200">
        <v>1085</v>
      </c>
      <c r="AG200">
        <v>1096.9000000000001</v>
      </c>
      <c r="AH200">
        <v>1085</v>
      </c>
      <c r="AI200">
        <v>1086.0999999999999</v>
      </c>
      <c r="AJ200">
        <v>11</v>
      </c>
      <c r="AK200">
        <v>8.6367010000000001E-3</v>
      </c>
      <c r="AO200" t="s">
        <v>252</v>
      </c>
      <c r="AP200">
        <v>1180</v>
      </c>
      <c r="AQ200">
        <v>1183</v>
      </c>
      <c r="AR200">
        <v>1145</v>
      </c>
      <c r="AS200">
        <v>1151.5</v>
      </c>
      <c r="AT200">
        <v>5301</v>
      </c>
      <c r="AU200">
        <v>-7.4987070000000003E-3</v>
      </c>
    </row>
    <row r="201" spans="1:47" x14ac:dyDescent="0.3">
      <c r="A201" s="126">
        <v>42097</v>
      </c>
      <c r="B201">
        <v>1153</v>
      </c>
      <c r="C201">
        <v>1153</v>
      </c>
      <c r="D201">
        <v>1135.0999999999999</v>
      </c>
      <c r="E201">
        <v>1140.9000000000001</v>
      </c>
      <c r="F201">
        <v>4465</v>
      </c>
      <c r="G201" s="66">
        <v>5.4999999999999997E-3</v>
      </c>
      <c r="K201" t="s">
        <v>251</v>
      </c>
      <c r="L201">
        <v>1300</v>
      </c>
      <c r="M201">
        <v>1302</v>
      </c>
      <c r="N201">
        <v>1300</v>
      </c>
      <c r="O201">
        <v>1300.3</v>
      </c>
      <c r="P201">
        <v>620</v>
      </c>
      <c r="Q201">
        <v>-8.4524399999999999E-4</v>
      </c>
      <c r="U201" s="126">
        <v>42981</v>
      </c>
      <c r="V201">
        <v>970</v>
      </c>
      <c r="W201">
        <v>974</v>
      </c>
      <c r="X201">
        <v>968.1</v>
      </c>
      <c r="Y201">
        <v>969.5</v>
      </c>
      <c r="Z201">
        <v>1319</v>
      </c>
      <c r="AA201">
        <v>-3.0934199999999999E-4</v>
      </c>
      <c r="AE201" t="s">
        <v>250</v>
      </c>
      <c r="AF201">
        <v>1070.0999999999999</v>
      </c>
      <c r="AG201">
        <v>1100</v>
      </c>
      <c r="AH201">
        <v>1070</v>
      </c>
      <c r="AI201">
        <v>1076.8</v>
      </c>
      <c r="AJ201">
        <v>285</v>
      </c>
      <c r="AK201">
        <v>1.0225900000000001E-3</v>
      </c>
      <c r="AO201" t="s">
        <v>249</v>
      </c>
      <c r="AP201">
        <v>1143.0999999999999</v>
      </c>
      <c r="AQ201">
        <v>1168.7</v>
      </c>
      <c r="AR201">
        <v>1143.0999999999999</v>
      </c>
      <c r="AS201">
        <v>1160.2</v>
      </c>
      <c r="AT201">
        <v>1036</v>
      </c>
      <c r="AU201">
        <v>8.0806330000000003E-3</v>
      </c>
    </row>
    <row r="202" spans="1:47" x14ac:dyDescent="0.3">
      <c r="A202" s="126">
        <v>42066</v>
      </c>
      <c r="B202">
        <v>1131.0999999999999</v>
      </c>
      <c r="C202">
        <v>1160</v>
      </c>
      <c r="D202">
        <v>1118</v>
      </c>
      <c r="E202">
        <v>1134.7</v>
      </c>
      <c r="F202">
        <v>2412</v>
      </c>
      <c r="G202" s="66">
        <v>-1.17E-2</v>
      </c>
      <c r="K202" t="s">
        <v>248</v>
      </c>
      <c r="L202">
        <v>1300</v>
      </c>
      <c r="M202">
        <v>1302</v>
      </c>
      <c r="N202">
        <v>1295</v>
      </c>
      <c r="O202">
        <v>1301.4000000000001</v>
      </c>
      <c r="P202">
        <v>1146</v>
      </c>
      <c r="Q202">
        <v>5.6409859999999997E-3</v>
      </c>
      <c r="U202" s="126">
        <v>42950</v>
      </c>
      <c r="V202">
        <v>974</v>
      </c>
      <c r="W202">
        <v>975.5</v>
      </c>
      <c r="X202">
        <v>968</v>
      </c>
      <c r="Y202">
        <v>969.8</v>
      </c>
      <c r="Z202">
        <v>1475</v>
      </c>
      <c r="AA202">
        <v>-6.7595249999999997E-3</v>
      </c>
      <c r="AE202" t="s">
        <v>247</v>
      </c>
      <c r="AF202">
        <v>1085</v>
      </c>
      <c r="AG202">
        <v>1085</v>
      </c>
      <c r="AH202">
        <v>1073</v>
      </c>
      <c r="AI202">
        <v>1075.7</v>
      </c>
      <c r="AJ202">
        <v>343</v>
      </c>
      <c r="AK202">
        <v>-6.1899479999999998E-3</v>
      </c>
      <c r="AO202" t="s">
        <v>246</v>
      </c>
      <c r="AP202">
        <v>1191.8</v>
      </c>
      <c r="AQ202">
        <v>1191.8</v>
      </c>
      <c r="AR202">
        <v>1135</v>
      </c>
      <c r="AS202">
        <v>1150.9000000000001</v>
      </c>
      <c r="AT202">
        <v>1797</v>
      </c>
      <c r="AU202">
        <v>-8.6993969999999993E-3</v>
      </c>
    </row>
    <row r="203" spans="1:47" x14ac:dyDescent="0.3">
      <c r="A203" s="126">
        <v>42038</v>
      </c>
      <c r="B203">
        <v>1167</v>
      </c>
      <c r="C203">
        <v>1170</v>
      </c>
      <c r="D203">
        <v>1146</v>
      </c>
      <c r="E203">
        <v>1148.0999999999999</v>
      </c>
      <c r="F203">
        <v>1616</v>
      </c>
      <c r="G203" s="66">
        <v>-1.5599999999999999E-2</v>
      </c>
      <c r="K203" t="s">
        <v>245</v>
      </c>
      <c r="L203">
        <v>1300</v>
      </c>
      <c r="M203">
        <v>1304.8</v>
      </c>
      <c r="N203">
        <v>1292</v>
      </c>
      <c r="O203">
        <v>1294.0999999999999</v>
      </c>
      <c r="P203">
        <v>766</v>
      </c>
      <c r="Q203">
        <v>1.0830049999999999E-3</v>
      </c>
      <c r="U203" s="126">
        <v>42919</v>
      </c>
      <c r="V203">
        <v>980</v>
      </c>
      <c r="W203">
        <v>980</v>
      </c>
      <c r="X203">
        <v>973.1</v>
      </c>
      <c r="Y203">
        <v>976.4</v>
      </c>
      <c r="Z203">
        <v>1712</v>
      </c>
      <c r="AA203">
        <v>4.0983600000000001E-4</v>
      </c>
      <c r="AE203" t="s">
        <v>244</v>
      </c>
      <c r="AF203">
        <v>1100</v>
      </c>
      <c r="AG203">
        <v>1100</v>
      </c>
      <c r="AH203">
        <v>1076.3</v>
      </c>
      <c r="AI203">
        <v>1082.4000000000001</v>
      </c>
      <c r="AJ203">
        <v>389</v>
      </c>
      <c r="AK203">
        <v>6.0414539999999999E-3</v>
      </c>
      <c r="AO203" t="s">
        <v>243</v>
      </c>
      <c r="AP203">
        <v>1187</v>
      </c>
      <c r="AQ203">
        <v>1215</v>
      </c>
      <c r="AR203">
        <v>1151</v>
      </c>
      <c r="AS203">
        <v>1161</v>
      </c>
      <c r="AT203">
        <v>2163</v>
      </c>
      <c r="AU203">
        <v>-1.9922336999999998E-2</v>
      </c>
    </row>
    <row r="204" spans="1:47" x14ac:dyDescent="0.3">
      <c r="A204" s="126">
        <v>42007</v>
      </c>
      <c r="B204">
        <v>1106</v>
      </c>
      <c r="C204">
        <v>1184</v>
      </c>
      <c r="D204">
        <v>1105</v>
      </c>
      <c r="E204">
        <v>1166.3</v>
      </c>
      <c r="F204">
        <v>5803</v>
      </c>
      <c r="G204" s="66">
        <v>2.7000000000000001E-3</v>
      </c>
      <c r="K204" t="s">
        <v>242</v>
      </c>
      <c r="L204">
        <v>1301</v>
      </c>
      <c r="M204">
        <v>1301</v>
      </c>
      <c r="N204">
        <v>1290</v>
      </c>
      <c r="O204">
        <v>1292.7</v>
      </c>
      <c r="P204">
        <v>2109</v>
      </c>
      <c r="Q204">
        <v>-7.9048350000000007E-3</v>
      </c>
      <c r="U204" s="126">
        <v>42889</v>
      </c>
      <c r="V204">
        <v>975</v>
      </c>
      <c r="W204">
        <v>983.9</v>
      </c>
      <c r="X204">
        <v>971</v>
      </c>
      <c r="Y204">
        <v>976</v>
      </c>
      <c r="Z204">
        <v>702</v>
      </c>
      <c r="AA204">
        <v>3.1863500000000001E-3</v>
      </c>
      <c r="AE204" t="s">
        <v>241</v>
      </c>
      <c r="AF204">
        <v>1100</v>
      </c>
      <c r="AG204">
        <v>1100</v>
      </c>
      <c r="AH204">
        <v>1075</v>
      </c>
      <c r="AI204">
        <v>1075.9000000000001</v>
      </c>
      <c r="AJ204">
        <v>1123</v>
      </c>
      <c r="AK204">
        <v>-2.2175770000000001E-2</v>
      </c>
      <c r="AO204" t="s">
        <v>240</v>
      </c>
      <c r="AP204">
        <v>1239</v>
      </c>
      <c r="AQ204">
        <v>1239</v>
      </c>
      <c r="AR204">
        <v>1170.0999999999999</v>
      </c>
      <c r="AS204">
        <v>1184.5999999999999</v>
      </c>
      <c r="AT204">
        <v>3230</v>
      </c>
      <c r="AU204">
        <v>-2.1800165E-2</v>
      </c>
    </row>
    <row r="205" spans="1:47" x14ac:dyDescent="0.3">
      <c r="A205" t="s">
        <v>239</v>
      </c>
      <c r="B205">
        <v>1125.2</v>
      </c>
      <c r="C205">
        <v>1165</v>
      </c>
      <c r="D205">
        <v>1125.2</v>
      </c>
      <c r="E205">
        <v>1163.2</v>
      </c>
      <c r="F205">
        <v>5694</v>
      </c>
      <c r="G205" s="66">
        <v>1.6799999999999999E-2</v>
      </c>
      <c r="K205" t="s">
        <v>238</v>
      </c>
      <c r="L205">
        <v>1312</v>
      </c>
      <c r="M205">
        <v>1312</v>
      </c>
      <c r="N205">
        <v>1300</v>
      </c>
      <c r="O205">
        <v>1303</v>
      </c>
      <c r="P205">
        <v>242</v>
      </c>
      <c r="Q205">
        <v>-6.6326140000000002E-3</v>
      </c>
      <c r="U205" s="126">
        <v>42858</v>
      </c>
      <c r="V205">
        <v>975.8</v>
      </c>
      <c r="W205">
        <v>980</v>
      </c>
      <c r="X205">
        <v>970</v>
      </c>
      <c r="Y205">
        <v>972.9</v>
      </c>
      <c r="Z205">
        <v>1705</v>
      </c>
      <c r="AA205">
        <v>8.9183860000000004E-3</v>
      </c>
      <c r="AE205" t="s">
        <v>237</v>
      </c>
      <c r="AF205">
        <v>1095</v>
      </c>
      <c r="AG205">
        <v>1140</v>
      </c>
      <c r="AH205">
        <v>1095</v>
      </c>
      <c r="AI205">
        <v>1100.3</v>
      </c>
      <c r="AJ205">
        <v>682</v>
      </c>
      <c r="AK205">
        <v>4.1065889999999999E-3</v>
      </c>
      <c r="AO205" t="s">
        <v>236</v>
      </c>
      <c r="AP205">
        <v>1229</v>
      </c>
      <c r="AQ205">
        <v>1245</v>
      </c>
      <c r="AR205">
        <v>1205</v>
      </c>
      <c r="AS205">
        <v>1211</v>
      </c>
      <c r="AT205">
        <v>2488</v>
      </c>
      <c r="AU205">
        <v>-4.3574779999999997E-3</v>
      </c>
    </row>
    <row r="206" spans="1:47" x14ac:dyDescent="0.3">
      <c r="A206" t="s">
        <v>235</v>
      </c>
      <c r="B206">
        <v>1156</v>
      </c>
      <c r="C206">
        <v>1164</v>
      </c>
      <c r="D206">
        <v>1135</v>
      </c>
      <c r="E206">
        <v>1144</v>
      </c>
      <c r="F206">
        <v>4228</v>
      </c>
      <c r="G206" s="66">
        <v>-1.15E-2</v>
      </c>
      <c r="K206" t="s">
        <v>234</v>
      </c>
      <c r="L206">
        <v>1315</v>
      </c>
      <c r="M206">
        <v>1320</v>
      </c>
      <c r="N206">
        <v>1288.2</v>
      </c>
      <c r="O206">
        <v>1311.7</v>
      </c>
      <c r="P206">
        <v>1073</v>
      </c>
      <c r="Q206">
        <v>7.7596799999999997E-3</v>
      </c>
      <c r="U206" s="126">
        <v>42769</v>
      </c>
      <c r="V206">
        <v>970.6</v>
      </c>
      <c r="W206">
        <v>974.5</v>
      </c>
      <c r="X206">
        <v>960</v>
      </c>
      <c r="Y206">
        <v>964.3</v>
      </c>
      <c r="Z206">
        <v>4101</v>
      </c>
      <c r="AA206">
        <v>-6.4908300000000004E-3</v>
      </c>
      <c r="AE206" t="s">
        <v>233</v>
      </c>
      <c r="AF206">
        <v>1120</v>
      </c>
      <c r="AG206">
        <v>1120</v>
      </c>
      <c r="AH206">
        <v>1087</v>
      </c>
      <c r="AI206">
        <v>1095.8</v>
      </c>
      <c r="AJ206">
        <v>420</v>
      </c>
      <c r="AK206">
        <v>-2.4133939E-2</v>
      </c>
      <c r="AO206" s="126">
        <v>43801</v>
      </c>
      <c r="AP206">
        <v>1270</v>
      </c>
      <c r="AQ206">
        <v>1279</v>
      </c>
      <c r="AR206">
        <v>1210</v>
      </c>
      <c r="AS206">
        <v>1216.3</v>
      </c>
      <c r="AT206">
        <v>5671</v>
      </c>
      <c r="AU206">
        <v>-5.5154199000000001E-2</v>
      </c>
    </row>
    <row r="207" spans="1:47" x14ac:dyDescent="0.3">
      <c r="A207" t="s">
        <v>232</v>
      </c>
      <c r="B207">
        <v>1193.9000000000001</v>
      </c>
      <c r="C207">
        <v>1193.9000000000001</v>
      </c>
      <c r="D207">
        <v>1154.9000000000001</v>
      </c>
      <c r="E207">
        <v>1157.3</v>
      </c>
      <c r="F207">
        <v>7137</v>
      </c>
      <c r="G207" s="66">
        <v>-2.35E-2</v>
      </c>
      <c r="K207" t="s">
        <v>231</v>
      </c>
      <c r="L207">
        <v>1290.2</v>
      </c>
      <c r="M207">
        <v>1305</v>
      </c>
      <c r="N207">
        <v>1290.2</v>
      </c>
      <c r="O207">
        <v>1301.5999999999999</v>
      </c>
      <c r="P207">
        <v>1300</v>
      </c>
      <c r="Q207">
        <v>2.850759E-3</v>
      </c>
      <c r="U207" s="126">
        <v>42738</v>
      </c>
      <c r="V207">
        <v>978</v>
      </c>
      <c r="W207">
        <v>995</v>
      </c>
      <c r="X207">
        <v>969</v>
      </c>
      <c r="Y207">
        <v>970.6</v>
      </c>
      <c r="Z207">
        <v>5873</v>
      </c>
      <c r="AA207">
        <v>-6.6523390000000002E-3</v>
      </c>
      <c r="AE207" t="s">
        <v>230</v>
      </c>
      <c r="AF207">
        <v>1120.0999999999999</v>
      </c>
      <c r="AG207">
        <v>1127</v>
      </c>
      <c r="AH207">
        <v>1120.0999999999999</v>
      </c>
      <c r="AI207">
        <v>1122.9000000000001</v>
      </c>
      <c r="AJ207">
        <v>211</v>
      </c>
      <c r="AK207">
        <v>-4.9623389999999996E-3</v>
      </c>
      <c r="AO207" s="126">
        <v>43771</v>
      </c>
      <c r="AP207">
        <v>1340</v>
      </c>
      <c r="AQ207">
        <v>1350</v>
      </c>
      <c r="AR207">
        <v>1276.0999999999999</v>
      </c>
      <c r="AS207">
        <v>1287.3</v>
      </c>
      <c r="AT207">
        <v>6011</v>
      </c>
      <c r="AU207">
        <v>-3.5585855999999999E-2</v>
      </c>
    </row>
    <row r="208" spans="1:47" x14ac:dyDescent="0.3">
      <c r="A208" t="s">
        <v>229</v>
      </c>
      <c r="B208">
        <v>1174.9000000000001</v>
      </c>
      <c r="C208">
        <v>1199.9000000000001</v>
      </c>
      <c r="D208">
        <v>1160</v>
      </c>
      <c r="E208">
        <v>1185.2</v>
      </c>
      <c r="F208">
        <v>9882</v>
      </c>
      <c r="G208" s="66">
        <v>1.52E-2</v>
      </c>
      <c r="K208" s="126">
        <v>42676</v>
      </c>
      <c r="L208">
        <v>1290</v>
      </c>
      <c r="M208">
        <v>1305</v>
      </c>
      <c r="N208">
        <v>1287.5</v>
      </c>
      <c r="O208">
        <v>1297.9000000000001</v>
      </c>
      <c r="P208">
        <v>2990</v>
      </c>
      <c r="Q208">
        <v>-1.461763E-3</v>
      </c>
      <c r="U208" t="s">
        <v>228</v>
      </c>
      <c r="V208">
        <v>977</v>
      </c>
      <c r="W208">
        <v>989</v>
      </c>
      <c r="X208">
        <v>974.4</v>
      </c>
      <c r="Y208">
        <v>977.1</v>
      </c>
      <c r="Z208">
        <v>5411</v>
      </c>
      <c r="AA208">
        <v>2.873858E-3</v>
      </c>
      <c r="AE208" t="s">
        <v>227</v>
      </c>
      <c r="AF208">
        <v>1131</v>
      </c>
      <c r="AG208">
        <v>1132</v>
      </c>
      <c r="AH208">
        <v>1128</v>
      </c>
      <c r="AI208">
        <v>1128.5</v>
      </c>
      <c r="AJ208">
        <v>2003</v>
      </c>
      <c r="AK208">
        <v>-5.5516389999999997E-3</v>
      </c>
      <c r="AO208" s="126">
        <v>43740</v>
      </c>
      <c r="AP208">
        <v>1314</v>
      </c>
      <c r="AQ208">
        <v>1353</v>
      </c>
      <c r="AR208">
        <v>1302</v>
      </c>
      <c r="AS208">
        <v>1334.8</v>
      </c>
      <c r="AT208">
        <v>20339</v>
      </c>
      <c r="AU208">
        <v>4.9206100000000003E-2</v>
      </c>
    </row>
    <row r="209" spans="1:47" x14ac:dyDescent="0.3">
      <c r="A209" t="s">
        <v>226</v>
      </c>
      <c r="B209">
        <v>1125</v>
      </c>
      <c r="C209">
        <v>1173.9000000000001</v>
      </c>
      <c r="D209">
        <v>1125</v>
      </c>
      <c r="E209">
        <v>1167.5</v>
      </c>
      <c r="F209">
        <v>6047</v>
      </c>
      <c r="G209" s="66">
        <v>4.6600000000000003E-2</v>
      </c>
      <c r="K209" s="126">
        <v>42645</v>
      </c>
      <c r="L209">
        <v>1287</v>
      </c>
      <c r="M209">
        <v>1304</v>
      </c>
      <c r="N209">
        <v>1280</v>
      </c>
      <c r="O209">
        <v>1299.8</v>
      </c>
      <c r="P209">
        <v>646</v>
      </c>
      <c r="Q209">
        <v>1.0024089E-2</v>
      </c>
      <c r="U209" t="s">
        <v>225</v>
      </c>
      <c r="V209">
        <v>984.2</v>
      </c>
      <c r="W209">
        <v>985</v>
      </c>
      <c r="X209">
        <v>972</v>
      </c>
      <c r="Y209">
        <v>974.3</v>
      </c>
      <c r="Z209">
        <v>5362</v>
      </c>
      <c r="AA209">
        <v>-7.7400960000000001E-3</v>
      </c>
      <c r="AE209" t="s">
        <v>224</v>
      </c>
      <c r="AF209">
        <v>1148</v>
      </c>
      <c r="AG209">
        <v>1148</v>
      </c>
      <c r="AH209">
        <v>1125.0999999999999</v>
      </c>
      <c r="AI209">
        <v>1134.8</v>
      </c>
      <c r="AJ209">
        <v>1125</v>
      </c>
      <c r="AK209">
        <v>-2.1104470000000001E-3</v>
      </c>
      <c r="AO209" s="126">
        <v>43648</v>
      </c>
      <c r="AP209">
        <v>1275.0999999999999</v>
      </c>
      <c r="AQ209">
        <v>1299.9000000000001</v>
      </c>
      <c r="AR209">
        <v>1241</v>
      </c>
      <c r="AS209">
        <v>1272.2</v>
      </c>
      <c r="AT209">
        <v>13732</v>
      </c>
      <c r="AU209">
        <v>3.549736E-3</v>
      </c>
    </row>
    <row r="210" spans="1:47" x14ac:dyDescent="0.3">
      <c r="A210" t="s">
        <v>223</v>
      </c>
      <c r="B210">
        <v>1094</v>
      </c>
      <c r="C210">
        <v>1125</v>
      </c>
      <c r="D210">
        <v>1094</v>
      </c>
      <c r="E210">
        <v>1115.5</v>
      </c>
      <c r="F210">
        <v>6856</v>
      </c>
      <c r="G210" s="66">
        <v>2.41E-2</v>
      </c>
      <c r="K210" s="126">
        <v>42615</v>
      </c>
      <c r="L210">
        <v>1290</v>
      </c>
      <c r="M210">
        <v>1290</v>
      </c>
      <c r="N210">
        <v>1281.5</v>
      </c>
      <c r="O210">
        <v>1286.9000000000001</v>
      </c>
      <c r="P210">
        <v>1366</v>
      </c>
      <c r="Q210">
        <v>-4.6601900000000003E-4</v>
      </c>
      <c r="U210" t="s">
        <v>222</v>
      </c>
      <c r="V210">
        <v>989.9</v>
      </c>
      <c r="W210">
        <v>989.9</v>
      </c>
      <c r="X210">
        <v>970.2</v>
      </c>
      <c r="Y210">
        <v>981.9</v>
      </c>
      <c r="Z210">
        <v>1583</v>
      </c>
      <c r="AA210">
        <v>-8.0816240000000008E-3</v>
      </c>
      <c r="AE210" s="126">
        <v>43406</v>
      </c>
      <c r="AF210">
        <v>1135</v>
      </c>
      <c r="AG210">
        <v>1151</v>
      </c>
      <c r="AH210">
        <v>1130</v>
      </c>
      <c r="AI210">
        <v>1137.2</v>
      </c>
      <c r="AJ210">
        <v>1111</v>
      </c>
      <c r="AK210">
        <v>7.1738549999999998E-3</v>
      </c>
      <c r="AO210" s="126">
        <v>43618</v>
      </c>
      <c r="AP210">
        <v>1205</v>
      </c>
      <c r="AQ210">
        <v>1270</v>
      </c>
      <c r="AR210">
        <v>1193.9000000000001</v>
      </c>
      <c r="AS210">
        <v>1267.7</v>
      </c>
      <c r="AT210">
        <v>18642</v>
      </c>
      <c r="AU210">
        <v>5.4658902000000002E-2</v>
      </c>
    </row>
    <row r="211" spans="1:47" x14ac:dyDescent="0.3">
      <c r="A211" t="s">
        <v>221</v>
      </c>
      <c r="B211">
        <v>1084.8</v>
      </c>
      <c r="C211">
        <v>1099</v>
      </c>
      <c r="D211">
        <v>1080.7</v>
      </c>
      <c r="E211">
        <v>1089.3</v>
      </c>
      <c r="F211">
        <v>3281</v>
      </c>
      <c r="G211" s="66">
        <v>1.03E-2</v>
      </c>
      <c r="K211" s="126">
        <v>42584</v>
      </c>
      <c r="L211">
        <v>1293</v>
      </c>
      <c r="M211">
        <v>1310</v>
      </c>
      <c r="N211">
        <v>1283</v>
      </c>
      <c r="O211">
        <v>1287.5</v>
      </c>
      <c r="P211">
        <v>4277</v>
      </c>
      <c r="Q211">
        <v>-2.5949462999999999E-2</v>
      </c>
      <c r="U211" t="s">
        <v>220</v>
      </c>
      <c r="V211">
        <v>997</v>
      </c>
      <c r="W211">
        <v>997</v>
      </c>
      <c r="X211">
        <v>983</v>
      </c>
      <c r="Y211">
        <v>989.9</v>
      </c>
      <c r="Z211">
        <v>424</v>
      </c>
      <c r="AA211">
        <v>5.2807959999999999E-3</v>
      </c>
      <c r="AE211" s="126">
        <v>43314</v>
      </c>
      <c r="AF211">
        <v>1136.7</v>
      </c>
      <c r="AG211">
        <v>1136.7</v>
      </c>
      <c r="AH211">
        <v>1127.5</v>
      </c>
      <c r="AI211">
        <v>1129.0999999999999</v>
      </c>
      <c r="AJ211">
        <v>1031</v>
      </c>
      <c r="AK211">
        <v>-6.6860210000000003E-3</v>
      </c>
      <c r="AO211" s="126">
        <v>43587</v>
      </c>
      <c r="AP211">
        <v>1140.3</v>
      </c>
      <c r="AQ211">
        <v>1212.4000000000001</v>
      </c>
      <c r="AR211">
        <v>1136.0999999999999</v>
      </c>
      <c r="AS211">
        <v>1202</v>
      </c>
      <c r="AT211">
        <v>15279</v>
      </c>
      <c r="AU211">
        <v>6.0432289E-2</v>
      </c>
    </row>
    <row r="212" spans="1:47" x14ac:dyDescent="0.3">
      <c r="A212" t="s">
        <v>219</v>
      </c>
      <c r="B212">
        <v>1065</v>
      </c>
      <c r="C212">
        <v>1082.9000000000001</v>
      </c>
      <c r="D212">
        <v>1065</v>
      </c>
      <c r="E212">
        <v>1078.2</v>
      </c>
      <c r="F212">
        <v>973</v>
      </c>
      <c r="G212" s="66">
        <v>7.4000000000000003E-3</v>
      </c>
      <c r="K212" s="126">
        <v>42553</v>
      </c>
      <c r="L212">
        <v>1299</v>
      </c>
      <c r="M212">
        <v>1327</v>
      </c>
      <c r="N212">
        <v>1296</v>
      </c>
      <c r="O212">
        <v>1321.8</v>
      </c>
      <c r="P212">
        <v>3134</v>
      </c>
      <c r="Q212">
        <v>2.8158058E-2</v>
      </c>
      <c r="U212" t="s">
        <v>218</v>
      </c>
      <c r="V212">
        <v>999</v>
      </c>
      <c r="W212">
        <v>999</v>
      </c>
      <c r="X212">
        <v>984.2</v>
      </c>
      <c r="Y212">
        <v>984.7</v>
      </c>
      <c r="Z212">
        <v>3017</v>
      </c>
      <c r="AA212">
        <v>-1.723439E-3</v>
      </c>
      <c r="AE212" s="126">
        <v>43283</v>
      </c>
      <c r="AF212">
        <v>1155</v>
      </c>
      <c r="AG212">
        <v>1155</v>
      </c>
      <c r="AH212">
        <v>1130</v>
      </c>
      <c r="AI212">
        <v>1136.7</v>
      </c>
      <c r="AJ212">
        <v>1105</v>
      </c>
      <c r="AK212">
        <v>-1.1651161E-2</v>
      </c>
      <c r="AO212" s="126">
        <v>43557</v>
      </c>
      <c r="AP212">
        <v>1156</v>
      </c>
      <c r="AQ212">
        <v>1156</v>
      </c>
      <c r="AR212">
        <v>1120</v>
      </c>
      <c r="AS212">
        <v>1133.5</v>
      </c>
      <c r="AT212">
        <v>2596</v>
      </c>
      <c r="AU212">
        <v>-1.8019579000000001E-2</v>
      </c>
    </row>
    <row r="213" spans="1:47" x14ac:dyDescent="0.3">
      <c r="A213" t="s">
        <v>217</v>
      </c>
      <c r="B213">
        <v>1047.0999999999999</v>
      </c>
      <c r="C213">
        <v>1075</v>
      </c>
      <c r="D213">
        <v>1047.0999999999999</v>
      </c>
      <c r="E213">
        <v>1070.3</v>
      </c>
      <c r="F213">
        <v>1628</v>
      </c>
      <c r="G213" s="66">
        <v>9.1000000000000004E-3</v>
      </c>
      <c r="K213" s="126">
        <v>42462</v>
      </c>
      <c r="L213">
        <v>1280</v>
      </c>
      <c r="M213">
        <v>1290</v>
      </c>
      <c r="N213">
        <v>1276.2</v>
      </c>
      <c r="O213">
        <v>1285.5999999999999</v>
      </c>
      <c r="P213">
        <v>546</v>
      </c>
      <c r="Q213">
        <v>1.1327879000000001E-2</v>
      </c>
      <c r="U213" t="s">
        <v>216</v>
      </c>
      <c r="V213">
        <v>991.2</v>
      </c>
      <c r="W213">
        <v>993</v>
      </c>
      <c r="X213">
        <v>985</v>
      </c>
      <c r="Y213">
        <v>986.4</v>
      </c>
      <c r="Z213">
        <v>4039</v>
      </c>
      <c r="AA213">
        <v>-8.24452E-3</v>
      </c>
      <c r="AE213" s="126">
        <v>43253</v>
      </c>
      <c r="AF213">
        <v>1115</v>
      </c>
      <c r="AG213">
        <v>1175</v>
      </c>
      <c r="AH213">
        <v>1115</v>
      </c>
      <c r="AI213">
        <v>1150.0999999999999</v>
      </c>
      <c r="AJ213">
        <v>5996</v>
      </c>
      <c r="AK213">
        <v>3.3704836000000002E-2</v>
      </c>
      <c r="AO213" s="126">
        <v>43526</v>
      </c>
      <c r="AP213">
        <v>1120</v>
      </c>
      <c r="AQ213">
        <v>1183</v>
      </c>
      <c r="AR213">
        <v>1120</v>
      </c>
      <c r="AS213">
        <v>1154.3</v>
      </c>
      <c r="AT213">
        <v>3094</v>
      </c>
      <c r="AU213">
        <v>4.1692988E-2</v>
      </c>
    </row>
    <row r="214" spans="1:47" x14ac:dyDescent="0.3">
      <c r="A214" t="s">
        <v>215</v>
      </c>
      <c r="B214">
        <v>1065</v>
      </c>
      <c r="C214">
        <v>1070</v>
      </c>
      <c r="D214">
        <v>1060.5</v>
      </c>
      <c r="E214">
        <v>1060.5999999999999</v>
      </c>
      <c r="F214">
        <v>1449</v>
      </c>
      <c r="G214" s="66">
        <v>-3.3E-3</v>
      </c>
      <c r="K214" s="126">
        <v>42431</v>
      </c>
      <c r="L214">
        <v>1277.3</v>
      </c>
      <c r="M214">
        <v>1277.3</v>
      </c>
      <c r="N214">
        <v>1271</v>
      </c>
      <c r="O214">
        <v>1271.2</v>
      </c>
      <c r="P214">
        <v>783</v>
      </c>
      <c r="Q214">
        <v>-1.884422E-3</v>
      </c>
      <c r="U214" t="s">
        <v>214</v>
      </c>
      <c r="V214">
        <v>1005</v>
      </c>
      <c r="W214">
        <v>1005</v>
      </c>
      <c r="X214">
        <v>990</v>
      </c>
      <c r="Y214">
        <v>994.6</v>
      </c>
      <c r="Z214">
        <v>1246</v>
      </c>
      <c r="AA214">
        <v>3.430186E-3</v>
      </c>
      <c r="AE214" s="126">
        <v>43222</v>
      </c>
      <c r="AF214">
        <v>1109.9000000000001</v>
      </c>
      <c r="AG214">
        <v>1155</v>
      </c>
      <c r="AH214">
        <v>1097</v>
      </c>
      <c r="AI214">
        <v>1112.5999999999999</v>
      </c>
      <c r="AJ214">
        <v>4630</v>
      </c>
      <c r="AK214">
        <v>-3.314521E-3</v>
      </c>
      <c r="AO214" t="s">
        <v>213</v>
      </c>
      <c r="AP214">
        <v>1110</v>
      </c>
      <c r="AQ214">
        <v>1117</v>
      </c>
      <c r="AR214">
        <v>1090.2</v>
      </c>
      <c r="AS214">
        <v>1108.0999999999999</v>
      </c>
      <c r="AT214">
        <v>645</v>
      </c>
      <c r="AU214">
        <v>4.5326810000000002E-3</v>
      </c>
    </row>
    <row r="215" spans="1:47" x14ac:dyDescent="0.3">
      <c r="A215" s="126">
        <v>42340</v>
      </c>
      <c r="B215">
        <v>1077</v>
      </c>
      <c r="C215">
        <v>1078</v>
      </c>
      <c r="D215">
        <v>1058.7</v>
      </c>
      <c r="E215">
        <v>1064.0999999999999</v>
      </c>
      <c r="F215">
        <v>7740</v>
      </c>
      <c r="G215" s="66">
        <v>-2.8E-3</v>
      </c>
      <c r="K215" s="126">
        <v>42402</v>
      </c>
      <c r="L215">
        <v>1290</v>
      </c>
      <c r="M215">
        <v>1290</v>
      </c>
      <c r="N215">
        <v>1270</v>
      </c>
      <c r="O215">
        <v>1273.5999999999999</v>
      </c>
      <c r="P215">
        <v>2552</v>
      </c>
      <c r="Q215">
        <v>-3.2088910000000002E-3</v>
      </c>
      <c r="U215" t="s">
        <v>212</v>
      </c>
      <c r="V215">
        <v>1000</v>
      </c>
      <c r="W215">
        <v>1004</v>
      </c>
      <c r="X215">
        <v>990</v>
      </c>
      <c r="Y215">
        <v>991.2</v>
      </c>
      <c r="Z215">
        <v>3846</v>
      </c>
      <c r="AA215">
        <v>-3.8190950000000002E-3</v>
      </c>
      <c r="AE215" s="126">
        <v>43192</v>
      </c>
      <c r="AF215">
        <v>1123</v>
      </c>
      <c r="AG215">
        <v>1126</v>
      </c>
      <c r="AH215">
        <v>1111.0999999999999</v>
      </c>
      <c r="AI215">
        <v>1116.3</v>
      </c>
      <c r="AJ215">
        <v>6154</v>
      </c>
      <c r="AK215">
        <v>-7.3804020000000003E-3</v>
      </c>
      <c r="AO215" t="s">
        <v>211</v>
      </c>
      <c r="AP215">
        <v>1111</v>
      </c>
      <c r="AQ215">
        <v>1113</v>
      </c>
      <c r="AR215">
        <v>1090.0999999999999</v>
      </c>
      <c r="AS215">
        <v>1103.0999999999999</v>
      </c>
      <c r="AT215">
        <v>5085</v>
      </c>
      <c r="AU215">
        <v>-7.8251480000000005E-3</v>
      </c>
    </row>
    <row r="216" spans="1:47" x14ac:dyDescent="0.3">
      <c r="A216" s="126">
        <v>42310</v>
      </c>
      <c r="B216">
        <v>1086.0999999999999</v>
      </c>
      <c r="C216">
        <v>1086.2</v>
      </c>
      <c r="D216">
        <v>1065</v>
      </c>
      <c r="E216">
        <v>1067.0999999999999</v>
      </c>
      <c r="F216">
        <v>6798</v>
      </c>
      <c r="G216" s="66">
        <v>-2.29E-2</v>
      </c>
      <c r="K216" s="126">
        <v>42371</v>
      </c>
      <c r="L216">
        <v>1300</v>
      </c>
      <c r="M216">
        <v>1300</v>
      </c>
      <c r="N216">
        <v>1274</v>
      </c>
      <c r="O216">
        <v>1277.7</v>
      </c>
      <c r="P216">
        <v>987</v>
      </c>
      <c r="Q216">
        <v>-4.2861599999999998E-3</v>
      </c>
      <c r="U216" t="s">
        <v>210</v>
      </c>
      <c r="V216">
        <v>1008.5</v>
      </c>
      <c r="W216">
        <v>1008.5</v>
      </c>
      <c r="X216">
        <v>990</v>
      </c>
      <c r="Y216">
        <v>995</v>
      </c>
      <c r="Z216">
        <v>14959</v>
      </c>
      <c r="AA216">
        <v>-1.3288378E-2</v>
      </c>
      <c r="AE216" s="126">
        <v>43102</v>
      </c>
      <c r="AF216">
        <v>1123.9000000000001</v>
      </c>
      <c r="AG216">
        <v>1127</v>
      </c>
      <c r="AH216">
        <v>1111</v>
      </c>
      <c r="AI216">
        <v>1124.5999999999999</v>
      </c>
      <c r="AJ216">
        <v>4929</v>
      </c>
      <c r="AK216">
        <v>-2.6668999999999998E-4</v>
      </c>
      <c r="AO216" t="s">
        <v>209</v>
      </c>
      <c r="AP216">
        <v>1119.9000000000001</v>
      </c>
      <c r="AQ216">
        <v>1119.9000000000001</v>
      </c>
      <c r="AR216">
        <v>1086</v>
      </c>
      <c r="AS216">
        <v>1111.8</v>
      </c>
      <c r="AT216">
        <v>15651</v>
      </c>
      <c r="AU216">
        <v>3.8826189999999999E-3</v>
      </c>
    </row>
    <row r="217" spans="1:47" x14ac:dyDescent="0.3">
      <c r="A217" s="126">
        <v>42279</v>
      </c>
      <c r="B217">
        <v>1105</v>
      </c>
      <c r="C217">
        <v>1107</v>
      </c>
      <c r="D217">
        <v>1086.0999999999999</v>
      </c>
      <c r="E217">
        <v>1092.0999999999999</v>
      </c>
      <c r="F217">
        <v>3801</v>
      </c>
      <c r="G217" s="66">
        <v>-3.8E-3</v>
      </c>
      <c r="K217" t="s">
        <v>208</v>
      </c>
      <c r="L217">
        <v>1300</v>
      </c>
      <c r="M217">
        <v>1300</v>
      </c>
      <c r="N217">
        <v>1276</v>
      </c>
      <c r="O217">
        <v>1283.2</v>
      </c>
      <c r="P217">
        <v>507</v>
      </c>
      <c r="Q217">
        <v>-1.1478314E-2</v>
      </c>
      <c r="U217" t="s">
        <v>207</v>
      </c>
      <c r="V217">
        <v>1004.9</v>
      </c>
      <c r="W217">
        <v>1010</v>
      </c>
      <c r="X217">
        <v>1002</v>
      </c>
      <c r="Y217">
        <v>1008.4</v>
      </c>
      <c r="Z217">
        <v>892</v>
      </c>
      <c r="AA217">
        <v>3.6826910000000001E-3</v>
      </c>
      <c r="AE217" t="s">
        <v>206</v>
      </c>
      <c r="AF217">
        <v>1118.2</v>
      </c>
      <c r="AG217">
        <v>1129.9000000000001</v>
      </c>
      <c r="AH217">
        <v>1112</v>
      </c>
      <c r="AI217">
        <v>1124.9000000000001</v>
      </c>
      <c r="AJ217">
        <v>5955</v>
      </c>
      <c r="AK217">
        <v>-4.42517E-3</v>
      </c>
      <c r="AO217" t="s">
        <v>205</v>
      </c>
      <c r="AP217">
        <v>1110</v>
      </c>
      <c r="AQ217">
        <v>1110</v>
      </c>
      <c r="AR217">
        <v>1095</v>
      </c>
      <c r="AS217">
        <v>1107.5</v>
      </c>
      <c r="AT217">
        <v>2656</v>
      </c>
      <c r="AU217">
        <v>7.0012729999999997E-3</v>
      </c>
    </row>
    <row r="218" spans="1:47" x14ac:dyDescent="0.3">
      <c r="A218" s="126">
        <v>42249</v>
      </c>
      <c r="B218">
        <v>1104.9000000000001</v>
      </c>
      <c r="C218">
        <v>1104.9000000000001</v>
      </c>
      <c r="D218">
        <v>1080</v>
      </c>
      <c r="E218">
        <v>1096.3</v>
      </c>
      <c r="F218">
        <v>6623</v>
      </c>
      <c r="G218" s="66">
        <v>3.8E-3</v>
      </c>
      <c r="K218" t="s">
        <v>204</v>
      </c>
      <c r="L218">
        <v>1310</v>
      </c>
      <c r="M218">
        <v>1310</v>
      </c>
      <c r="N218">
        <v>1297.5</v>
      </c>
      <c r="O218">
        <v>1298.0999999999999</v>
      </c>
      <c r="P218">
        <v>410</v>
      </c>
      <c r="Q218">
        <v>-9.6887399999999995E-3</v>
      </c>
      <c r="U218" t="s">
        <v>203</v>
      </c>
      <c r="V218">
        <v>1005</v>
      </c>
      <c r="W218">
        <v>1007.8</v>
      </c>
      <c r="X218">
        <v>995</v>
      </c>
      <c r="Y218">
        <v>1004.7</v>
      </c>
      <c r="Z218">
        <v>1408</v>
      </c>
      <c r="AA218">
        <v>1.2904527000000001E-2</v>
      </c>
      <c r="AE218" t="s">
        <v>202</v>
      </c>
      <c r="AF218">
        <v>1110</v>
      </c>
      <c r="AG218">
        <v>1135</v>
      </c>
      <c r="AH218">
        <v>1110</v>
      </c>
      <c r="AI218">
        <v>1129.9000000000001</v>
      </c>
      <c r="AJ218">
        <v>10420</v>
      </c>
      <c r="AK218">
        <v>1.0463244999999999E-2</v>
      </c>
      <c r="AO218" t="s">
        <v>201</v>
      </c>
      <c r="AP218">
        <v>1105</v>
      </c>
      <c r="AQ218">
        <v>1108.9000000000001</v>
      </c>
      <c r="AR218">
        <v>1080</v>
      </c>
      <c r="AS218">
        <v>1099.8</v>
      </c>
      <c r="AT218">
        <v>3442</v>
      </c>
      <c r="AU218">
        <v>1.0566938999999999E-2</v>
      </c>
    </row>
    <row r="219" spans="1:47" x14ac:dyDescent="0.3">
      <c r="A219" s="126">
        <v>42218</v>
      </c>
      <c r="B219">
        <v>1090</v>
      </c>
      <c r="C219">
        <v>1095</v>
      </c>
      <c r="D219">
        <v>1085</v>
      </c>
      <c r="E219">
        <v>1092.2</v>
      </c>
      <c r="F219">
        <v>4763</v>
      </c>
      <c r="G219" s="66">
        <v>7.6E-3</v>
      </c>
      <c r="K219" t="s">
        <v>200</v>
      </c>
      <c r="L219">
        <v>1325.1</v>
      </c>
      <c r="M219">
        <v>1325.1</v>
      </c>
      <c r="N219">
        <v>1305</v>
      </c>
      <c r="O219">
        <v>1310.8</v>
      </c>
      <c r="P219">
        <v>1856</v>
      </c>
      <c r="Q219">
        <v>-1.9795949999999998E-3</v>
      </c>
      <c r="U219" s="126">
        <v>43071</v>
      </c>
      <c r="V219">
        <v>995</v>
      </c>
      <c r="W219">
        <v>998.6</v>
      </c>
      <c r="X219">
        <v>991.7</v>
      </c>
      <c r="Y219">
        <v>991.9</v>
      </c>
      <c r="Z219">
        <v>2975</v>
      </c>
      <c r="AA219">
        <v>-1.1077540000000001E-3</v>
      </c>
      <c r="AE219" t="s">
        <v>199</v>
      </c>
      <c r="AF219">
        <v>1095</v>
      </c>
      <c r="AG219">
        <v>1125</v>
      </c>
      <c r="AH219">
        <v>1095</v>
      </c>
      <c r="AI219">
        <v>1118.2</v>
      </c>
      <c r="AJ219">
        <v>10855</v>
      </c>
      <c r="AK219">
        <v>1.9883254E-2</v>
      </c>
      <c r="AO219" t="s">
        <v>198</v>
      </c>
      <c r="AP219">
        <v>1119</v>
      </c>
      <c r="AQ219">
        <v>1120</v>
      </c>
      <c r="AR219">
        <v>1086.2</v>
      </c>
      <c r="AS219">
        <v>1088.3</v>
      </c>
      <c r="AT219">
        <v>2577</v>
      </c>
      <c r="AU219">
        <v>-2.1488941000000001E-2</v>
      </c>
    </row>
    <row r="220" spans="1:47" x14ac:dyDescent="0.3">
      <c r="A220" s="126">
        <v>42126</v>
      </c>
      <c r="B220">
        <v>1072</v>
      </c>
      <c r="C220">
        <v>1087</v>
      </c>
      <c r="D220">
        <v>1071.2</v>
      </c>
      <c r="E220">
        <v>1084</v>
      </c>
      <c r="F220">
        <v>5393</v>
      </c>
      <c r="G220" s="66">
        <v>8.6999999999999994E-3</v>
      </c>
      <c r="K220" t="s">
        <v>197</v>
      </c>
      <c r="L220">
        <v>1345</v>
      </c>
      <c r="M220">
        <v>1345</v>
      </c>
      <c r="N220">
        <v>1305</v>
      </c>
      <c r="O220">
        <v>1313.4</v>
      </c>
      <c r="P220">
        <v>2126</v>
      </c>
      <c r="Q220">
        <v>2.9016490000000001E-3</v>
      </c>
      <c r="U220" s="126">
        <v>42980</v>
      </c>
      <c r="V220">
        <v>997.3</v>
      </c>
      <c r="W220">
        <v>997.3</v>
      </c>
      <c r="X220">
        <v>991.1</v>
      </c>
      <c r="Y220">
        <v>993</v>
      </c>
      <c r="Z220">
        <v>3675</v>
      </c>
      <c r="AA220">
        <v>-4.3116409999999997E-3</v>
      </c>
      <c r="AE220" t="s">
        <v>196</v>
      </c>
      <c r="AF220">
        <v>1111</v>
      </c>
      <c r="AG220">
        <v>1111</v>
      </c>
      <c r="AH220">
        <v>1095</v>
      </c>
      <c r="AI220">
        <v>1096.4000000000001</v>
      </c>
      <c r="AJ220">
        <v>291</v>
      </c>
      <c r="AK220">
        <v>-1.7650748000000001E-2</v>
      </c>
      <c r="AO220" t="s">
        <v>195</v>
      </c>
      <c r="AP220">
        <v>1100</v>
      </c>
      <c r="AQ220">
        <v>1120</v>
      </c>
      <c r="AR220">
        <v>1086</v>
      </c>
      <c r="AS220">
        <v>1112.2</v>
      </c>
      <c r="AT220">
        <v>3051</v>
      </c>
      <c r="AU220">
        <v>2.0741557000000001E-2</v>
      </c>
    </row>
    <row r="221" spans="1:47" x14ac:dyDescent="0.3">
      <c r="A221" s="126">
        <v>42096</v>
      </c>
      <c r="B221">
        <v>1065.0999999999999</v>
      </c>
      <c r="C221">
        <v>1077</v>
      </c>
      <c r="D221">
        <v>1065.0999999999999</v>
      </c>
      <c r="E221">
        <v>1074.7</v>
      </c>
      <c r="F221">
        <v>4245</v>
      </c>
      <c r="G221" s="66">
        <v>9.2999999999999992E-3</v>
      </c>
      <c r="K221" t="s">
        <v>194</v>
      </c>
      <c r="L221">
        <v>1310</v>
      </c>
      <c r="M221">
        <v>1320</v>
      </c>
      <c r="N221">
        <v>1305</v>
      </c>
      <c r="O221">
        <v>1309.5999999999999</v>
      </c>
      <c r="P221">
        <v>3813</v>
      </c>
      <c r="Q221">
        <v>3.6018090000000001E-3</v>
      </c>
      <c r="U221" s="126">
        <v>42949</v>
      </c>
      <c r="V221">
        <v>1005</v>
      </c>
      <c r="W221">
        <v>1005</v>
      </c>
      <c r="X221">
        <v>991.1</v>
      </c>
      <c r="Y221">
        <v>997.3</v>
      </c>
      <c r="Z221">
        <v>621</v>
      </c>
      <c r="AA221">
        <v>7.0238799999999997E-4</v>
      </c>
      <c r="AE221" t="s">
        <v>193</v>
      </c>
      <c r="AF221">
        <v>1106</v>
      </c>
      <c r="AG221">
        <v>1120</v>
      </c>
      <c r="AH221">
        <v>1105</v>
      </c>
      <c r="AI221">
        <v>1116.0999999999999</v>
      </c>
      <c r="AJ221">
        <v>3516</v>
      </c>
      <c r="AK221">
        <v>1.525485E-3</v>
      </c>
      <c r="AO221" t="s">
        <v>192</v>
      </c>
      <c r="AP221">
        <v>1085</v>
      </c>
      <c r="AQ221">
        <v>1096.9000000000001</v>
      </c>
      <c r="AR221">
        <v>1080</v>
      </c>
      <c r="AS221">
        <v>1089.5999999999999</v>
      </c>
      <c r="AT221">
        <v>2444</v>
      </c>
      <c r="AU221">
        <v>1.5186807E-2</v>
      </c>
    </row>
    <row r="222" spans="1:47" x14ac:dyDescent="0.3">
      <c r="A222" s="126">
        <v>42065</v>
      </c>
      <c r="B222">
        <v>1074</v>
      </c>
      <c r="C222">
        <v>1075</v>
      </c>
      <c r="D222">
        <v>1058.5</v>
      </c>
      <c r="E222">
        <v>1064.8</v>
      </c>
      <c r="F222">
        <v>2285</v>
      </c>
      <c r="G222" s="66">
        <v>1.5E-3</v>
      </c>
      <c r="K222" t="s">
        <v>191</v>
      </c>
      <c r="L222">
        <v>1306</v>
      </c>
      <c r="M222">
        <v>1339</v>
      </c>
      <c r="N222">
        <v>1304</v>
      </c>
      <c r="O222">
        <v>1304.9000000000001</v>
      </c>
      <c r="P222">
        <v>321</v>
      </c>
      <c r="Q222">
        <v>-8.4226600000000004E-4</v>
      </c>
      <c r="U222" s="126">
        <v>42918</v>
      </c>
      <c r="V222">
        <v>987</v>
      </c>
      <c r="W222">
        <v>999</v>
      </c>
      <c r="X222">
        <v>985</v>
      </c>
      <c r="Y222">
        <v>996.6</v>
      </c>
      <c r="Z222">
        <v>1470</v>
      </c>
      <c r="AA222">
        <v>6.4633410000000001E-3</v>
      </c>
      <c r="AE222" t="s">
        <v>190</v>
      </c>
      <c r="AF222">
        <v>1105</v>
      </c>
      <c r="AG222">
        <v>1133</v>
      </c>
      <c r="AH222">
        <v>1105</v>
      </c>
      <c r="AI222">
        <v>1114.4000000000001</v>
      </c>
      <c r="AJ222">
        <v>4379</v>
      </c>
      <c r="AK222" s="127">
        <v>-8.9699999999999998E-5</v>
      </c>
      <c r="AO222" t="s">
        <v>189</v>
      </c>
      <c r="AP222">
        <v>1089</v>
      </c>
      <c r="AQ222">
        <v>1100</v>
      </c>
      <c r="AR222">
        <v>1068.0999999999999</v>
      </c>
      <c r="AS222">
        <v>1073.3</v>
      </c>
      <c r="AT222">
        <v>6022</v>
      </c>
      <c r="AU222">
        <v>-1.3511029000000001E-2</v>
      </c>
    </row>
    <row r="223" spans="1:47" x14ac:dyDescent="0.3">
      <c r="A223" s="126">
        <v>42037</v>
      </c>
      <c r="B223">
        <v>1052</v>
      </c>
      <c r="C223">
        <v>1065</v>
      </c>
      <c r="D223">
        <v>1045</v>
      </c>
      <c r="E223">
        <v>1063.2</v>
      </c>
      <c r="F223">
        <v>2557</v>
      </c>
      <c r="G223" s="66">
        <v>3.0999999999999999E-3</v>
      </c>
      <c r="K223" t="s">
        <v>188</v>
      </c>
      <c r="L223">
        <v>1320.1</v>
      </c>
      <c r="M223">
        <v>1320.1</v>
      </c>
      <c r="N223">
        <v>1305</v>
      </c>
      <c r="O223">
        <v>1306</v>
      </c>
      <c r="P223">
        <v>4022</v>
      </c>
      <c r="Q223">
        <v>-2.1282974E-2</v>
      </c>
      <c r="U223" s="126">
        <v>42888</v>
      </c>
      <c r="V223">
        <v>1002.9</v>
      </c>
      <c r="W223">
        <v>1003</v>
      </c>
      <c r="X223">
        <v>987.1</v>
      </c>
      <c r="Y223">
        <v>990.2</v>
      </c>
      <c r="Z223">
        <v>1394</v>
      </c>
      <c r="AA223">
        <v>-1.3111450000000001E-3</v>
      </c>
      <c r="AE223" t="s">
        <v>187</v>
      </c>
      <c r="AF223">
        <v>1085</v>
      </c>
      <c r="AG223">
        <v>1117.3</v>
      </c>
      <c r="AH223">
        <v>1085</v>
      </c>
      <c r="AI223">
        <v>1114.5</v>
      </c>
      <c r="AJ223">
        <v>7068</v>
      </c>
      <c r="AK223">
        <v>1.8087147000000001E-2</v>
      </c>
      <c r="AO223" t="s">
        <v>186</v>
      </c>
      <c r="AP223">
        <v>1077.0999999999999</v>
      </c>
      <c r="AQ223">
        <v>1090</v>
      </c>
      <c r="AR223">
        <v>1077.0999999999999</v>
      </c>
      <c r="AS223">
        <v>1088</v>
      </c>
      <c r="AT223">
        <v>3165</v>
      </c>
      <c r="AU223">
        <v>1.2093023E-2</v>
      </c>
    </row>
    <row r="224" spans="1:47" x14ac:dyDescent="0.3">
      <c r="A224" s="126">
        <v>42006</v>
      </c>
      <c r="B224">
        <v>1046</v>
      </c>
      <c r="C224">
        <v>1078.9000000000001</v>
      </c>
      <c r="D224">
        <v>1046</v>
      </c>
      <c r="E224">
        <v>1059.9000000000001</v>
      </c>
      <c r="F224">
        <v>1575</v>
      </c>
      <c r="G224" s="66">
        <v>-9.7999999999999997E-3</v>
      </c>
      <c r="K224" t="s">
        <v>185</v>
      </c>
      <c r="L224">
        <v>1325</v>
      </c>
      <c r="M224">
        <v>1350</v>
      </c>
      <c r="N224">
        <v>1320</v>
      </c>
      <c r="O224">
        <v>1334.4</v>
      </c>
      <c r="P224">
        <v>3663</v>
      </c>
      <c r="Q224">
        <v>1.0909090999999999E-2</v>
      </c>
      <c r="U224" s="126">
        <v>42857</v>
      </c>
      <c r="V224">
        <v>980</v>
      </c>
      <c r="W224">
        <v>1004</v>
      </c>
      <c r="X224">
        <v>980</v>
      </c>
      <c r="Y224">
        <v>991.5</v>
      </c>
      <c r="Z224">
        <v>517</v>
      </c>
      <c r="AA224">
        <v>-5.0403199999999996E-4</v>
      </c>
      <c r="AE224" t="s">
        <v>184</v>
      </c>
      <c r="AF224">
        <v>1085</v>
      </c>
      <c r="AG224">
        <v>1095.3</v>
      </c>
      <c r="AH224">
        <v>1082</v>
      </c>
      <c r="AI224">
        <v>1094.7</v>
      </c>
      <c r="AJ224">
        <v>3353</v>
      </c>
      <c r="AK224">
        <v>1.3329631E-2</v>
      </c>
      <c r="AO224" t="s">
        <v>183</v>
      </c>
      <c r="AP224">
        <v>1070</v>
      </c>
      <c r="AQ224">
        <v>1094.9000000000001</v>
      </c>
      <c r="AR224">
        <v>1070</v>
      </c>
      <c r="AS224">
        <v>1075</v>
      </c>
      <c r="AT224">
        <v>138</v>
      </c>
      <c r="AU224">
        <v>1.6772270000000001E-3</v>
      </c>
    </row>
    <row r="225" spans="1:47" x14ac:dyDescent="0.3">
      <c r="A225" t="s">
        <v>182</v>
      </c>
      <c r="B225">
        <v>1075.5</v>
      </c>
      <c r="C225">
        <v>1081.5</v>
      </c>
      <c r="D225">
        <v>1055.5</v>
      </c>
      <c r="E225">
        <v>1070.4000000000001</v>
      </c>
      <c r="F225">
        <v>6477</v>
      </c>
      <c r="G225" s="66">
        <v>-1E-3</v>
      </c>
      <c r="K225" t="s">
        <v>181</v>
      </c>
      <c r="L225">
        <v>1300</v>
      </c>
      <c r="M225">
        <v>1323</v>
      </c>
      <c r="N225">
        <v>1290.0999999999999</v>
      </c>
      <c r="O225">
        <v>1320</v>
      </c>
      <c r="P225">
        <v>1600</v>
      </c>
      <c r="Q225">
        <v>2.8037382999999999E-2</v>
      </c>
      <c r="U225" s="126">
        <v>42768</v>
      </c>
      <c r="V225">
        <v>1000</v>
      </c>
      <c r="W225">
        <v>1009</v>
      </c>
      <c r="X225">
        <v>989</v>
      </c>
      <c r="Y225">
        <v>992</v>
      </c>
      <c r="Z225">
        <v>3447</v>
      </c>
      <c r="AA225">
        <v>-1.4602165E-2</v>
      </c>
      <c r="AE225" t="s">
        <v>180</v>
      </c>
      <c r="AF225">
        <v>1077.0999999999999</v>
      </c>
      <c r="AG225">
        <v>1085</v>
      </c>
      <c r="AH225">
        <v>1077.0999999999999</v>
      </c>
      <c r="AI225">
        <v>1080.3</v>
      </c>
      <c r="AJ225">
        <v>7146</v>
      </c>
      <c r="AK225">
        <v>9.26526E-4</v>
      </c>
      <c r="AO225" t="s">
        <v>179</v>
      </c>
      <c r="AP225">
        <v>1104.0999999999999</v>
      </c>
      <c r="AQ225">
        <v>1104.0999999999999</v>
      </c>
      <c r="AR225">
        <v>1070</v>
      </c>
      <c r="AS225">
        <v>1073.2</v>
      </c>
      <c r="AT225">
        <v>1399</v>
      </c>
      <c r="AU225">
        <v>-2.6311014000000001E-2</v>
      </c>
    </row>
    <row r="226" spans="1:47" x14ac:dyDescent="0.3">
      <c r="A226" t="s">
        <v>178</v>
      </c>
      <c r="B226">
        <v>1047.5</v>
      </c>
      <c r="C226">
        <v>1080.4000000000001</v>
      </c>
      <c r="D226">
        <v>1046</v>
      </c>
      <c r="E226">
        <v>1071.5</v>
      </c>
      <c r="F226">
        <v>3158</v>
      </c>
      <c r="G226" s="66">
        <v>-6.9999999999999999E-4</v>
      </c>
      <c r="K226" t="s">
        <v>177</v>
      </c>
      <c r="L226">
        <v>1305</v>
      </c>
      <c r="M226">
        <v>1305</v>
      </c>
      <c r="N226">
        <v>1277</v>
      </c>
      <c r="O226">
        <v>1284</v>
      </c>
      <c r="P226">
        <v>413</v>
      </c>
      <c r="Q226">
        <v>1.872659E-3</v>
      </c>
      <c r="U226" s="126">
        <v>42737</v>
      </c>
      <c r="V226">
        <v>995</v>
      </c>
      <c r="W226">
        <v>1018</v>
      </c>
      <c r="X226">
        <v>990</v>
      </c>
      <c r="Y226">
        <v>1006.7</v>
      </c>
      <c r="Z226">
        <v>1706</v>
      </c>
      <c r="AA226">
        <v>-4.1547140000000003E-3</v>
      </c>
      <c r="AE226" t="s">
        <v>176</v>
      </c>
      <c r="AF226">
        <v>1059</v>
      </c>
      <c r="AG226">
        <v>1086</v>
      </c>
      <c r="AH226">
        <v>1059</v>
      </c>
      <c r="AI226">
        <v>1079.3</v>
      </c>
      <c r="AJ226">
        <v>3510</v>
      </c>
      <c r="AK226">
        <v>1.5429485E-2</v>
      </c>
      <c r="AO226" t="s">
        <v>175</v>
      </c>
      <c r="AP226">
        <v>1110</v>
      </c>
      <c r="AQ226">
        <v>1150</v>
      </c>
      <c r="AR226">
        <v>1090</v>
      </c>
      <c r="AS226">
        <v>1102.2</v>
      </c>
      <c r="AT226">
        <v>2971</v>
      </c>
      <c r="AU226">
        <v>-3.525902E-3</v>
      </c>
    </row>
    <row r="227" spans="1:47" x14ac:dyDescent="0.3">
      <c r="A227" t="s">
        <v>174</v>
      </c>
      <c r="B227">
        <v>1032.5</v>
      </c>
      <c r="C227">
        <v>1077.3</v>
      </c>
      <c r="D227">
        <v>1024.5</v>
      </c>
      <c r="E227">
        <v>1072.3</v>
      </c>
      <c r="F227">
        <v>2834</v>
      </c>
      <c r="G227" s="66">
        <v>4.0800000000000003E-2</v>
      </c>
      <c r="K227" t="s">
        <v>173</v>
      </c>
      <c r="L227">
        <v>1325</v>
      </c>
      <c r="M227">
        <v>1325</v>
      </c>
      <c r="N227">
        <v>1271.0999999999999</v>
      </c>
      <c r="O227">
        <v>1281.5999999999999</v>
      </c>
      <c r="P227">
        <v>599</v>
      </c>
      <c r="Q227">
        <v>3.3664760000000002E-3</v>
      </c>
      <c r="U227" t="s">
        <v>172</v>
      </c>
      <c r="V227">
        <v>1005</v>
      </c>
      <c r="W227">
        <v>1015</v>
      </c>
      <c r="X227">
        <v>1005</v>
      </c>
      <c r="Y227">
        <v>1010.9</v>
      </c>
      <c r="Z227">
        <v>2275</v>
      </c>
      <c r="AA227">
        <v>5.5704760000000004E-3</v>
      </c>
      <c r="AE227" t="s">
        <v>171</v>
      </c>
      <c r="AF227">
        <v>1093.5</v>
      </c>
      <c r="AG227">
        <v>1093.5</v>
      </c>
      <c r="AH227">
        <v>1050.2</v>
      </c>
      <c r="AI227">
        <v>1062.9000000000001</v>
      </c>
      <c r="AJ227">
        <v>893</v>
      </c>
      <c r="AK227">
        <v>7.3926640000000002E-3</v>
      </c>
      <c r="AO227" t="s">
        <v>170</v>
      </c>
      <c r="AP227">
        <v>1099.9000000000001</v>
      </c>
      <c r="AQ227">
        <v>1111</v>
      </c>
      <c r="AR227">
        <v>1099.9000000000001</v>
      </c>
      <c r="AS227">
        <v>1106.0999999999999</v>
      </c>
      <c r="AT227">
        <v>1266</v>
      </c>
      <c r="AU227">
        <v>2.5305894999999998E-2</v>
      </c>
    </row>
    <row r="228" spans="1:47" x14ac:dyDescent="0.3">
      <c r="A228" t="s">
        <v>169</v>
      </c>
      <c r="B228">
        <v>1046.5</v>
      </c>
      <c r="C228">
        <v>1046.5</v>
      </c>
      <c r="D228">
        <v>1023.5</v>
      </c>
      <c r="E228">
        <v>1030.3</v>
      </c>
      <c r="F228">
        <v>845</v>
      </c>
      <c r="G228" s="66">
        <v>-1.9699999999999999E-2</v>
      </c>
      <c r="K228" t="s">
        <v>168</v>
      </c>
      <c r="L228">
        <v>1300</v>
      </c>
      <c r="M228">
        <v>1300</v>
      </c>
      <c r="N228">
        <v>1270</v>
      </c>
      <c r="O228">
        <v>1277.3</v>
      </c>
      <c r="P228">
        <v>772</v>
      </c>
      <c r="Q228">
        <v>-1.1148099E-2</v>
      </c>
      <c r="U228" t="s">
        <v>167</v>
      </c>
      <c r="V228">
        <v>1010.1</v>
      </c>
      <c r="W228">
        <v>1024</v>
      </c>
      <c r="X228">
        <v>1000</v>
      </c>
      <c r="Y228">
        <v>1005.3</v>
      </c>
      <c r="Z228">
        <v>5014</v>
      </c>
      <c r="AA228">
        <v>-4.8505249999999996E-3</v>
      </c>
      <c r="AE228" t="s">
        <v>166</v>
      </c>
      <c r="AF228">
        <v>1050</v>
      </c>
      <c r="AG228">
        <v>1063.5</v>
      </c>
      <c r="AH228">
        <v>1041</v>
      </c>
      <c r="AI228">
        <v>1055.0999999999999</v>
      </c>
      <c r="AJ228">
        <v>2096</v>
      </c>
      <c r="AK228">
        <v>1.0436429999999999E-3</v>
      </c>
      <c r="AO228" t="s">
        <v>165</v>
      </c>
      <c r="AP228">
        <v>1071.5999999999999</v>
      </c>
      <c r="AQ228">
        <v>1109.9000000000001</v>
      </c>
      <c r="AR228">
        <v>1070</v>
      </c>
      <c r="AS228">
        <v>1078.8</v>
      </c>
      <c r="AT228">
        <v>1648</v>
      </c>
      <c r="AU228">
        <v>9.450735E-3</v>
      </c>
    </row>
    <row r="229" spans="1:47" x14ac:dyDescent="0.3">
      <c r="A229" t="s">
        <v>164</v>
      </c>
      <c r="B229">
        <v>1067.5</v>
      </c>
      <c r="C229">
        <v>1067.5</v>
      </c>
      <c r="D229">
        <v>1049</v>
      </c>
      <c r="E229">
        <v>1051</v>
      </c>
      <c r="F229">
        <v>1265</v>
      </c>
      <c r="G229" s="66">
        <v>1.6000000000000001E-3</v>
      </c>
      <c r="K229" t="s">
        <v>163</v>
      </c>
      <c r="L229">
        <v>1311</v>
      </c>
      <c r="M229">
        <v>1311</v>
      </c>
      <c r="N229">
        <v>1290</v>
      </c>
      <c r="O229">
        <v>1291.7</v>
      </c>
      <c r="P229">
        <v>4083</v>
      </c>
      <c r="Q229">
        <v>-1.9954475999999999E-2</v>
      </c>
      <c r="U229" t="s">
        <v>162</v>
      </c>
      <c r="V229">
        <v>1026</v>
      </c>
      <c r="W229">
        <v>1030</v>
      </c>
      <c r="X229">
        <v>993.1</v>
      </c>
      <c r="Y229">
        <v>1010.2</v>
      </c>
      <c r="Z229">
        <v>3072</v>
      </c>
      <c r="AA229">
        <v>-9.704931E-3</v>
      </c>
      <c r="AE229" t="s">
        <v>161</v>
      </c>
      <c r="AF229">
        <v>1017</v>
      </c>
      <c r="AG229">
        <v>1091</v>
      </c>
      <c r="AH229">
        <v>1017</v>
      </c>
      <c r="AI229">
        <v>1054</v>
      </c>
      <c r="AJ229">
        <v>1636</v>
      </c>
      <c r="AK229">
        <v>2.5491341000000001E-2</v>
      </c>
      <c r="AO229" s="126">
        <v>43739</v>
      </c>
      <c r="AP229">
        <v>1071</v>
      </c>
      <c r="AQ229">
        <v>1084.9000000000001</v>
      </c>
      <c r="AR229">
        <v>1066</v>
      </c>
      <c r="AS229">
        <v>1068.7</v>
      </c>
      <c r="AT229">
        <v>3140</v>
      </c>
      <c r="AU229">
        <v>-1.1215999999999999E-3</v>
      </c>
    </row>
    <row r="230" spans="1:47" x14ac:dyDescent="0.3">
      <c r="A230" t="s">
        <v>160</v>
      </c>
      <c r="B230">
        <v>1070</v>
      </c>
      <c r="C230">
        <v>1070</v>
      </c>
      <c r="D230">
        <v>1047.5</v>
      </c>
      <c r="E230">
        <v>1049.3</v>
      </c>
      <c r="F230">
        <v>1251</v>
      </c>
      <c r="G230" s="66">
        <v>-1.9300000000000001E-2</v>
      </c>
      <c r="K230" s="126">
        <v>42705</v>
      </c>
      <c r="L230">
        <v>1321.1</v>
      </c>
      <c r="M230">
        <v>1321.5</v>
      </c>
      <c r="N230">
        <v>1315.1</v>
      </c>
      <c r="O230">
        <v>1318</v>
      </c>
      <c r="P230">
        <v>1083</v>
      </c>
      <c r="Q230">
        <v>-1.0287602E-2</v>
      </c>
      <c r="U230" t="s">
        <v>159</v>
      </c>
      <c r="V230">
        <v>1020</v>
      </c>
      <c r="W230">
        <v>1040</v>
      </c>
      <c r="X230">
        <v>1015</v>
      </c>
      <c r="Y230">
        <v>1020.1</v>
      </c>
      <c r="Z230">
        <v>2664</v>
      </c>
      <c r="AA230">
        <v>3.93662E-3</v>
      </c>
      <c r="AE230" t="s">
        <v>158</v>
      </c>
      <c r="AF230">
        <v>1044</v>
      </c>
      <c r="AG230">
        <v>1044</v>
      </c>
      <c r="AH230">
        <v>1025</v>
      </c>
      <c r="AI230">
        <v>1027.8</v>
      </c>
      <c r="AJ230">
        <v>287</v>
      </c>
      <c r="AK230">
        <v>-1.6553439999999999E-2</v>
      </c>
      <c r="AO230" s="126">
        <v>43709</v>
      </c>
      <c r="AP230">
        <v>1079.5</v>
      </c>
      <c r="AQ230">
        <v>1079.5</v>
      </c>
      <c r="AR230">
        <v>1063</v>
      </c>
      <c r="AS230">
        <v>1069.9000000000001</v>
      </c>
      <c r="AT230">
        <v>3123</v>
      </c>
      <c r="AU230">
        <v>-6.961203E-3</v>
      </c>
    </row>
    <row r="231" spans="1:47" x14ac:dyDescent="0.3">
      <c r="A231" t="s">
        <v>157</v>
      </c>
      <c r="B231">
        <v>1082.5</v>
      </c>
      <c r="C231">
        <v>1082.5</v>
      </c>
      <c r="D231">
        <v>1062.5</v>
      </c>
      <c r="E231">
        <v>1070</v>
      </c>
      <c r="F231">
        <v>2260</v>
      </c>
      <c r="G231" s="66">
        <v>-1.17E-2</v>
      </c>
      <c r="K231" s="126">
        <v>42675</v>
      </c>
      <c r="L231">
        <v>1336.1</v>
      </c>
      <c r="M231">
        <v>1340</v>
      </c>
      <c r="N231">
        <v>1323</v>
      </c>
      <c r="O231">
        <v>1331.7</v>
      </c>
      <c r="P231">
        <v>403</v>
      </c>
      <c r="Q231">
        <v>-2.5466260000000002E-3</v>
      </c>
      <c r="U231" t="s">
        <v>156</v>
      </c>
      <c r="V231">
        <v>1000</v>
      </c>
      <c r="W231">
        <v>1023</v>
      </c>
      <c r="X231">
        <v>1000</v>
      </c>
      <c r="Y231">
        <v>1016.1</v>
      </c>
      <c r="Z231">
        <v>8090</v>
      </c>
      <c r="AA231">
        <v>1.1548034E-2</v>
      </c>
      <c r="AE231" s="126">
        <v>43405</v>
      </c>
      <c r="AF231">
        <v>1032.2</v>
      </c>
      <c r="AG231">
        <v>1055.0999999999999</v>
      </c>
      <c r="AH231">
        <v>1032.2</v>
      </c>
      <c r="AI231">
        <v>1045.0999999999999</v>
      </c>
      <c r="AJ231">
        <v>4322</v>
      </c>
      <c r="AK231">
        <v>9.6609020000000007E-3</v>
      </c>
      <c r="AO231" s="126">
        <v>43678</v>
      </c>
      <c r="AP231">
        <v>1081</v>
      </c>
      <c r="AQ231">
        <v>1095</v>
      </c>
      <c r="AR231">
        <v>1075</v>
      </c>
      <c r="AS231">
        <v>1077.4000000000001</v>
      </c>
      <c r="AT231">
        <v>2393</v>
      </c>
      <c r="AU231">
        <v>5.0373129999999999E-3</v>
      </c>
    </row>
    <row r="232" spans="1:47" x14ac:dyDescent="0.3">
      <c r="A232" t="s">
        <v>155</v>
      </c>
      <c r="B232">
        <v>1062.5</v>
      </c>
      <c r="C232">
        <v>1107.5</v>
      </c>
      <c r="D232">
        <v>1047.5</v>
      </c>
      <c r="E232">
        <v>1082.7</v>
      </c>
      <c r="F232">
        <v>6232</v>
      </c>
      <c r="G232" s="66">
        <v>3.04E-2</v>
      </c>
      <c r="K232" s="126">
        <v>42644</v>
      </c>
      <c r="L232">
        <v>1340</v>
      </c>
      <c r="M232">
        <v>1340</v>
      </c>
      <c r="N232">
        <v>1332</v>
      </c>
      <c r="O232">
        <v>1335.1</v>
      </c>
      <c r="P232">
        <v>327</v>
      </c>
      <c r="Q232">
        <v>6.4832270000000003E-3</v>
      </c>
      <c r="U232" t="s">
        <v>154</v>
      </c>
      <c r="V232">
        <v>1030</v>
      </c>
      <c r="W232">
        <v>1035</v>
      </c>
      <c r="X232">
        <v>998.5</v>
      </c>
      <c r="Y232">
        <v>1004.5</v>
      </c>
      <c r="Z232">
        <v>8294</v>
      </c>
      <c r="AA232">
        <v>-3.8295835E-2</v>
      </c>
      <c r="AE232" s="126">
        <v>43374</v>
      </c>
      <c r="AF232">
        <v>1050</v>
      </c>
      <c r="AG232">
        <v>1054</v>
      </c>
      <c r="AH232">
        <v>1035</v>
      </c>
      <c r="AI232">
        <v>1035.0999999999999</v>
      </c>
      <c r="AJ232">
        <v>819</v>
      </c>
      <c r="AK232">
        <v>-1.8676525999999999E-2</v>
      </c>
      <c r="AO232" s="126">
        <v>43647</v>
      </c>
      <c r="AP232">
        <v>1069</v>
      </c>
      <c r="AQ232">
        <v>1080</v>
      </c>
      <c r="AR232">
        <v>1061</v>
      </c>
      <c r="AS232">
        <v>1072</v>
      </c>
      <c r="AT232">
        <v>615</v>
      </c>
      <c r="AU232">
        <v>5.4398800000000002E-3</v>
      </c>
    </row>
    <row r="233" spans="1:47" x14ac:dyDescent="0.3">
      <c r="A233" t="s">
        <v>153</v>
      </c>
      <c r="B233">
        <v>1044.5</v>
      </c>
      <c r="C233">
        <v>1062.4000000000001</v>
      </c>
      <c r="D233">
        <v>1044.5</v>
      </c>
      <c r="E233">
        <v>1050.8</v>
      </c>
      <c r="F233">
        <v>367</v>
      </c>
      <c r="G233" s="66">
        <v>6.9999999999999999E-4</v>
      </c>
      <c r="K233" s="126">
        <v>42552</v>
      </c>
      <c r="L233">
        <v>1358</v>
      </c>
      <c r="M233">
        <v>1360</v>
      </c>
      <c r="N233">
        <v>1322</v>
      </c>
      <c r="O233">
        <v>1326.5</v>
      </c>
      <c r="P233">
        <v>1898</v>
      </c>
      <c r="Q233">
        <v>-2.3051996000000002E-2</v>
      </c>
      <c r="U233" t="s">
        <v>152</v>
      </c>
      <c r="V233">
        <v>1070</v>
      </c>
      <c r="W233">
        <v>1070</v>
      </c>
      <c r="X233">
        <v>1035</v>
      </c>
      <c r="Y233">
        <v>1044.5</v>
      </c>
      <c r="Z233">
        <v>5300</v>
      </c>
      <c r="AA233">
        <v>-2.3558006999999999E-2</v>
      </c>
      <c r="AE233" s="126">
        <v>43344</v>
      </c>
      <c r="AF233">
        <v>1017.1</v>
      </c>
      <c r="AG233">
        <v>1088</v>
      </c>
      <c r="AH233">
        <v>1017.1</v>
      </c>
      <c r="AI233">
        <v>1054.8</v>
      </c>
      <c r="AJ233">
        <v>2720</v>
      </c>
      <c r="AK233">
        <v>3.4219040999999999E-2</v>
      </c>
      <c r="AO233" s="126">
        <v>43617</v>
      </c>
      <c r="AP233">
        <v>1023.1</v>
      </c>
      <c r="AQ233">
        <v>1107</v>
      </c>
      <c r="AR233">
        <v>1023.1</v>
      </c>
      <c r="AS233">
        <v>1066.2</v>
      </c>
      <c r="AT233">
        <v>2147</v>
      </c>
      <c r="AU233">
        <v>6.3237379999999998E-3</v>
      </c>
    </row>
    <row r="234" spans="1:47" x14ac:dyDescent="0.3">
      <c r="A234" t="s">
        <v>151</v>
      </c>
      <c r="B234">
        <v>1056.5</v>
      </c>
      <c r="C234">
        <v>1061.5</v>
      </c>
      <c r="D234">
        <v>1042.5999999999999</v>
      </c>
      <c r="E234">
        <v>1050.0999999999999</v>
      </c>
      <c r="F234">
        <v>581</v>
      </c>
      <c r="G234" s="66">
        <v>6.1000000000000004E-3</v>
      </c>
      <c r="K234" s="126">
        <v>42522</v>
      </c>
      <c r="L234">
        <v>1360</v>
      </c>
      <c r="M234">
        <v>1360</v>
      </c>
      <c r="N234">
        <v>1353.5</v>
      </c>
      <c r="O234">
        <v>1357.8</v>
      </c>
      <c r="P234">
        <v>1020</v>
      </c>
      <c r="Q234">
        <v>4.9589220000000002E-3</v>
      </c>
      <c r="U234" t="s">
        <v>150</v>
      </c>
      <c r="V234">
        <v>1095</v>
      </c>
      <c r="W234">
        <v>1095</v>
      </c>
      <c r="X234">
        <v>1055.7</v>
      </c>
      <c r="Y234">
        <v>1069.7</v>
      </c>
      <c r="Z234">
        <v>5695</v>
      </c>
      <c r="AA234">
        <v>-1.4010508E-2</v>
      </c>
      <c r="AE234" s="126">
        <v>43313</v>
      </c>
      <c r="AF234">
        <v>1015</v>
      </c>
      <c r="AG234">
        <v>1029.9000000000001</v>
      </c>
      <c r="AH234">
        <v>1015</v>
      </c>
      <c r="AI234">
        <v>1019.9</v>
      </c>
      <c r="AJ234">
        <v>2524</v>
      </c>
      <c r="AK234">
        <v>4.62963E-3</v>
      </c>
      <c r="AO234" s="126">
        <v>43525</v>
      </c>
      <c r="AP234">
        <v>1047.2</v>
      </c>
      <c r="AQ234">
        <v>1079</v>
      </c>
      <c r="AR234">
        <v>1047</v>
      </c>
      <c r="AS234">
        <v>1059.5</v>
      </c>
      <c r="AT234">
        <v>954</v>
      </c>
      <c r="AU234">
        <v>-2.9173720000000001E-3</v>
      </c>
    </row>
    <row r="235" spans="1:47" x14ac:dyDescent="0.3">
      <c r="A235" t="s">
        <v>149</v>
      </c>
      <c r="B235">
        <v>1048.7</v>
      </c>
      <c r="C235">
        <v>1051.5</v>
      </c>
      <c r="D235">
        <v>1038.5999999999999</v>
      </c>
      <c r="E235">
        <v>1043.7</v>
      </c>
      <c r="F235">
        <v>1372</v>
      </c>
      <c r="G235" s="66">
        <v>-7.3000000000000001E-3</v>
      </c>
      <c r="K235" s="126">
        <v>42491</v>
      </c>
      <c r="L235">
        <v>1350</v>
      </c>
      <c r="M235">
        <v>1359.6</v>
      </c>
      <c r="N235">
        <v>1341.1</v>
      </c>
      <c r="O235">
        <v>1351.1</v>
      </c>
      <c r="P235">
        <v>236</v>
      </c>
      <c r="Q235">
        <v>-2.8782289999999999E-3</v>
      </c>
      <c r="U235" t="s">
        <v>148</v>
      </c>
      <c r="V235">
        <v>1084.9000000000001</v>
      </c>
      <c r="W235">
        <v>1119</v>
      </c>
      <c r="X235">
        <v>1075</v>
      </c>
      <c r="Y235">
        <v>1084.9000000000001</v>
      </c>
      <c r="Z235">
        <v>13397</v>
      </c>
      <c r="AA235">
        <v>2.3876934999999998E-2</v>
      </c>
      <c r="AE235" s="126">
        <v>43282</v>
      </c>
      <c r="AF235">
        <v>1028</v>
      </c>
      <c r="AG235">
        <v>1028</v>
      </c>
      <c r="AH235">
        <v>1011</v>
      </c>
      <c r="AI235">
        <v>1015.2</v>
      </c>
      <c r="AJ235">
        <v>2413</v>
      </c>
      <c r="AK235">
        <v>-1.9130435000000001E-2</v>
      </c>
      <c r="AO235" s="126">
        <v>43497</v>
      </c>
      <c r="AP235">
        <v>1026</v>
      </c>
      <c r="AQ235">
        <v>1138</v>
      </c>
      <c r="AR235">
        <v>1026</v>
      </c>
      <c r="AS235">
        <v>1062.5999999999999</v>
      </c>
      <c r="AT235">
        <v>1891</v>
      </c>
      <c r="AU235">
        <v>-2.159827E-3</v>
      </c>
    </row>
    <row r="236" spans="1:47" x14ac:dyDescent="0.3">
      <c r="A236" t="s">
        <v>147</v>
      </c>
      <c r="B236">
        <v>1057.4000000000001</v>
      </c>
      <c r="C236">
        <v>1057.5</v>
      </c>
      <c r="D236">
        <v>1047.5</v>
      </c>
      <c r="E236">
        <v>1051.4000000000001</v>
      </c>
      <c r="F236">
        <v>300</v>
      </c>
      <c r="G236" s="66">
        <v>2.9999999999999997E-4</v>
      </c>
      <c r="K236" s="126">
        <v>42461</v>
      </c>
      <c r="L236">
        <v>1365</v>
      </c>
      <c r="M236">
        <v>1365</v>
      </c>
      <c r="N236">
        <v>1351</v>
      </c>
      <c r="O236">
        <v>1355</v>
      </c>
      <c r="P236">
        <v>418</v>
      </c>
      <c r="Q236">
        <v>-7.8348099999999993E-3</v>
      </c>
      <c r="U236" t="s">
        <v>146</v>
      </c>
      <c r="V236">
        <v>995</v>
      </c>
      <c r="W236">
        <v>1059.8</v>
      </c>
      <c r="X236">
        <v>995</v>
      </c>
      <c r="Y236">
        <v>1059.5999999999999</v>
      </c>
      <c r="Z236">
        <v>10293</v>
      </c>
      <c r="AA236">
        <v>6.4175957000000006E-2</v>
      </c>
      <c r="AE236" s="126">
        <v>43191</v>
      </c>
      <c r="AF236">
        <v>1030</v>
      </c>
      <c r="AG236">
        <v>1038</v>
      </c>
      <c r="AH236">
        <v>1025</v>
      </c>
      <c r="AI236">
        <v>1035</v>
      </c>
      <c r="AJ236">
        <v>7056</v>
      </c>
      <c r="AK236" s="127">
        <v>-9.6600000000000003E-5</v>
      </c>
      <c r="AO236" s="126">
        <v>43466</v>
      </c>
      <c r="AP236">
        <v>1045.2</v>
      </c>
      <c r="AQ236">
        <v>1088.5</v>
      </c>
      <c r="AR236">
        <v>1045.2</v>
      </c>
      <c r="AS236">
        <v>1064.9000000000001</v>
      </c>
      <c r="AT236">
        <v>38</v>
      </c>
      <c r="AU236" t="e">
        <v>#DIV/0!</v>
      </c>
    </row>
    <row r="237" spans="1:47" x14ac:dyDescent="0.3">
      <c r="A237" s="126">
        <v>42339</v>
      </c>
      <c r="B237">
        <v>1053</v>
      </c>
      <c r="C237">
        <v>1062.5</v>
      </c>
      <c r="D237">
        <v>1047.5</v>
      </c>
      <c r="E237">
        <v>1051.0999999999999</v>
      </c>
      <c r="F237">
        <v>419</v>
      </c>
      <c r="G237" s="66">
        <v>-2.3999999999999998E-3</v>
      </c>
      <c r="K237" s="126">
        <v>42430</v>
      </c>
      <c r="L237">
        <v>1363</v>
      </c>
      <c r="M237">
        <v>1372.5</v>
      </c>
      <c r="N237">
        <v>1363</v>
      </c>
      <c r="O237">
        <v>1365.7</v>
      </c>
      <c r="P237">
        <v>1409</v>
      </c>
      <c r="Q237">
        <v>-1.900168E-3</v>
      </c>
      <c r="U237" t="s">
        <v>145</v>
      </c>
      <c r="V237">
        <v>994</v>
      </c>
      <c r="W237">
        <v>1000</v>
      </c>
      <c r="X237">
        <v>991</v>
      </c>
      <c r="Y237">
        <v>995.7</v>
      </c>
      <c r="Z237">
        <v>5408</v>
      </c>
      <c r="AA237">
        <v>1.508751E-3</v>
      </c>
      <c r="AE237" s="126">
        <v>43160</v>
      </c>
      <c r="AF237">
        <v>1032</v>
      </c>
      <c r="AG237">
        <v>1040</v>
      </c>
      <c r="AH237">
        <v>1032</v>
      </c>
      <c r="AI237">
        <v>1035.0999999999999</v>
      </c>
      <c r="AJ237">
        <v>4042</v>
      </c>
      <c r="AK237">
        <v>-5.763135E-3</v>
      </c>
    </row>
    <row r="238" spans="1:47" x14ac:dyDescent="0.3">
      <c r="A238" s="126">
        <v>42309</v>
      </c>
      <c r="B238">
        <v>1064.5</v>
      </c>
      <c r="C238">
        <v>1087.5</v>
      </c>
      <c r="D238">
        <v>1048.5999999999999</v>
      </c>
      <c r="E238">
        <v>1053.5999999999999</v>
      </c>
      <c r="F238">
        <v>1605</v>
      </c>
      <c r="G238" s="66">
        <v>3.3999999999999998E-3</v>
      </c>
      <c r="K238" t="s">
        <v>144</v>
      </c>
      <c r="L238">
        <v>1362.5</v>
      </c>
      <c r="M238">
        <v>1385</v>
      </c>
      <c r="N238">
        <v>1362.5</v>
      </c>
      <c r="O238">
        <v>1368.3</v>
      </c>
      <c r="P238">
        <v>2337</v>
      </c>
      <c r="Q238">
        <v>7.6588849999999998E-3</v>
      </c>
      <c r="U238" t="s">
        <v>143</v>
      </c>
      <c r="V238">
        <v>991</v>
      </c>
      <c r="W238">
        <v>1000.9</v>
      </c>
      <c r="X238">
        <v>987</v>
      </c>
      <c r="Y238">
        <v>994.2</v>
      </c>
      <c r="Z238">
        <v>16758</v>
      </c>
      <c r="AA238">
        <v>6.0386499999999998E-4</v>
      </c>
      <c r="AE238" s="126">
        <v>43132</v>
      </c>
      <c r="AF238">
        <v>1020.6</v>
      </c>
      <c r="AG238">
        <v>1045</v>
      </c>
      <c r="AH238">
        <v>1020.6</v>
      </c>
      <c r="AI238">
        <v>1041.0999999999999</v>
      </c>
      <c r="AJ238">
        <v>776</v>
      </c>
      <c r="AK238">
        <v>2.4603877999999999E-2</v>
      </c>
    </row>
    <row r="239" spans="1:47" x14ac:dyDescent="0.3">
      <c r="A239" s="126">
        <v>42217</v>
      </c>
      <c r="B239">
        <v>1072.5</v>
      </c>
      <c r="C239">
        <v>1072.5</v>
      </c>
      <c r="D239">
        <v>1046.5999999999999</v>
      </c>
      <c r="E239">
        <v>1050</v>
      </c>
      <c r="F239">
        <v>995</v>
      </c>
      <c r="G239" s="66">
        <v>-2.0000000000000001E-4</v>
      </c>
      <c r="K239" t="s">
        <v>142</v>
      </c>
      <c r="L239">
        <v>1360.5</v>
      </c>
      <c r="M239">
        <v>1375</v>
      </c>
      <c r="N239">
        <v>1351</v>
      </c>
      <c r="O239">
        <v>1357.9</v>
      </c>
      <c r="P239">
        <v>1306</v>
      </c>
      <c r="U239" t="s">
        <v>141</v>
      </c>
      <c r="V239">
        <v>991.1</v>
      </c>
      <c r="W239">
        <v>999</v>
      </c>
      <c r="X239">
        <v>991</v>
      </c>
      <c r="Y239">
        <v>993.6</v>
      </c>
      <c r="Z239">
        <v>7261</v>
      </c>
      <c r="AA239">
        <v>2.6236129999999999E-3</v>
      </c>
      <c r="AE239" s="126">
        <v>43101</v>
      </c>
      <c r="AF239">
        <v>1025</v>
      </c>
      <c r="AG239">
        <v>1035</v>
      </c>
      <c r="AH239">
        <v>1015</v>
      </c>
      <c r="AI239">
        <v>1016.1</v>
      </c>
      <c r="AJ239">
        <v>453</v>
      </c>
      <c r="AK239" t="e">
        <v>#DIV/0!</v>
      </c>
    </row>
    <row r="240" spans="1:47" x14ac:dyDescent="0.3">
      <c r="A240" s="126">
        <v>42186</v>
      </c>
      <c r="B240">
        <v>1062.5</v>
      </c>
      <c r="C240">
        <v>1062.5</v>
      </c>
      <c r="D240">
        <v>1049.5</v>
      </c>
      <c r="E240">
        <v>1050.2</v>
      </c>
      <c r="F240">
        <v>773</v>
      </c>
      <c r="G240" s="66">
        <v>-1.23E-2</v>
      </c>
      <c r="U240" s="126">
        <v>43070</v>
      </c>
      <c r="V240">
        <v>993</v>
      </c>
      <c r="W240">
        <v>996.4</v>
      </c>
      <c r="X240">
        <v>987.2</v>
      </c>
      <c r="Y240">
        <v>991</v>
      </c>
      <c r="Z240">
        <v>5791</v>
      </c>
      <c r="AA240">
        <v>-1.9135860000000001E-3</v>
      </c>
    </row>
    <row r="241" spans="1:27" x14ac:dyDescent="0.3">
      <c r="A241" s="126">
        <v>42156</v>
      </c>
      <c r="B241">
        <v>1055.5999999999999</v>
      </c>
      <c r="C241">
        <v>1066.4000000000001</v>
      </c>
      <c r="D241">
        <v>1048.5999999999999</v>
      </c>
      <c r="E241">
        <v>1063.3</v>
      </c>
      <c r="F241">
        <v>1154</v>
      </c>
      <c r="G241" s="66">
        <v>6.1999999999999998E-3</v>
      </c>
      <c r="U241" s="126">
        <v>43040</v>
      </c>
      <c r="V241">
        <v>999.3</v>
      </c>
      <c r="W241">
        <v>999.3</v>
      </c>
      <c r="X241">
        <v>990</v>
      </c>
      <c r="Y241">
        <v>992.9</v>
      </c>
      <c r="Z241">
        <v>9187</v>
      </c>
      <c r="AA241">
        <v>-2.5115530000000001E-3</v>
      </c>
    </row>
    <row r="242" spans="1:27" x14ac:dyDescent="0.3">
      <c r="A242" s="126">
        <v>42125</v>
      </c>
      <c r="B242">
        <v>1052</v>
      </c>
      <c r="C242">
        <v>1072.5</v>
      </c>
      <c r="D242">
        <v>1051.5</v>
      </c>
      <c r="E242">
        <v>1056.8</v>
      </c>
      <c r="F242">
        <v>673</v>
      </c>
      <c r="G242" s="66">
        <v>-9.7000000000000003E-3</v>
      </c>
      <c r="U242" s="126">
        <v>43009</v>
      </c>
      <c r="V242">
        <v>991.5</v>
      </c>
      <c r="W242">
        <v>1004</v>
      </c>
      <c r="X242">
        <v>987</v>
      </c>
      <c r="Y242">
        <v>995.4</v>
      </c>
      <c r="Z242">
        <v>9677</v>
      </c>
      <c r="AA242">
        <v>4.1359830000000002E-3</v>
      </c>
    </row>
    <row r="243" spans="1:27" x14ac:dyDescent="0.3">
      <c r="A243" s="126">
        <v>42005</v>
      </c>
      <c r="B243">
        <v>1067.5</v>
      </c>
      <c r="C243">
        <v>1077.5</v>
      </c>
      <c r="D243">
        <v>1062.5</v>
      </c>
      <c r="E243">
        <v>1067.0999999999999</v>
      </c>
      <c r="F243">
        <v>1183</v>
      </c>
      <c r="G243" s="66">
        <v>1.2999999999999999E-3</v>
      </c>
      <c r="U243" s="126">
        <v>42979</v>
      </c>
      <c r="V243">
        <v>987.2</v>
      </c>
      <c r="W243">
        <v>998.9</v>
      </c>
      <c r="X243">
        <v>980.3</v>
      </c>
      <c r="Y243">
        <v>991.3</v>
      </c>
      <c r="Z243">
        <v>6806</v>
      </c>
      <c r="AA243">
        <v>4.4584050000000004E-3</v>
      </c>
    </row>
    <row r="244" spans="1:27" x14ac:dyDescent="0.3">
      <c r="A244" t="s">
        <v>140</v>
      </c>
      <c r="B244">
        <v>1072.5</v>
      </c>
      <c r="C244">
        <v>1077.4000000000001</v>
      </c>
      <c r="D244">
        <v>1052.5</v>
      </c>
      <c r="E244">
        <v>1065.7</v>
      </c>
      <c r="F244">
        <v>949</v>
      </c>
      <c r="U244" s="126">
        <v>42948</v>
      </c>
      <c r="V244">
        <v>1006</v>
      </c>
      <c r="W244">
        <v>1007</v>
      </c>
      <c r="X244">
        <v>980</v>
      </c>
      <c r="Y244">
        <v>986.9</v>
      </c>
      <c r="Z244">
        <v>14738</v>
      </c>
      <c r="AA244">
        <v>-1.8888558E-2</v>
      </c>
    </row>
    <row r="245" spans="1:27" x14ac:dyDescent="0.3">
      <c r="U245" s="126">
        <v>42856</v>
      </c>
      <c r="V245">
        <v>1004.5</v>
      </c>
      <c r="W245">
        <v>1015</v>
      </c>
      <c r="X245">
        <v>1000</v>
      </c>
      <c r="Y245">
        <v>1005.9</v>
      </c>
      <c r="Z245">
        <v>22988</v>
      </c>
      <c r="AA245">
        <v>6.0006E-3</v>
      </c>
    </row>
    <row r="246" spans="1:27" x14ac:dyDescent="0.3">
      <c r="U246" s="126">
        <v>42826</v>
      </c>
      <c r="V246">
        <v>973</v>
      </c>
      <c r="W246">
        <v>1004</v>
      </c>
      <c r="X246">
        <v>971.2</v>
      </c>
      <c r="Y246">
        <v>999.9</v>
      </c>
      <c r="Z246">
        <v>17305</v>
      </c>
      <c r="AA246">
        <v>2.9869194000000002E-2</v>
      </c>
    </row>
    <row r="247" spans="1:27" x14ac:dyDescent="0.3">
      <c r="U247" s="126">
        <v>42795</v>
      </c>
      <c r="V247">
        <v>969.9</v>
      </c>
      <c r="W247">
        <v>976</v>
      </c>
      <c r="X247">
        <v>952.3</v>
      </c>
      <c r="Y247">
        <v>970.9</v>
      </c>
      <c r="Z247">
        <v>23048</v>
      </c>
      <c r="AA247">
        <v>9.2515589999999995E-3</v>
      </c>
    </row>
    <row r="248" spans="1:27" x14ac:dyDescent="0.3">
      <c r="U248" s="126">
        <v>42767</v>
      </c>
      <c r="V248">
        <v>995</v>
      </c>
      <c r="W248">
        <v>1019</v>
      </c>
      <c r="X248">
        <v>950.1</v>
      </c>
      <c r="Y248">
        <v>962</v>
      </c>
      <c r="Z248">
        <v>42570</v>
      </c>
      <c r="AA248">
        <v>-4.1562800000000003E-4</v>
      </c>
    </row>
    <row r="249" spans="1:27" x14ac:dyDescent="0.3">
      <c r="U249" s="126">
        <v>42736</v>
      </c>
      <c r="V249">
        <v>920.5</v>
      </c>
      <c r="W249">
        <v>962.4</v>
      </c>
      <c r="X249">
        <v>912</v>
      </c>
      <c r="Y249">
        <v>962.4</v>
      </c>
      <c r="Z249">
        <v>6930</v>
      </c>
      <c r="AA249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Group info</vt:lpstr>
      <vt:lpstr>Sheet1</vt:lpstr>
      <vt:lpstr>Balance sheet</vt:lpstr>
      <vt:lpstr>Sheet2</vt:lpstr>
      <vt:lpstr>Balance sheet (2)</vt:lpstr>
      <vt:lpstr>Sheet7</vt:lpstr>
      <vt:lpstr>Sheet8</vt:lpstr>
      <vt:lpstr>Comparison</vt:lpstr>
      <vt:lpstr>MARICO</vt:lpstr>
      <vt:lpstr>Kohinoor</vt:lpstr>
      <vt:lpstr>Year-over-year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romit</dc:creator>
  <cp:lastModifiedBy>romit</cp:lastModifiedBy>
  <dcterms:created xsi:type="dcterms:W3CDTF">2020-03-18T11:17:45Z</dcterms:created>
  <dcterms:modified xsi:type="dcterms:W3CDTF">2020-06-15T14:26:33Z</dcterms:modified>
</cp:coreProperties>
</file>