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AINES\Documents\Daniel Litt\CavendishExperiment\"/>
    </mc:Choice>
  </mc:AlternateContent>
  <xr:revisionPtr revIDLastSave="0" documentId="13_ncr:1_{C5C9C15F-A66E-440F-88E7-4468A41C1D89}" xr6:coauthVersionLast="45" xr6:coauthVersionMax="45" xr10:uidLastSave="{00000000-0000-0000-0000-000000000000}"/>
  <bookViews>
    <workbookView xWindow="30612" yWindow="-108" windowWidth="30936" windowHeight="16896" xr2:uid="{1D886BEF-429E-4660-9EA4-F3E5EA03BF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3" i="1" l="1"/>
  <c r="F22" i="1" l="1"/>
  <c r="B85" i="1" s="1"/>
  <c r="D80" i="1"/>
  <c r="D81" i="1"/>
  <c r="D82" i="1"/>
  <c r="D83" i="1"/>
  <c r="D79" i="1"/>
  <c r="G22" i="1"/>
  <c r="C85" i="1" s="1"/>
  <c r="D85" i="1" l="1"/>
  <c r="B81" i="1"/>
  <c r="B80" i="1" l="1"/>
  <c r="B79" i="1"/>
  <c r="B83" i="1"/>
  <c r="H3" i="1"/>
  <c r="H6" i="1" s="1"/>
  <c r="H7" i="1" s="1"/>
  <c r="C84" i="1" s="1"/>
  <c r="D4" i="1"/>
  <c r="D9" i="1"/>
  <c r="D8" i="1"/>
  <c r="D12" i="1"/>
  <c r="D5" i="1"/>
  <c r="D6" i="1"/>
  <c r="D7" i="1"/>
  <c r="D10" i="1"/>
  <c r="D11" i="1"/>
  <c r="D13" i="1"/>
  <c r="E94" i="1" l="1"/>
  <c r="D94" i="1"/>
  <c r="B94" i="1"/>
  <c r="C94" i="1" s="1"/>
  <c r="D84" i="1"/>
  <c r="E84" i="1"/>
  <c r="F84" i="1" s="1"/>
  <c r="G84" i="1" s="1"/>
  <c r="G6" i="1"/>
  <c r="G7" i="1" s="1"/>
  <c r="B84" i="1" s="1"/>
  <c r="E82" i="1" s="1"/>
  <c r="F82" i="1" s="1"/>
  <c r="G82" i="1" s="1"/>
  <c r="E81" i="1" l="1"/>
  <c r="F81" i="1" s="1"/>
  <c r="G81" i="1" s="1"/>
  <c r="E85" i="1"/>
  <c r="F85" i="1" s="1"/>
  <c r="G85" i="1" s="1"/>
  <c r="B87" i="1"/>
  <c r="C87" i="1" s="1"/>
  <c r="E83" i="1"/>
  <c r="F83" i="1" s="1"/>
  <c r="G83" i="1" s="1"/>
  <c r="E80" i="1"/>
  <c r="F80" i="1" s="1"/>
  <c r="G80" i="1" s="1"/>
  <c r="E79" i="1"/>
  <c r="F79" i="1" s="1"/>
  <c r="G79" i="1" s="1"/>
  <c r="G86" i="1" s="1"/>
  <c r="D87" i="1" s="1"/>
  <c r="B95" i="1"/>
  <c r="B97" i="1" s="1"/>
  <c r="B89" i="1"/>
  <c r="C9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tc={EC885793-5B9F-44CC-8A12-637650A1AB45}</author>
    <author>tc={5D234F63-1455-42D4-81D9-19C4EF3D4456}</author>
    <author>tc={DBB36E26-8B85-4D33-9107-B252D723E3C8}</author>
    <author>tc={7E5DF10E-9598-4C7A-AC3E-B50A47336E65}</author>
    <author>tc={F95CAA28-D0F2-451C-80BA-B448744334CE}</author>
    <author>tc={6B1F4904-C3C9-4912-A741-561A88464FCA}</author>
    <author>tc={A7C83F0A-E0DF-4064-83F0-843BD08DF3F2}</author>
    <author>tc={27911C3A-1FDB-49D8-8DE3-EDBAEDC01BFB}</author>
  </authors>
  <commentList>
    <comment ref="A18" authorId="0" shapeId="0" xr:uid="{EC885793-5B9F-44CC-8A12-637650A1AB45}">
      <text>
        <t>[Threaded comment]
Your version of Excel allows you to read this threaded comment; however, any edits to it will get removed if the file is opened in a newer version of Excel. Learn more: https://go.microsoft.com/fwlink/?linkid=870924
Comment:
    Put table in apendex</t>
      </text>
    </comment>
    <comment ref="A79" authorId="1" shapeId="0" xr:uid="{5D234F63-1455-42D4-81D9-19C4EF3D4456}">
      <text>
        <t>[Threaded comment]
Your version of Excel allows you to read this threaded comment; however, any edits to it will get removed if the file is opened in a newer version of Excel. Learn more: https://go.microsoft.com/fwlink/?linkid=870924
Comment:
    Radius of the small mass</t>
      </text>
    </comment>
    <comment ref="A80" authorId="2" shapeId="0" xr:uid="{DBB36E26-8B85-4D33-9107-B252D723E3C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length of the lever arm</t>
      </text>
    </comment>
    <comment ref="A81" authorId="3" shapeId="0" xr:uid="{7E5DF10E-9598-4C7A-AC3E-B50A47336E6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distance from center of small mass to center of large mass</t>
      </text>
    </comment>
    <comment ref="A82" authorId="4" shapeId="0" xr:uid="{F95CAA28-D0F2-451C-80BA-B448744334CE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 of the large mass</t>
      </text>
    </comment>
    <comment ref="A83" authorId="5" shapeId="0" xr:uid="{6B1F4904-C3C9-4912-A741-561A88464FC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 from meter stick to mirror</t>
      </text>
    </comment>
    <comment ref="A84" authorId="6" shapeId="0" xr:uid="{A7C83F0A-E0DF-4064-83F0-843BD08DF3F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 of the laser oscillation</t>
      </text>
    </comment>
    <comment ref="A85" authorId="7" shapeId="0" xr:uid="{27911C3A-1FDB-49D8-8DE3-EDBAEDC01BFB}">
      <text>
        <t>[Threaded comment]
Your version of Excel allows you to read this threaded comment; however, any edits to it will get removed if the file is opened in a newer version of Excel. Learn more: https://go.microsoft.com/fwlink/?linkid=870924
Comment:
    Period of oscillation</t>
      </text>
    </comment>
  </commentList>
</comments>
</file>

<file path=xl/sharedStrings.xml><?xml version="1.0" encoding="utf-8"?>
<sst xmlns="http://schemas.openxmlformats.org/spreadsheetml/2006/main" count="66" uniqueCount="41">
  <si>
    <t>Measurements of S</t>
  </si>
  <si>
    <t>Position</t>
  </si>
  <si>
    <t>zero</t>
  </si>
  <si>
    <t>Measurment (cm)</t>
  </si>
  <si>
    <t>Uncertainty (cm)</t>
  </si>
  <si>
    <t>left</t>
  </si>
  <si>
    <t>right</t>
  </si>
  <si>
    <t>Time (sec)</t>
  </si>
  <si>
    <t>Measurments of T</t>
  </si>
  <si>
    <t>Position (cm)</t>
  </si>
  <si>
    <t>T (s)</t>
  </si>
  <si>
    <t>Uncertainty (m)</t>
  </si>
  <si>
    <t>Uncertainty (s)</t>
  </si>
  <si>
    <t>ΔS/2 (cm)</t>
  </si>
  <si>
    <t>ΔS/2 Mean (cm)</t>
  </si>
  <si>
    <t>ΔS (cm)</t>
  </si>
  <si>
    <t>L (m)</t>
  </si>
  <si>
    <t>ΔS/2 Standard Deviation (cm) =</t>
  </si>
  <si>
    <t>Calculation of G</t>
  </si>
  <si>
    <t>m1 (kg)</t>
  </si>
  <si>
    <t>Uncertainty</t>
  </si>
  <si>
    <t>r (m)</t>
  </si>
  <si>
    <t>d (m)</t>
  </si>
  <si>
    <t>b (m)</t>
  </si>
  <si>
    <t>ΔS (m)</t>
  </si>
  <si>
    <t>Calculated G =</t>
  </si>
  <si>
    <t>Actual G =</t>
  </si>
  <si>
    <t>Percent differrence</t>
  </si>
  <si>
    <t>β</t>
  </si>
  <si>
    <r>
      <t>G</t>
    </r>
    <r>
      <rPr>
        <vertAlign val="subscript"/>
        <sz val="11"/>
        <color theme="1"/>
        <rFont val="Calibri"/>
        <family val="2"/>
        <scheme val="minor"/>
      </rPr>
      <t>0</t>
    </r>
  </si>
  <si>
    <t>Corrected value of G</t>
  </si>
  <si>
    <t>equation</t>
  </si>
  <si>
    <t>partial dirivative</t>
  </si>
  <si>
    <t>Uncertainty^2</t>
  </si>
  <si>
    <t>partial dirivative^2</t>
  </si>
  <si>
    <t>Uncertainty^2*partial dirivative^2</t>
  </si>
  <si>
    <t>Uncertainty of G^2</t>
  </si>
  <si>
    <t>Period Start Time (s)</t>
  </si>
  <si>
    <t>Period End Time (s)</t>
  </si>
  <si>
    <t>Uncertainty β part 1</t>
  </si>
  <si>
    <t>Uncertainty β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</si>
</sst>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9" formatCode="0.0000E+00"/>
    <numFmt numFmtId="171" formatCode="0.0E+00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Dante"/>
      <family val="1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3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Hyperlink" xfId="3" builtinId="8"/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(sec) vs. Position 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Position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Sheet1!$A$20:$A$73</c:f>
              <c:numCache>
                <c:formatCode>General</c:formatCode>
                <c:ptCount val="5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</c:numCache>
            </c:numRef>
          </c:xVal>
          <c:yVal>
            <c:numRef>
              <c:f>Sheet1!$B$20:$B$73</c:f>
              <c:numCache>
                <c:formatCode>General</c:formatCode>
                <c:ptCount val="54"/>
                <c:pt idx="0">
                  <c:v>53.4</c:v>
                </c:pt>
                <c:pt idx="1">
                  <c:v>52.1</c:v>
                </c:pt>
                <c:pt idx="2">
                  <c:v>50.9</c:v>
                </c:pt>
                <c:pt idx="3">
                  <c:v>49.7</c:v>
                </c:pt>
                <c:pt idx="4">
                  <c:v>48.6</c:v>
                </c:pt>
                <c:pt idx="5">
                  <c:v>47.8</c:v>
                </c:pt>
                <c:pt idx="6">
                  <c:v>46.9</c:v>
                </c:pt>
                <c:pt idx="7">
                  <c:v>46.2</c:v>
                </c:pt>
                <c:pt idx="8">
                  <c:v>45.6</c:v>
                </c:pt>
                <c:pt idx="9">
                  <c:v>45.4</c:v>
                </c:pt>
                <c:pt idx="10">
                  <c:v>45.1</c:v>
                </c:pt>
                <c:pt idx="11">
                  <c:v>45.3</c:v>
                </c:pt>
                <c:pt idx="12">
                  <c:v>45.4</c:v>
                </c:pt>
                <c:pt idx="13">
                  <c:v>45.6</c:v>
                </c:pt>
                <c:pt idx="14">
                  <c:v>46.1</c:v>
                </c:pt>
                <c:pt idx="15">
                  <c:v>46.7</c:v>
                </c:pt>
                <c:pt idx="16">
                  <c:v>47.5</c:v>
                </c:pt>
                <c:pt idx="17">
                  <c:v>48.4</c:v>
                </c:pt>
                <c:pt idx="18">
                  <c:v>49.3</c:v>
                </c:pt>
                <c:pt idx="19">
                  <c:v>50.3</c:v>
                </c:pt>
                <c:pt idx="20">
                  <c:v>51.4</c:v>
                </c:pt>
                <c:pt idx="21">
                  <c:v>52.8</c:v>
                </c:pt>
                <c:pt idx="22">
                  <c:v>53.9</c:v>
                </c:pt>
                <c:pt idx="23">
                  <c:v>55.2</c:v>
                </c:pt>
                <c:pt idx="24">
                  <c:v>56.5</c:v>
                </c:pt>
                <c:pt idx="25">
                  <c:v>57.7</c:v>
                </c:pt>
                <c:pt idx="26">
                  <c:v>58.9</c:v>
                </c:pt>
                <c:pt idx="27">
                  <c:v>60.1</c:v>
                </c:pt>
                <c:pt idx="28">
                  <c:v>61.2</c:v>
                </c:pt>
                <c:pt idx="29">
                  <c:v>62.2</c:v>
                </c:pt>
                <c:pt idx="30" formatCode="0.0">
                  <c:v>63</c:v>
                </c:pt>
                <c:pt idx="31">
                  <c:v>63.7</c:v>
                </c:pt>
                <c:pt idx="32">
                  <c:v>64.400000000000006</c:v>
                </c:pt>
                <c:pt idx="33">
                  <c:v>64.8</c:v>
                </c:pt>
                <c:pt idx="34">
                  <c:v>65.099999999999994</c:v>
                </c:pt>
                <c:pt idx="35">
                  <c:v>65.3</c:v>
                </c:pt>
                <c:pt idx="36">
                  <c:v>65.400000000000006</c:v>
                </c:pt>
                <c:pt idx="37">
                  <c:v>65.2</c:v>
                </c:pt>
                <c:pt idx="38">
                  <c:v>64.900000000000006</c:v>
                </c:pt>
                <c:pt idx="39">
                  <c:v>64.5</c:v>
                </c:pt>
                <c:pt idx="40" formatCode="0.0">
                  <c:v>64</c:v>
                </c:pt>
                <c:pt idx="41">
                  <c:v>63.3</c:v>
                </c:pt>
                <c:pt idx="42">
                  <c:v>62.5</c:v>
                </c:pt>
                <c:pt idx="43">
                  <c:v>61.6</c:v>
                </c:pt>
                <c:pt idx="44">
                  <c:v>60.7</c:v>
                </c:pt>
                <c:pt idx="45">
                  <c:v>59.5</c:v>
                </c:pt>
                <c:pt idx="46">
                  <c:v>58.4</c:v>
                </c:pt>
                <c:pt idx="47">
                  <c:v>57.3</c:v>
                </c:pt>
                <c:pt idx="48" formatCode="0.0">
                  <c:v>56</c:v>
                </c:pt>
                <c:pt idx="49">
                  <c:v>54.8</c:v>
                </c:pt>
                <c:pt idx="50">
                  <c:v>53.6</c:v>
                </c:pt>
                <c:pt idx="51">
                  <c:v>52.5</c:v>
                </c:pt>
                <c:pt idx="52">
                  <c:v>51.4</c:v>
                </c:pt>
                <c:pt idx="53">
                  <c:v>50.4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8-4FED-9246-7C19B439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92656"/>
        <c:axId val="692686288"/>
      </c:scatterChart>
      <c:valAx>
        <c:axId val="70189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86288"/>
        <c:crosses val="autoZero"/>
        <c:crossBetween val="midCat"/>
      </c:valAx>
      <c:valAx>
        <c:axId val="69268628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Position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9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27</xdr:row>
      <xdr:rowOff>49530</xdr:rowOff>
    </xdr:from>
    <xdr:to>
      <xdr:col>11</xdr:col>
      <xdr:colOff>304800</xdr:colOff>
      <xdr:row>53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965BF-883C-4609-A2CA-5CC8FE89E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tt, Daniel Ethan" id="{75DA31A4-1CF0-4DC1-93FC-9A3DBED522DD}" userId="Litt, Daniel Eth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8" dT="2020-09-25T19:01:33.13" personId="{75DA31A4-1CF0-4DC1-93FC-9A3DBED522DD}" id="{EC885793-5B9F-44CC-8A12-637650A1AB45}">
    <text>Put table in apendex</text>
  </threadedComment>
  <threadedComment ref="A79" dT="2020-09-25T01:23:30.04" personId="{75DA31A4-1CF0-4DC1-93FC-9A3DBED522DD}" id="{5D234F63-1455-42D4-81D9-19C4EF3D4456}">
    <text>Radius of the small mass</text>
  </threadedComment>
  <threadedComment ref="A80" dT="2020-09-25T01:22:17.54" personId="{75DA31A4-1CF0-4DC1-93FC-9A3DBED522DD}" id="{DBB36E26-8B85-4D33-9107-B252D723E3C8}">
    <text>The length of the lever arm</text>
  </threadedComment>
  <threadedComment ref="A81" dT="2020-09-25T01:21:42.65" personId="{75DA31A4-1CF0-4DC1-93FC-9A3DBED522DD}" id="{7E5DF10E-9598-4C7A-AC3E-B50A47336E65}">
    <text>the distance from center of small mass to center of large mass</text>
  </threadedComment>
  <threadedComment ref="A82" dT="2020-09-25T01:24:03.30" personId="{75DA31A4-1CF0-4DC1-93FC-9A3DBED522DD}" id="{F95CAA28-D0F2-451C-80BA-B448744334CE}">
    <text>Mass of the large mass</text>
  </threadedComment>
  <threadedComment ref="A83" dT="2020-09-25T01:25:04.35" personId="{75DA31A4-1CF0-4DC1-93FC-9A3DBED522DD}" id="{6B1F4904-C3C9-4912-A741-561A88464FCA}">
    <text>Distance from meter stick to mirror</text>
  </threadedComment>
  <threadedComment ref="A84" dT="2020-09-25T01:26:51.03" personId="{75DA31A4-1CF0-4DC1-93FC-9A3DBED522DD}" id="{A7C83F0A-E0DF-4064-83F0-843BD08DF3F2}">
    <text>distance of the laser oscillation</text>
  </threadedComment>
  <threadedComment ref="A85" dT="2020-09-25T01:27:32.74" personId="{75DA31A4-1CF0-4DC1-93FC-9A3DBED522DD}" id="{27911C3A-1FDB-49D8-8DE3-EDBAEDC01BFB}">
    <text>Period of oscillation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ymbolab.com/solver/partial-derivative-calculator/%5Cfrac%7B%5Cpartial%7D%7B%5Cpartial%20T%7D%5Cleft(%5Cpi%5E%7B2%7DSb%5E%7B2%7D%5Cleft(%5Cfrac%7BD%5E%7B2%7D%2B%5Cfrac%7B2%7D%7B5%7Dr%5E%7B2%7D%7D%7BT%5E%7B2%7DmLD%7D%5Cright)%5Cright)" TargetMode="External"/><Relationship Id="rId13" Type="http://schemas.microsoft.com/office/2017/10/relationships/threadedComment" Target="../threadedComments/threadedComment1.xml"/><Relationship Id="rId3" Type="http://schemas.openxmlformats.org/officeDocument/2006/relationships/hyperlink" Target="https://www.symbolab.com/solver/partial-derivative-calculator/%5Cfrac%7B%5Cpartial%7D%7B%5Cpartial%20b%7D%5Cleft(%5Cpi%5E%7B2%7DSb%5E%7B2%7D%5Cleft(%5Cfrac%7BD%5E%7B2%7D%2B%5Cfrac%7B2%7D%7B5%7Dr%5E%7B2%7D%7D%7BT%5E%7B2%7DmLD%7D%5Cright)%5Cright)" TargetMode="External"/><Relationship Id="rId7" Type="http://schemas.openxmlformats.org/officeDocument/2006/relationships/hyperlink" Target="https://www.symbolab.com/solver/partial-derivative-calculator/%5Cfrac%7B%5Cpartial%7D%7B%5Cpartial%20S%7D%5Cleft(%5Cpi%5E%7B2%7DSb%5E%7B2%7D%5Cleft(%5Cfrac%7BD%5E%7B2%7D%2B%5Cfrac%7B2%7D%7B5%7Dr%5E%7B2%7D%7D%7BT%5E%7B2%7DmLD%7D%5Cright)%5Cright)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symbolab.com/solver/partial-derivative-calculator/%5Cfrac%7B%5Cpartial%7D%7B%5Cpartial%20D%7D%5Cleft(%5Cpi%5E%7B2%7DSb%5E%7B2%7D%5Cleft(%5Cfrac%7BD%5E%7B2%7D%2B%5Cfrac%7B2%7D%7B5%7Dr%5E%7B2%7D%7D%7BT%5E%7B2%7DmLD%7D%5Cright)%5Cright)" TargetMode="External"/><Relationship Id="rId1" Type="http://schemas.openxmlformats.org/officeDocument/2006/relationships/hyperlink" Target="https://www.symbolab.com/solver/partial-derivative-calculator/%5Cfrac%7B%5Cpartial%7D%7B%5Cpartial%20r%7D%5Cleft(%5Cpi%5E%7B2%7DSb%5E%7B2%7D%5Cleft(%5Cfrac%7BD%5E%7B2%7D%2B%5Cfrac%7B2%7D%7B5%7Dr%5E%7B2%7D%7D%7BT%5E%7B2%7DmLD%7D%5Cright)%5Cright)" TargetMode="External"/><Relationship Id="rId6" Type="http://schemas.openxmlformats.org/officeDocument/2006/relationships/hyperlink" Target="https://www.symbolab.com/solver/partial-derivative-calculator/%5Cfrac%7B%5Cpartial%7D%7B%5Cpartial%20L%7D%5Cleft(%5Cpi%5E%7B2%7DSb%5E%7B2%7D%5Cleft(%5Cfrac%7BD%5E%7B2%7D%2B%5Cfrac%7B2%7D%7B5%7Dr%5E%7B2%7D%7D%7BT%5E%7B2%7DmLD%7D%5Cright)%5Cright)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symbolab.com/solver/partial-derivative-calculator/%5Cfrac%7B%5Cpartial%7D%7B%5Cpartial%20m%7D%5Cleft(%5Cpi%5E%7B2%7DSb%5E%7B2%7D%5Cleft(%5Cfrac%7BD%5E%7B2%7D%2B%5Cfrac%7B2%7D%7B5%7Dr%5E%7B2%7D%7D%7BT%5E%7B2%7DmLD%7D%5Cright)%5Cright)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symbolab.com/solver/partial-derivative-calculator/%5Cfrac%7B%5Cpartial%7D%7B%5Cpartial%20b%7D%5Cleft(%5Cpi%5E%7B2%7DSb%5E%7B2%7D%5Cleft(%5Cfrac%7BD%5E%7B2%7D%2B%5Cfrac%7B2%7D%7B5%7Dr%5E%7B2%7D%7D%7BT%5E%7B2%7DmLD%7D%5Cright)%5Cright)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FA61-5936-4D9A-87FC-59CC7605A5F5}">
  <sheetPr>
    <pageSetUpPr fitToPage="1"/>
  </sheetPr>
  <dimension ref="A1:P97"/>
  <sheetViews>
    <sheetView tabSelected="1" topLeftCell="B10" workbookViewId="0">
      <selection activeCell="O20" sqref="O20:P46"/>
    </sheetView>
  </sheetViews>
  <sheetFormatPr defaultRowHeight="14.4" x14ac:dyDescent="0.3"/>
  <cols>
    <col min="1" max="1" width="16.33203125" style="2" customWidth="1"/>
    <col min="2" max="2" width="16" style="2" customWidth="1"/>
    <col min="3" max="3" width="14.77734375" style="2" customWidth="1"/>
    <col min="4" max="4" width="13" style="2" customWidth="1"/>
    <col min="5" max="5" width="18.44140625" style="2" customWidth="1"/>
    <col min="6" max="6" width="16.33203125" style="2" customWidth="1"/>
    <col min="7" max="7" width="17" style="2" customWidth="1"/>
    <col min="8" max="8" width="14.21875" style="2" customWidth="1"/>
    <col min="9" max="9" width="14.6640625" style="2" bestFit="1" customWidth="1"/>
    <col min="10" max="16384" width="8.88671875" style="2"/>
  </cols>
  <sheetData>
    <row r="1" spans="1:8" x14ac:dyDescent="0.3">
      <c r="A1" s="2" t="s">
        <v>0</v>
      </c>
    </row>
    <row r="2" spans="1:8" x14ac:dyDescent="0.3">
      <c r="A2" s="2" t="s">
        <v>1</v>
      </c>
      <c r="B2" s="2" t="s">
        <v>3</v>
      </c>
      <c r="C2" s="2" t="s">
        <v>4</v>
      </c>
      <c r="D2" s="1" t="s">
        <v>13</v>
      </c>
    </row>
    <row r="3" spans="1:8" x14ac:dyDescent="0.3">
      <c r="A3" s="2" t="s">
        <v>2</v>
      </c>
      <c r="B3" s="4">
        <v>48.2</v>
      </c>
      <c r="C3" s="2">
        <v>0.2</v>
      </c>
      <c r="F3" s="11" t="s">
        <v>17</v>
      </c>
      <c r="G3" s="11"/>
      <c r="H3" s="5">
        <f>_xlfn.STDEV.S(D4:D13)</f>
        <v>0.55936471902408269</v>
      </c>
    </row>
    <row r="4" spans="1:8" x14ac:dyDescent="0.3">
      <c r="A4" s="2" t="s">
        <v>5</v>
      </c>
      <c r="B4" s="4">
        <v>39.9</v>
      </c>
      <c r="C4" s="2">
        <v>0.2</v>
      </c>
      <c r="D4" s="4">
        <f>ABS(B4-B3)</f>
        <v>8.3000000000000043</v>
      </c>
    </row>
    <row r="5" spans="1:8" x14ac:dyDescent="0.3">
      <c r="A5" s="2" t="s">
        <v>2</v>
      </c>
      <c r="B5" s="4">
        <v>48.2</v>
      </c>
      <c r="C5" s="2">
        <v>0.2</v>
      </c>
      <c r="D5" s="4">
        <f t="shared" ref="D5:D13" si="0">ABS(B5-B4)</f>
        <v>8.3000000000000043</v>
      </c>
      <c r="H5" s="2" t="s">
        <v>4</v>
      </c>
    </row>
    <row r="6" spans="1:8" x14ac:dyDescent="0.3">
      <c r="A6" s="2" t="s">
        <v>6</v>
      </c>
      <c r="B6" s="4">
        <v>54.9</v>
      </c>
      <c r="C6" s="2">
        <v>0.2</v>
      </c>
      <c r="D6" s="4">
        <f t="shared" si="0"/>
        <v>6.6999999999999957</v>
      </c>
      <c r="F6" s="1" t="s">
        <v>14</v>
      </c>
      <c r="G6" s="4">
        <f>AVERAGE(D4:D13)</f>
        <v>7.5799999999999983</v>
      </c>
      <c r="H6" s="5">
        <f>H3/SQRT(COUNT(D4:D13))</f>
        <v>0.17688665548562191</v>
      </c>
    </row>
    <row r="7" spans="1:8" x14ac:dyDescent="0.3">
      <c r="A7" s="2" t="s">
        <v>2</v>
      </c>
      <c r="B7" s="4">
        <v>48</v>
      </c>
      <c r="C7" s="2">
        <v>0.2</v>
      </c>
      <c r="D7" s="4">
        <f t="shared" si="0"/>
        <v>6.8999999999999986</v>
      </c>
      <c r="F7" s="2" t="s">
        <v>15</v>
      </c>
      <c r="G7" s="4">
        <f>G6*2</f>
        <v>15.159999999999997</v>
      </c>
      <c r="H7" s="5">
        <f>H6*2</f>
        <v>0.35377331097124382</v>
      </c>
    </row>
    <row r="8" spans="1:8" x14ac:dyDescent="0.3">
      <c r="A8" s="2" t="s">
        <v>5</v>
      </c>
      <c r="B8" s="4">
        <v>40.200000000000003</v>
      </c>
      <c r="C8" s="2">
        <v>0.2</v>
      </c>
      <c r="D8" s="4">
        <f t="shared" si="0"/>
        <v>7.7999999999999972</v>
      </c>
    </row>
    <row r="9" spans="1:8" x14ac:dyDescent="0.3">
      <c r="A9" s="2" t="s">
        <v>6</v>
      </c>
      <c r="B9" s="4">
        <v>55.8</v>
      </c>
      <c r="C9" s="2">
        <v>0.2</v>
      </c>
      <c r="D9" s="4">
        <f>ABS(B9-B8)/2</f>
        <v>7.7999999999999972</v>
      </c>
    </row>
    <row r="10" spans="1:8" x14ac:dyDescent="0.3">
      <c r="A10" s="2" t="s">
        <v>2</v>
      </c>
      <c r="B10" s="4">
        <v>48.2</v>
      </c>
      <c r="C10" s="2">
        <v>0.2</v>
      </c>
      <c r="D10" s="4">
        <f t="shared" si="0"/>
        <v>7.5999999999999943</v>
      </c>
    </row>
    <row r="11" spans="1:8" x14ac:dyDescent="0.3">
      <c r="A11" s="2" t="s">
        <v>6</v>
      </c>
      <c r="B11" s="4">
        <v>55.2</v>
      </c>
      <c r="C11" s="2">
        <v>0.2</v>
      </c>
      <c r="D11" s="4">
        <f t="shared" si="0"/>
        <v>7</v>
      </c>
    </row>
    <row r="12" spans="1:8" x14ac:dyDescent="0.3">
      <c r="A12" s="2" t="s">
        <v>5</v>
      </c>
      <c r="B12" s="4">
        <v>40.200000000000003</v>
      </c>
      <c r="C12" s="2">
        <v>0.2</v>
      </c>
      <c r="D12" s="4">
        <f>ABS(B12-B11)/2</f>
        <v>7.5</v>
      </c>
    </row>
    <row r="13" spans="1:8" x14ac:dyDescent="0.3">
      <c r="A13" s="2" t="s">
        <v>2</v>
      </c>
      <c r="B13" s="4">
        <v>48.1</v>
      </c>
      <c r="C13" s="2">
        <v>0.2</v>
      </c>
      <c r="D13" s="4">
        <f t="shared" si="0"/>
        <v>7.8999999999999986</v>
      </c>
    </row>
    <row r="18" spans="1:16" x14ac:dyDescent="0.3">
      <c r="A18" s="2" t="s">
        <v>8</v>
      </c>
    </row>
    <row r="19" spans="1:16" x14ac:dyDescent="0.3">
      <c r="A19" s="2" t="s">
        <v>7</v>
      </c>
      <c r="B19" s="2" t="s">
        <v>9</v>
      </c>
      <c r="C19" s="2" t="s">
        <v>4</v>
      </c>
      <c r="G19" s="2" t="s">
        <v>12</v>
      </c>
      <c r="M19" s="2" t="s">
        <v>7</v>
      </c>
      <c r="N19" s="2" t="s">
        <v>9</v>
      </c>
      <c r="O19" s="2" t="s">
        <v>7</v>
      </c>
      <c r="P19" s="2" t="s">
        <v>9</v>
      </c>
    </row>
    <row r="20" spans="1:16" x14ac:dyDescent="0.3">
      <c r="A20" s="2">
        <v>10</v>
      </c>
      <c r="B20" s="3">
        <v>53.4</v>
      </c>
      <c r="C20" s="2">
        <v>0.2</v>
      </c>
      <c r="E20" s="2" t="s">
        <v>37</v>
      </c>
      <c r="F20" s="2">
        <v>10</v>
      </c>
      <c r="G20" s="2">
        <v>5</v>
      </c>
      <c r="M20" s="2">
        <v>10</v>
      </c>
      <c r="N20" s="15">
        <v>53.4</v>
      </c>
      <c r="O20" s="2">
        <v>280</v>
      </c>
      <c r="P20" s="2">
        <v>60.1</v>
      </c>
    </row>
    <row r="21" spans="1:16" x14ac:dyDescent="0.3">
      <c r="A21" s="2">
        <v>20</v>
      </c>
      <c r="B21" s="2">
        <v>52.1</v>
      </c>
      <c r="C21" s="2">
        <v>0.2</v>
      </c>
      <c r="E21" s="2" t="s">
        <v>38</v>
      </c>
      <c r="F21" s="2">
        <v>510</v>
      </c>
      <c r="G21" s="2">
        <v>5</v>
      </c>
      <c r="M21" s="2">
        <v>20</v>
      </c>
      <c r="N21" s="2">
        <v>52.1</v>
      </c>
      <c r="O21" s="2">
        <v>290</v>
      </c>
      <c r="P21" s="2">
        <v>61.2</v>
      </c>
    </row>
    <row r="22" spans="1:16" x14ac:dyDescent="0.3">
      <c r="A22" s="2">
        <v>30</v>
      </c>
      <c r="B22" s="2">
        <v>50.9</v>
      </c>
      <c r="C22" s="2">
        <v>0.2</v>
      </c>
      <c r="E22" s="2" t="s">
        <v>10</v>
      </c>
      <c r="F22" s="2">
        <f>F21-F20</f>
        <v>500</v>
      </c>
      <c r="G22" s="2">
        <f>G20+G21</f>
        <v>10</v>
      </c>
      <c r="M22" s="2">
        <v>30</v>
      </c>
      <c r="N22" s="2">
        <v>50.9</v>
      </c>
      <c r="O22" s="2">
        <v>300</v>
      </c>
      <c r="P22" s="2">
        <v>62.2</v>
      </c>
    </row>
    <row r="23" spans="1:16" x14ac:dyDescent="0.3">
      <c r="A23" s="2">
        <v>40</v>
      </c>
      <c r="B23" s="2">
        <v>49.7</v>
      </c>
      <c r="C23" s="2">
        <v>0.2</v>
      </c>
      <c r="M23" s="2">
        <v>40</v>
      </c>
      <c r="N23" s="2">
        <v>49.7</v>
      </c>
      <c r="O23" s="2">
        <v>310</v>
      </c>
      <c r="P23" s="2">
        <v>63</v>
      </c>
    </row>
    <row r="24" spans="1:16" x14ac:dyDescent="0.3">
      <c r="A24" s="2">
        <v>50</v>
      </c>
      <c r="B24" s="2">
        <v>48.6</v>
      </c>
      <c r="C24" s="2">
        <v>0.2</v>
      </c>
      <c r="M24" s="2">
        <v>50</v>
      </c>
      <c r="N24" s="2">
        <v>48.6</v>
      </c>
      <c r="O24" s="2">
        <v>320</v>
      </c>
      <c r="P24" s="2">
        <v>63.7</v>
      </c>
    </row>
    <row r="25" spans="1:16" x14ac:dyDescent="0.3">
      <c r="A25" s="2">
        <v>60</v>
      </c>
      <c r="B25" s="2">
        <v>47.8</v>
      </c>
      <c r="C25" s="2">
        <v>0.2</v>
      </c>
      <c r="G25" s="2" t="s">
        <v>11</v>
      </c>
      <c r="M25" s="2">
        <v>60</v>
      </c>
      <c r="N25" s="2">
        <v>47.8</v>
      </c>
      <c r="O25" s="2">
        <v>330</v>
      </c>
      <c r="P25" s="2">
        <v>64.400000000000006</v>
      </c>
    </row>
    <row r="26" spans="1:16" x14ac:dyDescent="0.3">
      <c r="A26" s="2">
        <v>70</v>
      </c>
      <c r="B26" s="2">
        <v>46.9</v>
      </c>
      <c r="C26" s="2">
        <v>0.2</v>
      </c>
      <c r="E26" s="2" t="s">
        <v>16</v>
      </c>
      <c r="F26" s="2">
        <v>5.95</v>
      </c>
      <c r="G26" s="2">
        <v>0.02</v>
      </c>
      <c r="M26" s="2">
        <v>70</v>
      </c>
      <c r="N26" s="2">
        <v>46.9</v>
      </c>
      <c r="O26" s="2">
        <v>340</v>
      </c>
      <c r="P26" s="2">
        <v>64.8</v>
      </c>
    </row>
    <row r="27" spans="1:16" x14ac:dyDescent="0.3">
      <c r="A27" s="2">
        <v>80</v>
      </c>
      <c r="B27" s="2">
        <v>46.2</v>
      </c>
      <c r="C27" s="2">
        <v>0.2</v>
      </c>
      <c r="M27" s="2">
        <v>80</v>
      </c>
      <c r="N27" s="2">
        <v>46.2</v>
      </c>
      <c r="O27" s="2">
        <v>350</v>
      </c>
      <c r="P27" s="2">
        <v>65.099999999999994</v>
      </c>
    </row>
    <row r="28" spans="1:16" x14ac:dyDescent="0.3">
      <c r="A28" s="2">
        <v>90</v>
      </c>
      <c r="B28" s="2">
        <v>45.6</v>
      </c>
      <c r="C28" s="2">
        <v>0.2</v>
      </c>
      <c r="M28" s="2">
        <v>90</v>
      </c>
      <c r="N28" s="2">
        <v>45.6</v>
      </c>
      <c r="O28" s="2">
        <v>360</v>
      </c>
      <c r="P28" s="2">
        <v>65.3</v>
      </c>
    </row>
    <row r="29" spans="1:16" x14ac:dyDescent="0.3">
      <c r="A29" s="2">
        <v>100</v>
      </c>
      <c r="B29" s="2">
        <v>45.4</v>
      </c>
      <c r="C29" s="2">
        <v>0.2</v>
      </c>
      <c r="M29" s="2">
        <v>100</v>
      </c>
      <c r="N29" s="2">
        <v>45.4</v>
      </c>
      <c r="O29" s="2">
        <v>370</v>
      </c>
      <c r="P29" s="2">
        <v>65.400000000000006</v>
      </c>
    </row>
    <row r="30" spans="1:16" x14ac:dyDescent="0.3">
      <c r="A30" s="2">
        <v>110</v>
      </c>
      <c r="B30" s="2">
        <v>45.1</v>
      </c>
      <c r="C30" s="2">
        <v>0.2</v>
      </c>
      <c r="M30" s="2">
        <v>110</v>
      </c>
      <c r="N30" s="2">
        <v>45.1</v>
      </c>
      <c r="O30" s="2">
        <v>380</v>
      </c>
      <c r="P30" s="2">
        <v>65.2</v>
      </c>
    </row>
    <row r="31" spans="1:16" x14ac:dyDescent="0.3">
      <c r="A31" s="2">
        <v>120</v>
      </c>
      <c r="B31" s="2">
        <v>45.3</v>
      </c>
      <c r="C31" s="2">
        <v>0.2</v>
      </c>
      <c r="M31" s="2">
        <v>120</v>
      </c>
      <c r="N31" s="2">
        <v>45.3</v>
      </c>
      <c r="O31" s="2">
        <v>390</v>
      </c>
      <c r="P31" s="2">
        <v>64.900000000000006</v>
      </c>
    </row>
    <row r="32" spans="1:16" x14ac:dyDescent="0.3">
      <c r="A32" s="2">
        <v>130</v>
      </c>
      <c r="B32" s="2">
        <v>45.4</v>
      </c>
      <c r="C32" s="2">
        <v>0.2</v>
      </c>
      <c r="M32" s="2">
        <v>130</v>
      </c>
      <c r="N32" s="2">
        <v>45.4</v>
      </c>
      <c r="O32" s="2">
        <v>400</v>
      </c>
      <c r="P32" s="2">
        <v>64.5</v>
      </c>
    </row>
    <row r="33" spans="1:16" x14ac:dyDescent="0.3">
      <c r="A33" s="2">
        <v>140</v>
      </c>
      <c r="B33" s="2">
        <v>45.6</v>
      </c>
      <c r="C33" s="2">
        <v>0.2</v>
      </c>
      <c r="M33" s="2">
        <v>140</v>
      </c>
      <c r="N33" s="2">
        <v>45.6</v>
      </c>
      <c r="O33" s="2">
        <v>410</v>
      </c>
      <c r="P33" s="2">
        <v>64</v>
      </c>
    </row>
    <row r="34" spans="1:16" x14ac:dyDescent="0.3">
      <c r="A34" s="2">
        <v>150</v>
      </c>
      <c r="B34" s="2">
        <v>46.1</v>
      </c>
      <c r="C34" s="2">
        <v>0.2</v>
      </c>
      <c r="M34" s="2">
        <v>150</v>
      </c>
      <c r="N34" s="2">
        <v>46.1</v>
      </c>
      <c r="O34" s="2">
        <v>420</v>
      </c>
      <c r="P34" s="2">
        <v>63.3</v>
      </c>
    </row>
    <row r="35" spans="1:16" x14ac:dyDescent="0.3">
      <c r="A35" s="2">
        <v>160</v>
      </c>
      <c r="B35" s="2">
        <v>46.7</v>
      </c>
      <c r="C35" s="2">
        <v>0.2</v>
      </c>
      <c r="M35" s="2">
        <v>160</v>
      </c>
      <c r="N35" s="2">
        <v>46.7</v>
      </c>
      <c r="O35" s="2">
        <v>430</v>
      </c>
      <c r="P35" s="2">
        <v>62.5</v>
      </c>
    </row>
    <row r="36" spans="1:16" x14ac:dyDescent="0.3">
      <c r="A36" s="2">
        <v>170</v>
      </c>
      <c r="B36" s="2">
        <v>47.5</v>
      </c>
      <c r="C36" s="2">
        <v>0.2</v>
      </c>
      <c r="M36" s="2">
        <v>170</v>
      </c>
      <c r="N36" s="2">
        <v>47.5</v>
      </c>
      <c r="O36" s="2">
        <v>440</v>
      </c>
      <c r="P36" s="2">
        <v>61.6</v>
      </c>
    </row>
    <row r="37" spans="1:16" x14ac:dyDescent="0.3">
      <c r="A37" s="2">
        <v>180</v>
      </c>
      <c r="B37" s="2">
        <v>48.4</v>
      </c>
      <c r="C37" s="2">
        <v>0.2</v>
      </c>
      <c r="M37" s="2">
        <v>180</v>
      </c>
      <c r="N37" s="2">
        <v>48.4</v>
      </c>
      <c r="O37" s="2">
        <v>450</v>
      </c>
      <c r="P37" s="2">
        <v>60.7</v>
      </c>
    </row>
    <row r="38" spans="1:16" x14ac:dyDescent="0.3">
      <c r="A38" s="2">
        <v>190</v>
      </c>
      <c r="B38" s="2">
        <v>49.3</v>
      </c>
      <c r="C38" s="2">
        <v>0.2</v>
      </c>
      <c r="M38" s="2">
        <v>190</v>
      </c>
      <c r="N38" s="2">
        <v>49.3</v>
      </c>
      <c r="O38" s="2">
        <v>460</v>
      </c>
      <c r="P38" s="2">
        <v>59.5</v>
      </c>
    </row>
    <row r="39" spans="1:16" x14ac:dyDescent="0.3">
      <c r="A39" s="2">
        <v>200</v>
      </c>
      <c r="B39" s="2">
        <v>50.3</v>
      </c>
      <c r="C39" s="2">
        <v>0.2</v>
      </c>
      <c r="M39" s="2">
        <v>200</v>
      </c>
      <c r="N39" s="2">
        <v>50.3</v>
      </c>
      <c r="O39" s="2">
        <v>470</v>
      </c>
      <c r="P39" s="2">
        <v>58.4</v>
      </c>
    </row>
    <row r="40" spans="1:16" x14ac:dyDescent="0.3">
      <c r="A40" s="2">
        <v>210</v>
      </c>
      <c r="B40" s="2">
        <v>51.4</v>
      </c>
      <c r="C40" s="2">
        <v>0.2</v>
      </c>
      <c r="M40" s="2">
        <v>210</v>
      </c>
      <c r="N40" s="2">
        <v>51.4</v>
      </c>
      <c r="O40" s="2">
        <v>480</v>
      </c>
      <c r="P40" s="2">
        <v>57.3</v>
      </c>
    </row>
    <row r="41" spans="1:16" x14ac:dyDescent="0.3">
      <c r="A41" s="2">
        <v>220</v>
      </c>
      <c r="B41" s="2">
        <v>52.8</v>
      </c>
      <c r="C41" s="2">
        <v>0.2</v>
      </c>
      <c r="M41" s="2">
        <v>220</v>
      </c>
      <c r="N41" s="2">
        <v>52.8</v>
      </c>
      <c r="O41" s="2">
        <v>490</v>
      </c>
      <c r="P41" s="2">
        <v>56</v>
      </c>
    </row>
    <row r="42" spans="1:16" x14ac:dyDescent="0.3">
      <c r="A42" s="2">
        <v>230</v>
      </c>
      <c r="B42" s="2">
        <v>53.9</v>
      </c>
      <c r="C42" s="2">
        <v>0.2</v>
      </c>
      <c r="M42" s="2">
        <v>230</v>
      </c>
      <c r="N42" s="2">
        <v>53.9</v>
      </c>
      <c r="O42" s="2">
        <v>500</v>
      </c>
      <c r="P42" s="2">
        <v>54.8</v>
      </c>
    </row>
    <row r="43" spans="1:16" x14ac:dyDescent="0.3">
      <c r="A43" s="2">
        <v>240</v>
      </c>
      <c r="B43" s="2">
        <v>55.2</v>
      </c>
      <c r="C43" s="2">
        <v>0.2</v>
      </c>
      <c r="M43" s="2">
        <v>240</v>
      </c>
      <c r="N43" s="2">
        <v>55.2</v>
      </c>
      <c r="O43" s="2">
        <v>510</v>
      </c>
      <c r="P43" s="15">
        <v>53.6</v>
      </c>
    </row>
    <row r="44" spans="1:16" x14ac:dyDescent="0.3">
      <c r="A44" s="2">
        <v>250</v>
      </c>
      <c r="B44" s="2">
        <v>56.5</v>
      </c>
      <c r="C44" s="2">
        <v>0.2</v>
      </c>
      <c r="M44" s="2">
        <v>250</v>
      </c>
      <c r="N44" s="2">
        <v>56.5</v>
      </c>
      <c r="O44" s="2">
        <v>520</v>
      </c>
      <c r="P44" s="2">
        <v>52.5</v>
      </c>
    </row>
    <row r="45" spans="1:16" x14ac:dyDescent="0.3">
      <c r="A45" s="2">
        <v>260</v>
      </c>
      <c r="B45" s="2">
        <v>57.7</v>
      </c>
      <c r="C45" s="2">
        <v>0.2</v>
      </c>
      <c r="M45" s="2">
        <v>260</v>
      </c>
      <c r="N45" s="2">
        <v>57.7</v>
      </c>
      <c r="O45" s="2">
        <v>530</v>
      </c>
      <c r="P45" s="2">
        <v>51.4</v>
      </c>
    </row>
    <row r="46" spans="1:16" x14ac:dyDescent="0.3">
      <c r="A46" s="2">
        <v>270</v>
      </c>
      <c r="B46" s="2">
        <v>58.9</v>
      </c>
      <c r="C46" s="2">
        <v>0.2</v>
      </c>
      <c r="M46" s="2">
        <v>270</v>
      </c>
      <c r="N46" s="2">
        <v>58.9</v>
      </c>
      <c r="O46" s="2">
        <v>540</v>
      </c>
      <c r="P46" s="2">
        <v>50.4</v>
      </c>
    </row>
    <row r="47" spans="1:16" x14ac:dyDescent="0.3">
      <c r="A47" s="2">
        <v>280</v>
      </c>
      <c r="B47" s="2">
        <v>60.1</v>
      </c>
      <c r="C47" s="2">
        <v>0.2</v>
      </c>
    </row>
    <row r="48" spans="1:16" x14ac:dyDescent="0.3">
      <c r="A48" s="2">
        <v>290</v>
      </c>
      <c r="B48" s="2">
        <v>61.2</v>
      </c>
      <c r="C48" s="2">
        <v>0.2</v>
      </c>
    </row>
    <row r="49" spans="1:3" x14ac:dyDescent="0.3">
      <c r="A49" s="2">
        <v>300</v>
      </c>
      <c r="B49" s="2">
        <v>62.2</v>
      </c>
      <c r="C49" s="2">
        <v>0.2</v>
      </c>
    </row>
    <row r="50" spans="1:3" x14ac:dyDescent="0.3">
      <c r="A50" s="2">
        <v>310</v>
      </c>
      <c r="B50" s="4">
        <v>63</v>
      </c>
      <c r="C50" s="2">
        <v>0.2</v>
      </c>
    </row>
    <row r="51" spans="1:3" x14ac:dyDescent="0.3">
      <c r="A51" s="2">
        <v>320</v>
      </c>
      <c r="B51" s="2">
        <v>63.7</v>
      </c>
      <c r="C51" s="2">
        <v>0.2</v>
      </c>
    </row>
    <row r="52" spans="1:3" x14ac:dyDescent="0.3">
      <c r="A52" s="2">
        <v>330</v>
      </c>
      <c r="B52" s="2">
        <v>64.400000000000006</v>
      </c>
      <c r="C52" s="2">
        <v>0.2</v>
      </c>
    </row>
    <row r="53" spans="1:3" x14ac:dyDescent="0.3">
      <c r="A53" s="2">
        <v>340</v>
      </c>
      <c r="B53" s="2">
        <v>64.8</v>
      </c>
      <c r="C53" s="2">
        <v>0.2</v>
      </c>
    </row>
    <row r="54" spans="1:3" x14ac:dyDescent="0.3">
      <c r="A54" s="2">
        <v>350</v>
      </c>
      <c r="B54" s="2">
        <v>65.099999999999994</v>
      </c>
      <c r="C54" s="2">
        <v>0.2</v>
      </c>
    </row>
    <row r="55" spans="1:3" x14ac:dyDescent="0.3">
      <c r="A55" s="2">
        <v>360</v>
      </c>
      <c r="B55" s="2">
        <v>65.3</v>
      </c>
      <c r="C55" s="2">
        <v>0.2</v>
      </c>
    </row>
    <row r="56" spans="1:3" x14ac:dyDescent="0.3">
      <c r="A56" s="2">
        <v>370</v>
      </c>
      <c r="B56" s="2">
        <v>65.400000000000006</v>
      </c>
      <c r="C56" s="2">
        <v>0.2</v>
      </c>
    </row>
    <row r="57" spans="1:3" x14ac:dyDescent="0.3">
      <c r="A57" s="2">
        <v>380</v>
      </c>
      <c r="B57" s="2">
        <v>65.2</v>
      </c>
      <c r="C57" s="2">
        <v>0.2</v>
      </c>
    </row>
    <row r="58" spans="1:3" x14ac:dyDescent="0.3">
      <c r="A58" s="2">
        <v>390</v>
      </c>
      <c r="B58" s="2">
        <v>64.900000000000006</v>
      </c>
      <c r="C58" s="2">
        <v>0.2</v>
      </c>
    </row>
    <row r="59" spans="1:3" x14ac:dyDescent="0.3">
      <c r="A59" s="2">
        <v>400</v>
      </c>
      <c r="B59" s="2">
        <v>64.5</v>
      </c>
      <c r="C59" s="2">
        <v>0.2</v>
      </c>
    </row>
    <row r="60" spans="1:3" x14ac:dyDescent="0.3">
      <c r="A60" s="2">
        <v>410</v>
      </c>
      <c r="B60" s="4">
        <v>64</v>
      </c>
      <c r="C60" s="2">
        <v>0.2</v>
      </c>
    </row>
    <row r="61" spans="1:3" x14ac:dyDescent="0.3">
      <c r="A61" s="2">
        <v>420</v>
      </c>
      <c r="B61" s="2">
        <v>63.3</v>
      </c>
      <c r="C61" s="2">
        <v>0.2</v>
      </c>
    </row>
    <row r="62" spans="1:3" x14ac:dyDescent="0.3">
      <c r="A62" s="2">
        <v>430</v>
      </c>
      <c r="B62" s="2">
        <v>62.5</v>
      </c>
      <c r="C62" s="2">
        <v>0.2</v>
      </c>
    </row>
    <row r="63" spans="1:3" x14ac:dyDescent="0.3">
      <c r="A63" s="2">
        <v>440</v>
      </c>
      <c r="B63" s="2">
        <v>61.6</v>
      </c>
      <c r="C63" s="2">
        <v>0.2</v>
      </c>
    </row>
    <row r="64" spans="1:3" x14ac:dyDescent="0.3">
      <c r="A64" s="2">
        <v>450</v>
      </c>
      <c r="B64" s="2">
        <v>60.7</v>
      </c>
      <c r="C64" s="2">
        <v>0.2</v>
      </c>
    </row>
    <row r="65" spans="1:8" x14ac:dyDescent="0.3">
      <c r="A65" s="2">
        <v>460</v>
      </c>
      <c r="B65" s="2">
        <v>59.5</v>
      </c>
      <c r="C65" s="2">
        <v>0.2</v>
      </c>
    </row>
    <row r="66" spans="1:8" x14ac:dyDescent="0.3">
      <c r="A66" s="2">
        <v>470</v>
      </c>
      <c r="B66" s="2">
        <v>58.4</v>
      </c>
      <c r="C66" s="2">
        <v>0.2</v>
      </c>
    </row>
    <row r="67" spans="1:8" x14ac:dyDescent="0.3">
      <c r="A67" s="2">
        <v>480</v>
      </c>
      <c r="B67" s="2">
        <v>57.3</v>
      </c>
      <c r="C67" s="2">
        <v>0.2</v>
      </c>
    </row>
    <row r="68" spans="1:8" x14ac:dyDescent="0.3">
      <c r="A68" s="2">
        <v>490</v>
      </c>
      <c r="B68" s="4">
        <v>56</v>
      </c>
      <c r="C68" s="2">
        <v>0.2</v>
      </c>
    </row>
    <row r="69" spans="1:8" x14ac:dyDescent="0.3">
      <c r="A69" s="2">
        <v>500</v>
      </c>
      <c r="B69" s="2">
        <v>54.8</v>
      </c>
      <c r="C69" s="2">
        <v>0.2</v>
      </c>
    </row>
    <row r="70" spans="1:8" x14ac:dyDescent="0.3">
      <c r="A70" s="2">
        <v>510</v>
      </c>
      <c r="B70" s="3">
        <v>53.6</v>
      </c>
      <c r="C70" s="2">
        <v>0.2</v>
      </c>
    </row>
    <row r="71" spans="1:8" x14ac:dyDescent="0.3">
      <c r="A71" s="2">
        <v>520</v>
      </c>
      <c r="B71" s="2">
        <v>52.5</v>
      </c>
      <c r="C71" s="2">
        <v>0.2</v>
      </c>
    </row>
    <row r="72" spans="1:8" x14ac:dyDescent="0.3">
      <c r="A72" s="2">
        <v>530</v>
      </c>
      <c r="B72" s="2">
        <v>51.4</v>
      </c>
      <c r="C72" s="2">
        <v>0.2</v>
      </c>
    </row>
    <row r="73" spans="1:8" x14ac:dyDescent="0.3">
      <c r="A73" s="2">
        <v>540</v>
      </c>
      <c r="B73" s="2">
        <v>50.4</v>
      </c>
      <c r="C73" s="2">
        <v>0.2</v>
      </c>
    </row>
    <row r="77" spans="1:8" x14ac:dyDescent="0.3">
      <c r="A77" s="2" t="s">
        <v>18</v>
      </c>
    </row>
    <row r="78" spans="1:8" x14ac:dyDescent="0.3">
      <c r="C78" s="2" t="s">
        <v>20</v>
      </c>
      <c r="D78" s="2" t="s">
        <v>33</v>
      </c>
      <c r="E78" s="2" t="s">
        <v>32</v>
      </c>
      <c r="F78" s="2" t="s">
        <v>34</v>
      </c>
      <c r="G78" s="2" t="s">
        <v>35</v>
      </c>
    </row>
    <row r="79" spans="1:8" x14ac:dyDescent="0.3">
      <c r="A79" s="2" t="s">
        <v>21</v>
      </c>
      <c r="B79" s="2">
        <f>9.55/1000</f>
        <v>9.5500000000000012E-3</v>
      </c>
      <c r="C79" s="2">
        <v>1.0000000000000001E-5</v>
      </c>
      <c r="D79" s="2">
        <f>C79^2</f>
        <v>1.0000000000000002E-10</v>
      </c>
      <c r="E79" s="2">
        <f>(4*PI()^2*B81^2*B84*B79)/(5*B80*B83*B85^2*B82)</f>
        <v>1.8247315005513522E-10</v>
      </c>
      <c r="F79" s="2">
        <f>E79^2</f>
        <v>3.3296450491043893E-20</v>
      </c>
      <c r="G79" s="2">
        <f>D79*F79</f>
        <v>3.3296450491043899E-30</v>
      </c>
      <c r="H79" s="6" t="s">
        <v>31</v>
      </c>
    </row>
    <row r="80" spans="1:8" x14ac:dyDescent="0.3">
      <c r="A80" s="2" t="s">
        <v>22</v>
      </c>
      <c r="B80" s="2">
        <f>50/1000</f>
        <v>0.05</v>
      </c>
      <c r="C80" s="2">
        <v>0.01</v>
      </c>
      <c r="D80" s="2">
        <f t="shared" ref="D80:D85" si="1">C80^2</f>
        <v>1E-4</v>
      </c>
      <c r="E80" s="2">
        <f>(PI()^2*$B$81^2*$B$84*(5*$B$80^2-2*$B$79^2))/(5*$B$80^2*$B$83*$B$85^2*$B$82)</f>
        <v>1.17676982238397E-9</v>
      </c>
      <c r="F80" s="2">
        <f t="shared" ref="F80:F85" si="2">E80^2</f>
        <v>1.3847872148736003E-18</v>
      </c>
      <c r="G80" s="2">
        <f t="shared" ref="G80:G85" si="3">D80*F80</f>
        <v>1.3847872148736004E-22</v>
      </c>
      <c r="H80" s="6" t="s">
        <v>31</v>
      </c>
    </row>
    <row r="81" spans="1:8" x14ac:dyDescent="0.3">
      <c r="A81" s="2" t="s">
        <v>23</v>
      </c>
      <c r="B81" s="2">
        <f>42.2/1000</f>
        <v>4.2200000000000001E-2</v>
      </c>
      <c r="C81" s="2">
        <v>1E-3</v>
      </c>
      <c r="D81" s="2">
        <f t="shared" si="1"/>
        <v>9.9999999999999995E-7</v>
      </c>
      <c r="E81" s="2">
        <f>(2*PI()^2*$B$81*$B$84*(5*$B$80^2+2*$B$79^2))/(5*$B$80*$B$83*$B$85^2*$B$82)</f>
        <v>2.8711426399158793E-9</v>
      </c>
      <c r="F81" s="2">
        <f t="shared" si="2"/>
        <v>8.2434600587431239E-18</v>
      </c>
      <c r="G81" s="2">
        <f t="shared" si="3"/>
        <v>8.2434600587431235E-24</v>
      </c>
      <c r="H81" s="6" t="s">
        <v>31</v>
      </c>
    </row>
    <row r="82" spans="1:8" x14ac:dyDescent="0.3">
      <c r="A82" s="2" t="s">
        <v>19</v>
      </c>
      <c r="B82" s="2">
        <v>1.5</v>
      </c>
      <c r="C82" s="2">
        <v>0.1</v>
      </c>
      <c r="D82" s="2">
        <f t="shared" si="1"/>
        <v>1.0000000000000002E-2</v>
      </c>
      <c r="E82" s="2">
        <f>-(PI()^2*$B$81^2*$B$84*(5*$B$80^2+2*$B$79^2))/(5*$B$80*$B$83*$B$85^2*$B$82^2)</f>
        <v>-4.0387406468150038E-11</v>
      </c>
      <c r="F82" s="2">
        <f t="shared" si="2"/>
        <v>1.6311426012235676E-21</v>
      </c>
      <c r="G82" s="2">
        <f t="shared" si="3"/>
        <v>1.6311426012235678E-23</v>
      </c>
      <c r="H82" s="6" t="s">
        <v>31</v>
      </c>
    </row>
    <row r="83" spans="1:8" x14ac:dyDescent="0.3">
      <c r="A83" s="2" t="s">
        <v>16</v>
      </c>
      <c r="B83" s="2">
        <f>F26</f>
        <v>5.95</v>
      </c>
      <c r="C83" s="2">
        <f>G26</f>
        <v>0.02</v>
      </c>
      <c r="D83" s="2">
        <f t="shared" si="1"/>
        <v>4.0000000000000002E-4</v>
      </c>
      <c r="E83" s="2">
        <f>-(PI()^2*$B$81^2*$B$84*(5*$B$80^2+2*$B$79^2))/(5*$B$80*$B$83^2*$B$85^2*$B$82)</f>
        <v>-1.0181699109617656E-11</v>
      </c>
      <c r="F83" s="2">
        <f t="shared" si="2"/>
        <v>1.0366699675878896E-22</v>
      </c>
      <c r="G83" s="2">
        <f t="shared" si="3"/>
        <v>4.1466798703515588E-26</v>
      </c>
      <c r="H83" s="6" t="s">
        <v>31</v>
      </c>
    </row>
    <row r="84" spans="1:8" x14ac:dyDescent="0.3">
      <c r="A84" s="2" t="s">
        <v>24</v>
      </c>
      <c r="B84" s="7">
        <f>G7/100</f>
        <v>0.15159999999999996</v>
      </c>
      <c r="C84" s="7">
        <f>H7/100</f>
        <v>3.5377331097124383E-3</v>
      </c>
      <c r="D84" s="2">
        <f t="shared" si="1"/>
        <v>1.2515555555555638E-5</v>
      </c>
      <c r="E84" s="2">
        <f>(PI()^2*$B$81^2*(5*$B$80^2+2*$B$79^2))/(5*$B$80*$B$83*$B$85^2*$B$82)</f>
        <v>3.9961154157140547E-10</v>
      </c>
      <c r="F84" s="2">
        <f t="shared" si="2"/>
        <v>1.5968938415707511E-19</v>
      </c>
      <c r="G84" s="2">
        <f t="shared" si="3"/>
        <v>1.9986013590503398E-24</v>
      </c>
      <c r="H84" s="6" t="s">
        <v>31</v>
      </c>
    </row>
    <row r="85" spans="1:8" x14ac:dyDescent="0.3">
      <c r="A85" s="2" t="s">
        <v>10</v>
      </c>
      <c r="B85" s="2">
        <f>F22</f>
        <v>500</v>
      </c>
      <c r="C85" s="2">
        <f>G22</f>
        <v>10</v>
      </c>
      <c r="D85" s="2">
        <f t="shared" si="1"/>
        <v>100</v>
      </c>
      <c r="E85" s="2">
        <f>-(2*PI()^2*$B$81^2*$B$84*(5*$B$80^2+2*$B$79^2))/(5*$B$80*$B$83*$B$85^3*$B$82)</f>
        <v>-2.4232443880890024E-13</v>
      </c>
      <c r="F85" s="2">
        <f t="shared" si="2"/>
        <v>5.8721133644048437E-26</v>
      </c>
      <c r="G85" s="2">
        <f t="shared" si="3"/>
        <v>5.8721133644048438E-24</v>
      </c>
      <c r="H85" s="6" t="s">
        <v>31</v>
      </c>
    </row>
    <row r="86" spans="1:8" x14ac:dyDescent="0.3">
      <c r="F86" s="2" t="s">
        <v>36</v>
      </c>
      <c r="G86" s="2">
        <f>SUM(G79:G85)</f>
        <v>1.7094579241014257E-22</v>
      </c>
    </row>
    <row r="87" spans="1:8" x14ac:dyDescent="0.3">
      <c r="A87" s="2" t="s">
        <v>25</v>
      </c>
      <c r="B87" s="13">
        <f>PI()^2*B84*B81^2*((B80^2+(0.4*B79^2))/(B85^2*B82*B83*B80))</f>
        <v>6.0581109702225041E-11</v>
      </c>
      <c r="C87" s="13">
        <f>B87*SQRT((C84^2/B84^2)+(C85^2*(2/B85)^2)+(C83^2*(1/B83)^2))</f>
        <v>2.8128600253405244E-12</v>
      </c>
      <c r="D87" s="12">
        <f>SQRT(G86)</f>
        <v>1.3074623987332965E-11</v>
      </c>
    </row>
    <row r="88" spans="1:8" x14ac:dyDescent="0.3">
      <c r="A88" s="2" t="s">
        <v>26</v>
      </c>
      <c r="B88" s="8">
        <v>6.67E-11</v>
      </c>
    </row>
    <row r="89" spans="1:8" x14ac:dyDescent="0.3">
      <c r="A89" s="2" t="s">
        <v>27</v>
      </c>
      <c r="B89" s="9">
        <f>ABS(B87-B88)/AVERAGE(B87:B88)</f>
        <v>9.6147657921747232E-2</v>
      </c>
      <c r="D89" s="14"/>
    </row>
    <row r="90" spans="1:8" x14ac:dyDescent="0.3">
      <c r="E90" s="9"/>
    </row>
    <row r="92" spans="1:8" x14ac:dyDescent="0.3">
      <c r="A92" s="2" t="s">
        <v>30</v>
      </c>
    </row>
    <row r="93" spans="1:8" x14ac:dyDescent="0.3">
      <c r="C93" s="2" t="s">
        <v>20</v>
      </c>
      <c r="D93" s="2" t="s">
        <v>39</v>
      </c>
      <c r="E93" s="2" t="s">
        <v>40</v>
      </c>
    </row>
    <row r="94" spans="1:8" x14ac:dyDescent="0.3">
      <c r="A94" s="10" t="s">
        <v>28</v>
      </c>
      <c r="B94" s="7">
        <f>B81^3/((B81^2+4*B80^2)^(3/2))</f>
        <v>5.8772337831158858E-2</v>
      </c>
      <c r="C94" s="7">
        <f>B94*SQRT((D94+E94))</f>
        <v>4.6408764425113248E-3</v>
      </c>
      <c r="D94" s="2">
        <f>$C$81^2*((12*$B$80^2)/($B$81*($B$81^2+4*$B$80^2)))^2</f>
        <v>3.6413723661443088E-3</v>
      </c>
      <c r="E94" s="2">
        <f>$C$81^2*((12*$B$80)/(($B$81^2+4*$B$80^2)))^2</f>
        <v>2.5938806258097719E-3</v>
      </c>
    </row>
    <row r="95" spans="1:8" ht="15.6" x14ac:dyDescent="0.35">
      <c r="A95" s="2" t="s">
        <v>29</v>
      </c>
      <c r="B95" s="13">
        <f>B87/(1-B94)</f>
        <v>6.4363928236692398E-11</v>
      </c>
      <c r="C95" s="13">
        <f>B95*SQRT((C87^2*(1/B87)^2)+C94^2*(1/(1-B94))^2)</f>
        <v>3.0053044707532611E-12</v>
      </c>
    </row>
    <row r="96" spans="1:8" x14ac:dyDescent="0.3">
      <c r="A96" s="2" t="s">
        <v>26</v>
      </c>
      <c r="B96" s="8">
        <v>6.67E-11</v>
      </c>
    </row>
    <row r="97" spans="1:2" x14ac:dyDescent="0.3">
      <c r="A97" s="2" t="s">
        <v>27</v>
      </c>
      <c r="B97" s="9">
        <f>ABS(B95-B96)/AVERAGE(B95:B96)</f>
        <v>3.5647821559091644E-2</v>
      </c>
    </row>
  </sheetData>
  <mergeCells count="1">
    <mergeCell ref="F3:G3"/>
  </mergeCells>
  <hyperlinks>
    <hyperlink ref="H79" r:id="rId1" display="test" xr:uid="{6BEC0A57-AC6C-46F4-ABBB-9B08BA02DDC8}"/>
    <hyperlink ref="H80" r:id="rId2" xr:uid="{8E3D35C6-E0FE-4CED-8C6D-C4FB833FD958}"/>
    <hyperlink ref="H81" r:id="rId3" xr:uid="{4F2BE297-9C19-4C3F-AC29-73635DE7610D}"/>
    <hyperlink ref="H82:H85" r:id="rId4" display="equation" xr:uid="{471637F7-9FCC-4596-9A91-5882FB08C20D}"/>
    <hyperlink ref="H82" r:id="rId5" xr:uid="{0787D4CC-4A8F-489F-8462-B3108CCE7D5C}"/>
    <hyperlink ref="H83" r:id="rId6" xr:uid="{4150FE10-8621-4CD1-A419-15D47FF5CE98}"/>
    <hyperlink ref="H84" r:id="rId7" xr:uid="{AAAC84C2-A602-49DE-969A-35007672298A}"/>
    <hyperlink ref="H85" r:id="rId8" xr:uid="{9BC23F37-3331-407F-BC5E-A26B831A40C1}"/>
  </hyperlinks>
  <pageMargins left="0.7" right="0.7" top="0.75" bottom="0.75" header="0.3" footer="0.3"/>
  <pageSetup scale="54" fitToHeight="0" orientation="portrait" horizontalDpi="0" verticalDpi="0" r:id="rId9"/>
  <drawing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Litt</dc:creator>
  <cp:lastModifiedBy>Raines, Josh</cp:lastModifiedBy>
  <cp:lastPrinted>2020-09-25T15:46:56Z</cp:lastPrinted>
  <dcterms:created xsi:type="dcterms:W3CDTF">2020-09-21T21:26:57Z</dcterms:created>
  <dcterms:modified xsi:type="dcterms:W3CDTF">2020-09-27T18:20:49Z</dcterms:modified>
</cp:coreProperties>
</file>