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drawings/drawing5.xml" ContentType="application/vnd.openxmlformats-officedocument.drawing+xml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6.xml" ContentType="application/vnd.openxmlformats-officedocument.drawing+xml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embeddings/oleObject132.bin" ContentType="application/vnd.openxmlformats-officedocument.oleObject"/>
  <Override PartName="/xl/embeddings/oleObject133.bin" ContentType="application/vnd.openxmlformats-officedocument.oleObject"/>
  <Override PartName="/xl/embeddings/oleObject134.bin" ContentType="application/vnd.openxmlformats-officedocument.oleObject"/>
  <Override PartName="/xl/embeddings/oleObject135.bin" ContentType="application/vnd.openxmlformats-officedocument.oleObject"/>
  <Override PartName="/xl/embeddings/oleObject136.bin" ContentType="application/vnd.openxmlformats-officedocument.oleObject"/>
  <Override PartName="/xl/embeddings/oleObject137.bin" ContentType="application/vnd.openxmlformats-officedocument.oleObject"/>
  <Override PartName="/xl/embeddings/oleObject138.bin" ContentType="application/vnd.openxmlformats-officedocument.oleObject"/>
  <Override PartName="/xl/embeddings/oleObject139.bin" ContentType="application/vnd.openxmlformats-officedocument.oleObject"/>
  <Override PartName="/xl/embeddings/oleObject140.bin" ContentType="application/vnd.openxmlformats-officedocument.oleObject"/>
  <Override PartName="/xl/embeddings/oleObject141.bin" ContentType="application/vnd.openxmlformats-officedocument.oleObject"/>
  <Override PartName="/xl/embeddings/oleObject142.bin" ContentType="application/vnd.openxmlformats-officedocument.oleObject"/>
  <Override PartName="/xl/embeddings/oleObject143.bin" ContentType="application/vnd.openxmlformats-officedocument.oleObject"/>
  <Override PartName="/xl/embeddings/oleObject144.bin" ContentType="application/vnd.openxmlformats-officedocument.oleObject"/>
  <Override PartName="/xl/embeddings/oleObject145.bin" ContentType="application/vnd.openxmlformats-officedocument.oleObject"/>
  <Override PartName="/xl/embeddings/oleObject146.bin" ContentType="application/vnd.openxmlformats-officedocument.oleObject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PAT\"/>
    </mc:Choice>
  </mc:AlternateContent>
  <xr:revisionPtr revIDLastSave="0" documentId="8_{1EC5BA76-B269-42D3-9050-7C6C8B960364}" xr6:coauthVersionLast="37" xr6:coauthVersionMax="37" xr10:uidLastSave="{00000000-0000-0000-0000-000000000000}"/>
  <bookViews>
    <workbookView xWindow="480" yWindow="555" windowWidth="19440" windowHeight="7590" tabRatio="660" firstSheet="6" activeTab="11" xr2:uid="{00000000-000D-0000-FFFF-FFFF00000000}"/>
  </bookViews>
  <sheets>
    <sheet name="Исходные данные" sheetId="11" r:id="rId1"/>
    <sheet name="5 МГц" sheetId="4" r:id="rId2"/>
    <sheet name="10 МГц" sheetId="6" r:id="rId3"/>
    <sheet name="16 МГц" sheetId="7" r:id="rId4"/>
    <sheet name="20 МГц" sheetId="8" r:id="rId5"/>
    <sheet name="32МГц-2017" sheetId="9" r:id="rId6"/>
    <sheet name="Простая обработка" sheetId="12" r:id="rId7"/>
    <sheet name="Обработка" sheetId="1" r:id="rId8"/>
    <sheet name="Погр. по средним" sheetId="13" r:id="rId9"/>
    <sheet name="Погрешность" sheetId="3" r:id="rId10"/>
    <sheet name="Погрешность_Без диф.попр" sheetId="10" r:id="rId11"/>
    <sheet name="Диф.поправка" sheetId="2" r:id="rId12"/>
  </sheets>
  <calcPr calcId="179021"/>
</workbook>
</file>

<file path=xl/calcChain.xml><?xml version="1.0" encoding="utf-8"?>
<calcChain xmlns="http://schemas.openxmlformats.org/spreadsheetml/2006/main">
  <c r="C172" i="1" l="1"/>
  <c r="L127" i="1"/>
  <c r="F159" i="1"/>
  <c r="R35" i="2" l="1"/>
  <c r="Q35" i="2"/>
  <c r="P35" i="2"/>
  <c r="O35" i="2"/>
  <c r="N35" i="2" l="1"/>
  <c r="M35" i="2"/>
  <c r="F35" i="2"/>
  <c r="L35" i="2"/>
  <c r="K35" i="2"/>
  <c r="E35" i="2"/>
  <c r="R7" i="2"/>
  <c r="S7" i="2"/>
  <c r="C177" i="1" l="1"/>
  <c r="F171" i="1"/>
  <c r="E171" i="1"/>
  <c r="C174" i="1" s="1"/>
  <c r="C178" i="1" l="1"/>
  <c r="C175" i="1"/>
  <c r="AN159" i="1"/>
  <c r="AO154" i="1"/>
  <c r="AQ154" i="1" s="1"/>
  <c r="AO153" i="1"/>
  <c r="AQ153" i="1" s="1"/>
  <c r="AQ159" i="1" s="1"/>
  <c r="AD159" i="1"/>
  <c r="AE157" i="1"/>
  <c r="AG157" i="1" s="1"/>
  <c r="AG156" i="1"/>
  <c r="AE156" i="1"/>
  <c r="AE155" i="1"/>
  <c r="AG155" i="1" s="1"/>
  <c r="AG154" i="1"/>
  <c r="AE154" i="1"/>
  <c r="AE153" i="1"/>
  <c r="AG153" i="1" s="1"/>
  <c r="U159" i="1"/>
  <c r="V158" i="1"/>
  <c r="X158" i="1" s="1"/>
  <c r="V157" i="1"/>
  <c r="X157" i="1" s="1"/>
  <c r="V156" i="1"/>
  <c r="X156" i="1" s="1"/>
  <c r="V155" i="1"/>
  <c r="X155" i="1" s="1"/>
  <c r="V154" i="1"/>
  <c r="X154" i="1" s="1"/>
  <c r="V153" i="1"/>
  <c r="X153" i="1" s="1"/>
  <c r="L159" i="1"/>
  <c r="O158" i="1"/>
  <c r="M158" i="1"/>
  <c r="M157" i="1"/>
  <c r="O157" i="1" s="1"/>
  <c r="O156" i="1"/>
  <c r="M156" i="1"/>
  <c r="M155" i="1"/>
  <c r="O155" i="1" s="1"/>
  <c r="M154" i="1"/>
  <c r="O154" i="1" s="1"/>
  <c r="M153" i="1"/>
  <c r="O153" i="1" s="1"/>
  <c r="C159" i="1"/>
  <c r="F154" i="1"/>
  <c r="F157" i="1"/>
  <c r="F158" i="1"/>
  <c r="F153" i="1"/>
  <c r="D154" i="1"/>
  <c r="D155" i="1"/>
  <c r="F155" i="1" s="1"/>
  <c r="D156" i="1"/>
  <c r="F156" i="1" s="1"/>
  <c r="D157" i="1"/>
  <c r="D158" i="1"/>
  <c r="D153" i="1"/>
  <c r="AO147" i="1"/>
  <c r="AO146" i="1"/>
  <c r="AE147" i="1"/>
  <c r="AE146" i="1"/>
  <c r="V147" i="1"/>
  <c r="V146" i="1"/>
  <c r="M147" i="1"/>
  <c r="M146" i="1"/>
  <c r="D147" i="1"/>
  <c r="D146" i="1"/>
  <c r="AG159" i="1" l="1"/>
  <c r="O159" i="1"/>
  <c r="X159" i="1"/>
  <c r="AQ131" i="1" l="1"/>
  <c r="AN127" i="1"/>
  <c r="AN123" i="1"/>
  <c r="AN122" i="1"/>
  <c r="AN121" i="1"/>
  <c r="AN120" i="1"/>
  <c r="AN119" i="1"/>
  <c r="AN118" i="1"/>
  <c r="AZ17" i="1"/>
  <c r="AN147" i="1" l="1"/>
  <c r="AN154" i="1"/>
  <c r="AP154" i="1" s="1"/>
  <c r="AN153" i="1"/>
  <c r="AP153" i="1" s="1"/>
  <c r="AP159" i="1" s="1"/>
  <c r="AN160" i="1" s="1"/>
  <c r="AN146" i="1"/>
  <c r="AM134" i="1"/>
  <c r="AM135" i="1"/>
  <c r="AN128" i="1"/>
  <c r="AN148" i="1" l="1"/>
  <c r="I24" i="12" l="1"/>
  <c r="I25" i="12" s="1"/>
  <c r="I26" i="12" s="1"/>
  <c r="I27" i="12" s="1"/>
  <c r="I28" i="12" s="1"/>
  <c r="P58" i="13" l="1"/>
  <c r="N58" i="13"/>
  <c r="Q54" i="13"/>
  <c r="P54" i="13"/>
  <c r="O54" i="13"/>
  <c r="N54" i="13"/>
  <c r="M54" i="13"/>
  <c r="M51" i="13"/>
  <c r="Q50" i="13"/>
  <c r="P50" i="13"/>
  <c r="O50" i="13"/>
  <c r="N50" i="13"/>
  <c r="M50" i="13"/>
  <c r="N49" i="13"/>
  <c r="M49" i="13"/>
  <c r="G48" i="13"/>
  <c r="I43" i="13"/>
  <c r="M42" i="13"/>
  <c r="N39" i="13"/>
  <c r="O39" i="13" s="1"/>
  <c r="N37" i="13"/>
  <c r="O37" i="13" s="1"/>
  <c r="Q35" i="13"/>
  <c r="P35" i="13"/>
  <c r="O35" i="13"/>
  <c r="N35" i="13"/>
  <c r="M35" i="13"/>
  <c r="E35" i="13"/>
  <c r="Q34" i="13"/>
  <c r="P34" i="13"/>
  <c r="O34" i="13"/>
  <c r="N34" i="13"/>
  <c r="M34" i="13"/>
  <c r="N33" i="13"/>
  <c r="O33" i="13" s="1"/>
  <c r="M32" i="13"/>
  <c r="M53" i="13" s="1"/>
  <c r="F28" i="13"/>
  <c r="F29" i="13" s="1"/>
  <c r="F30" i="13" s="1"/>
  <c r="E28" i="13"/>
  <c r="E30" i="13" s="1"/>
  <c r="D28" i="13"/>
  <c r="D30" i="13" s="1"/>
  <c r="C28" i="13"/>
  <c r="B28" i="13"/>
  <c r="B30" i="13" s="1"/>
  <c r="F27" i="13"/>
  <c r="F35" i="13" s="1"/>
  <c r="E27" i="13"/>
  <c r="E36" i="13" s="1"/>
  <c r="D27" i="13"/>
  <c r="O36" i="13" s="1"/>
  <c r="C27" i="13"/>
  <c r="B27" i="13"/>
  <c r="B35" i="13" s="1"/>
  <c r="O8" i="13"/>
  <c r="F8" i="13"/>
  <c r="E8" i="13"/>
  <c r="D8" i="13"/>
  <c r="C8" i="13"/>
  <c r="B8" i="13"/>
  <c r="C5" i="13"/>
  <c r="D5" i="13" s="1"/>
  <c r="E5" i="13" s="1"/>
  <c r="F5" i="13" s="1"/>
  <c r="C4" i="13"/>
  <c r="B4" i="13"/>
  <c r="C3" i="13"/>
  <c r="D3" i="13" s="1"/>
  <c r="E3" i="13" l="1"/>
  <c r="F3" i="13" s="1"/>
  <c r="F4" i="13" s="1"/>
  <c r="F37" i="13" s="1"/>
  <c r="D4" i="13"/>
  <c r="F36" i="13"/>
  <c r="F49" i="13" s="1"/>
  <c r="N32" i="13"/>
  <c r="O32" i="13" s="1"/>
  <c r="D35" i="13"/>
  <c r="P36" i="13"/>
  <c r="F33" i="13"/>
  <c r="Q36" i="13"/>
  <c r="M52" i="13"/>
  <c r="N51" i="13"/>
  <c r="B33" i="13"/>
  <c r="B36" i="13"/>
  <c r="M71" i="13" s="1"/>
  <c r="M36" i="13"/>
  <c r="M56" i="13" s="1"/>
  <c r="P71" i="13"/>
  <c r="E49" i="13"/>
  <c r="Q71" i="13"/>
  <c r="P33" i="13"/>
  <c r="O42" i="13"/>
  <c r="O52" i="13" s="1"/>
  <c r="P48" i="13"/>
  <c r="P55" i="13" s="1"/>
  <c r="C35" i="13"/>
  <c r="N36" i="13"/>
  <c r="C36" i="13"/>
  <c r="C33" i="13"/>
  <c r="P32" i="13"/>
  <c r="O53" i="13"/>
  <c r="P37" i="13"/>
  <c r="O49" i="13"/>
  <c r="P39" i="13"/>
  <c r="O51" i="13"/>
  <c r="E4" i="13"/>
  <c r="E37" i="13" s="1"/>
  <c r="O56" i="13"/>
  <c r="O48" i="13"/>
  <c r="O55" i="13" s="1"/>
  <c r="C30" i="13"/>
  <c r="B37" i="13"/>
  <c r="N53" i="13"/>
  <c r="Q48" i="13"/>
  <c r="Q55" i="13" s="1"/>
  <c r="N42" i="13"/>
  <c r="N52" i="13" s="1"/>
  <c r="D33" i="13"/>
  <c r="D36" i="13"/>
  <c r="Q58" i="13"/>
  <c r="E33" i="13"/>
  <c r="O57" i="13" l="1"/>
  <c r="O59" i="13" s="1"/>
  <c r="O60" i="13" s="1"/>
  <c r="B49" i="13"/>
  <c r="M48" i="13"/>
  <c r="M55" i="13" s="1"/>
  <c r="M57" i="13" s="1"/>
  <c r="M59" i="13" s="1"/>
  <c r="M60" i="13" s="1"/>
  <c r="P63" i="13"/>
  <c r="E50" i="13"/>
  <c r="E38" i="13"/>
  <c r="P49" i="13"/>
  <c r="Q37" i="13"/>
  <c r="Q49" i="13" s="1"/>
  <c r="O71" i="13"/>
  <c r="D49" i="13"/>
  <c r="D37" i="13"/>
  <c r="N56" i="13"/>
  <c r="N48" i="13"/>
  <c r="N55" i="13" s="1"/>
  <c r="N57" i="13" s="1"/>
  <c r="N59" i="13" s="1"/>
  <c r="C49" i="13"/>
  <c r="C37" i="13"/>
  <c r="N71" i="13"/>
  <c r="F38" i="13"/>
  <c r="Q63" i="13"/>
  <c r="F50" i="13"/>
  <c r="B38" i="13"/>
  <c r="M63" i="13"/>
  <c r="B50" i="13"/>
  <c r="P51" i="13"/>
  <c r="Q39" i="13"/>
  <c r="Q51" i="13" s="1"/>
  <c r="Q32" i="13"/>
  <c r="P53" i="13"/>
  <c r="P42" i="13"/>
  <c r="P52" i="13" s="1"/>
  <c r="Q33" i="13"/>
  <c r="Q42" i="13" s="1"/>
  <c r="Q52" i="13" s="1"/>
  <c r="P56" i="13"/>
  <c r="O61" i="13" l="1"/>
  <c r="D39" i="13" s="1"/>
  <c r="M61" i="13"/>
  <c r="N61" i="13"/>
  <c r="N60" i="13"/>
  <c r="Q53" i="13"/>
  <c r="Q56" i="13"/>
  <c r="B42" i="13"/>
  <c r="B51" i="13"/>
  <c r="M64" i="13"/>
  <c r="O63" i="13"/>
  <c r="D50" i="13"/>
  <c r="D38" i="13"/>
  <c r="Q57" i="13"/>
  <c r="Q59" i="13" s="1"/>
  <c r="F42" i="13"/>
  <c r="F51" i="13"/>
  <c r="Q64" i="13"/>
  <c r="E42" i="13"/>
  <c r="P64" i="13"/>
  <c r="E51" i="13"/>
  <c r="N63" i="13"/>
  <c r="C50" i="13"/>
  <c r="C38" i="13"/>
  <c r="P57" i="13"/>
  <c r="P59" i="13" s="1"/>
  <c r="O62" i="13" l="1"/>
  <c r="M67" i="13"/>
  <c r="M68" i="13" s="1"/>
  <c r="M62" i="13"/>
  <c r="B39" i="13"/>
  <c r="B40" i="13" s="1"/>
  <c r="M66" i="13"/>
  <c r="Q61" i="13"/>
  <c r="Q60" i="13"/>
  <c r="N66" i="13"/>
  <c r="N67" i="13"/>
  <c r="N68" i="13" s="1"/>
  <c r="O66" i="13"/>
  <c r="O67" i="13"/>
  <c r="O68" i="13" s="1"/>
  <c r="P61" i="13"/>
  <c r="P60" i="13"/>
  <c r="M70" i="13"/>
  <c r="M69" i="13"/>
  <c r="C51" i="13"/>
  <c r="N64" i="13"/>
  <c r="C42" i="13"/>
  <c r="D40" i="13"/>
  <c r="D52" i="13"/>
  <c r="O64" i="13"/>
  <c r="D42" i="13"/>
  <c r="D45" i="13"/>
  <c r="D44" i="13" s="1"/>
  <c r="D51" i="13"/>
  <c r="C39" i="13"/>
  <c r="N62" i="13"/>
  <c r="B52" i="13" l="1"/>
  <c r="B53" i="13"/>
  <c r="B41" i="13"/>
  <c r="B45" i="13"/>
  <c r="B44" i="13" s="1"/>
  <c r="N70" i="13"/>
  <c r="N69" i="13"/>
  <c r="C40" i="13"/>
  <c r="C52" i="13"/>
  <c r="D53" i="13"/>
  <c r="D55" i="13" s="1"/>
  <c r="D41" i="13"/>
  <c r="E39" i="13"/>
  <c r="P62" i="13"/>
  <c r="P66" i="13"/>
  <c r="P67" i="13"/>
  <c r="P68" i="13" s="1"/>
  <c r="O69" i="13"/>
  <c r="O70" i="13"/>
  <c r="Q62" i="13"/>
  <c r="F39" i="13"/>
  <c r="Q67" i="13"/>
  <c r="Q68" i="13" s="1"/>
  <c r="Q66" i="13"/>
  <c r="D54" i="13" l="1"/>
  <c r="D58" i="13" s="1"/>
  <c r="D56" i="13"/>
  <c r="D59" i="13"/>
  <c r="P69" i="13"/>
  <c r="P70" i="13"/>
  <c r="C53" i="13"/>
  <c r="C41" i="13"/>
  <c r="C45" i="13"/>
  <c r="C44" i="13" s="1"/>
  <c r="Q70" i="13"/>
  <c r="Q69" i="13"/>
  <c r="E52" i="13"/>
  <c r="E40" i="13"/>
  <c r="F40" i="13"/>
  <c r="F52" i="13"/>
  <c r="B55" i="13"/>
  <c r="B54" i="13"/>
  <c r="B58" i="13" s="1"/>
  <c r="E41" i="13" l="1"/>
  <c r="E53" i="13"/>
  <c r="E45" i="13"/>
  <c r="E44" i="13" s="1"/>
  <c r="F53" i="13"/>
  <c r="F41" i="13"/>
  <c r="F45" i="13"/>
  <c r="F44" i="13" s="1"/>
  <c r="B59" i="13"/>
  <c r="B56" i="13"/>
  <c r="C54" i="13"/>
  <c r="C58" i="13" s="1"/>
  <c r="C55" i="13"/>
  <c r="C56" i="13" l="1"/>
  <c r="C59" i="13"/>
  <c r="E55" i="13"/>
  <c r="E54" i="13"/>
  <c r="E58" i="13" s="1"/>
  <c r="F55" i="13"/>
  <c r="F54" i="13"/>
  <c r="F58" i="13" s="1"/>
  <c r="E56" i="13" l="1"/>
  <c r="E59" i="13"/>
  <c r="F59" i="13"/>
  <c r="F56" i="13"/>
  <c r="U11" i="3" l="1"/>
  <c r="V11" i="3"/>
  <c r="W11" i="3"/>
  <c r="T11" i="3"/>
  <c r="U9" i="3"/>
  <c r="V9" i="3"/>
  <c r="W9" i="3"/>
  <c r="T9" i="3"/>
  <c r="AC9" i="3"/>
  <c r="AB9" i="3"/>
  <c r="AA9" i="3"/>
  <c r="Z9" i="3"/>
  <c r="AD8" i="3"/>
  <c r="AE8" i="3" s="1"/>
  <c r="X8" i="3"/>
  <c r="AD7" i="3"/>
  <c r="AE7" i="3" s="1"/>
  <c r="X7" i="3"/>
  <c r="AD6" i="3"/>
  <c r="AE6" i="3" s="1"/>
  <c r="X6" i="3"/>
  <c r="AD5" i="3"/>
  <c r="AE5" i="3" s="1"/>
  <c r="X5" i="3"/>
  <c r="AD4" i="3"/>
  <c r="AE4" i="3" s="1"/>
  <c r="X4" i="3"/>
  <c r="AD3" i="3"/>
  <c r="AE3" i="3" s="1"/>
  <c r="X3" i="3"/>
  <c r="AH2" i="3"/>
  <c r="AD2" i="3"/>
  <c r="AE2" i="3" s="1"/>
  <c r="X2" i="3"/>
  <c r="R25" i="8"/>
  <c r="Q25" i="8"/>
  <c r="P25" i="8"/>
  <c r="O25" i="8"/>
  <c r="S24" i="8"/>
  <c r="T24" i="8" s="1"/>
  <c r="S23" i="8"/>
  <c r="T23" i="8" s="1"/>
  <c r="S22" i="8"/>
  <c r="T22" i="8" s="1"/>
  <c r="S21" i="8"/>
  <c r="T21" i="8" s="1"/>
  <c r="S20" i="8"/>
  <c r="T20" i="8" s="1"/>
  <c r="S19" i="8"/>
  <c r="T19" i="8" s="1"/>
  <c r="W18" i="8"/>
  <c r="S18" i="8"/>
  <c r="T18" i="8" s="1"/>
  <c r="V45" i="11"/>
  <c r="U45" i="11"/>
  <c r="R25" i="7"/>
  <c r="Q25" i="7"/>
  <c r="P25" i="7"/>
  <c r="O25" i="7"/>
  <c r="S24" i="7"/>
  <c r="T24" i="7" s="1"/>
  <c r="S23" i="7"/>
  <c r="T23" i="7" s="1"/>
  <c r="S22" i="7"/>
  <c r="T22" i="7" s="1"/>
  <c r="S21" i="7"/>
  <c r="T21" i="7" s="1"/>
  <c r="S20" i="7"/>
  <c r="T20" i="7" s="1"/>
  <c r="S19" i="7"/>
  <c r="T19" i="7" s="1"/>
  <c r="W18" i="7"/>
  <c r="S18" i="7"/>
  <c r="T18" i="7" s="1"/>
  <c r="R25" i="6"/>
  <c r="Q25" i="6"/>
  <c r="P25" i="6"/>
  <c r="O25" i="6"/>
  <c r="R25" i="4"/>
  <c r="Q25" i="4"/>
  <c r="P25" i="4"/>
  <c r="O25" i="4"/>
  <c r="S24" i="4"/>
  <c r="T24" i="4" s="1"/>
  <c r="S23" i="4"/>
  <c r="T23" i="4" s="1"/>
  <c r="S22" i="4"/>
  <c r="T22" i="4" s="1"/>
  <c r="S21" i="4"/>
  <c r="T21" i="4" s="1"/>
  <c r="S20" i="4"/>
  <c r="T20" i="4" s="1"/>
  <c r="S19" i="4"/>
  <c r="T19" i="4" s="1"/>
  <c r="W18" i="4"/>
  <c r="S18" i="4"/>
  <c r="T18" i="4" s="1"/>
  <c r="T23" i="6"/>
  <c r="W18" i="6"/>
  <c r="S19" i="6"/>
  <c r="T19" i="6" s="1"/>
  <c r="S20" i="6"/>
  <c r="T20" i="6" s="1"/>
  <c r="S21" i="6"/>
  <c r="T21" i="6" s="1"/>
  <c r="S22" i="6"/>
  <c r="T22" i="6" s="1"/>
  <c r="S23" i="6"/>
  <c r="S24" i="6"/>
  <c r="T24" i="6" s="1"/>
  <c r="S18" i="6"/>
  <c r="T18" i="6" s="1"/>
  <c r="Q11" i="4"/>
  <c r="R11" i="4"/>
  <c r="S11" i="4"/>
  <c r="T11" i="4"/>
  <c r="P11" i="4"/>
  <c r="AP17" i="1"/>
  <c r="W17" i="1"/>
  <c r="N17" i="1"/>
  <c r="AS8" i="1"/>
  <c r="AG131" i="1"/>
  <c r="AD127" i="1"/>
  <c r="AD128" i="1" s="1"/>
  <c r="AD123" i="1"/>
  <c r="AD122" i="1"/>
  <c r="AD157" i="1" s="1"/>
  <c r="AF157" i="1" s="1"/>
  <c r="AD121" i="1"/>
  <c r="AD156" i="1" s="1"/>
  <c r="AF156" i="1" s="1"/>
  <c r="AD120" i="1"/>
  <c r="AD155" i="1" s="1"/>
  <c r="AF155" i="1" s="1"/>
  <c r="AD119" i="1"/>
  <c r="AD118" i="1"/>
  <c r="X131" i="1"/>
  <c r="U127" i="1"/>
  <c r="U128" i="1" s="1"/>
  <c r="U123" i="1"/>
  <c r="U122" i="1"/>
  <c r="U157" i="1" s="1"/>
  <c r="W157" i="1" s="1"/>
  <c r="U121" i="1"/>
  <c r="U156" i="1" s="1"/>
  <c r="W156" i="1" s="1"/>
  <c r="U120" i="1"/>
  <c r="U155" i="1" s="1"/>
  <c r="W155" i="1" s="1"/>
  <c r="U119" i="1"/>
  <c r="U118" i="1"/>
  <c r="O131" i="1"/>
  <c r="L128" i="1"/>
  <c r="L123" i="1"/>
  <c r="L122" i="1"/>
  <c r="L157" i="1" s="1"/>
  <c r="N157" i="1" s="1"/>
  <c r="L121" i="1"/>
  <c r="L156" i="1" s="1"/>
  <c r="N156" i="1" s="1"/>
  <c r="L120" i="1"/>
  <c r="L155" i="1" s="1"/>
  <c r="N155" i="1" s="1"/>
  <c r="L119" i="1"/>
  <c r="L118" i="1"/>
  <c r="F131" i="1"/>
  <c r="C119" i="1"/>
  <c r="C120" i="1"/>
  <c r="C155" i="1" s="1"/>
  <c r="E155" i="1" s="1"/>
  <c r="C121" i="1"/>
  <c r="C156" i="1" s="1"/>
  <c r="E156" i="1" s="1"/>
  <c r="C122" i="1"/>
  <c r="C157" i="1" s="1"/>
  <c r="E157" i="1" s="1"/>
  <c r="C123" i="1"/>
  <c r="C158" i="1" s="1"/>
  <c r="E158" i="1" s="1"/>
  <c r="C118" i="1"/>
  <c r="B134" i="1" s="1"/>
  <c r="C127" i="1"/>
  <c r="C128" i="1" s="1"/>
  <c r="E17" i="1"/>
  <c r="K134" i="1" l="1"/>
  <c r="L158" i="1"/>
  <c r="N158" i="1" s="1"/>
  <c r="T134" i="1"/>
  <c r="T135" i="1" s="1"/>
  <c r="U158" i="1"/>
  <c r="W158" i="1" s="1"/>
  <c r="C147" i="1"/>
  <c r="C148" i="1" s="1"/>
  <c r="C154" i="1"/>
  <c r="E154" i="1" s="1"/>
  <c r="AI2" i="3"/>
  <c r="C153" i="1"/>
  <c r="E153" i="1" s="1"/>
  <c r="C146" i="1"/>
  <c r="X11" i="3"/>
  <c r="L146" i="1"/>
  <c r="L153" i="1"/>
  <c r="N153" i="1" s="1"/>
  <c r="N159" i="1" s="1"/>
  <c r="L160" i="1" s="1"/>
  <c r="U153" i="1"/>
  <c r="W153" i="1" s="1"/>
  <c r="U146" i="1"/>
  <c r="AD146" i="1"/>
  <c r="AD153" i="1"/>
  <c r="AF153" i="1" s="1"/>
  <c r="L154" i="1"/>
  <c r="N154" i="1" s="1"/>
  <c r="L147" i="1"/>
  <c r="L148" i="1" s="1"/>
  <c r="U147" i="1"/>
  <c r="U148" i="1" s="1"/>
  <c r="U154" i="1"/>
  <c r="W154" i="1" s="1"/>
  <c r="AD154" i="1"/>
  <c r="AF154" i="1" s="1"/>
  <c r="AD147" i="1"/>
  <c r="AD148" i="1" s="1"/>
  <c r="AC134" i="1"/>
  <c r="AC135" i="1" s="1"/>
  <c r="AJ2" i="3"/>
  <c r="AK2" i="3" s="1"/>
  <c r="X9" i="3"/>
  <c r="X10" i="3" s="1"/>
  <c r="K135" i="1"/>
  <c r="B135" i="1"/>
  <c r="W159" i="1" l="1"/>
  <c r="U160" i="1" s="1"/>
  <c r="AC10" i="3"/>
  <c r="AA10" i="3"/>
  <c r="AF159" i="1"/>
  <c r="AD160" i="1" s="1"/>
  <c r="E159" i="1"/>
  <c r="C160" i="1" s="1"/>
  <c r="AB10" i="3"/>
  <c r="Z10" i="3"/>
  <c r="J28" i="12"/>
  <c r="J27" i="12"/>
  <c r="J26" i="12"/>
  <c r="J25" i="12"/>
  <c r="J24" i="12"/>
  <c r="J23" i="12"/>
  <c r="M16" i="12"/>
  <c r="N16" i="12" s="1"/>
  <c r="O16" i="12" s="1"/>
  <c r="I16" i="12"/>
  <c r="K16" i="12" s="1"/>
  <c r="E16" i="12"/>
  <c r="M15" i="12"/>
  <c r="N15" i="12" s="1"/>
  <c r="O15" i="12" s="1"/>
  <c r="I15" i="12"/>
  <c r="K15" i="12" s="1"/>
  <c r="E15" i="12"/>
  <c r="M14" i="12"/>
  <c r="N14" i="12" s="1"/>
  <c r="O14" i="12" s="1"/>
  <c r="I14" i="12"/>
  <c r="K14" i="12" s="1"/>
  <c r="E14" i="12"/>
  <c r="M13" i="12"/>
  <c r="N13" i="12" s="1"/>
  <c r="O13" i="12" s="1"/>
  <c r="I13" i="12"/>
  <c r="K13" i="12" s="1"/>
  <c r="E13" i="12"/>
  <c r="M12" i="12"/>
  <c r="N12" i="12" s="1"/>
  <c r="O12" i="12" s="1"/>
  <c r="I12" i="12"/>
  <c r="K12" i="12" s="1"/>
  <c r="E12" i="12"/>
  <c r="I66" i="8"/>
  <c r="I65" i="8"/>
  <c r="I64" i="8"/>
  <c r="I63" i="8"/>
  <c r="I62" i="8"/>
  <c r="I61" i="8"/>
  <c r="I60" i="8"/>
  <c r="I66" i="7"/>
  <c r="I65" i="7"/>
  <c r="I64" i="7"/>
  <c r="I63" i="7"/>
  <c r="I62" i="7"/>
  <c r="I61" i="7"/>
  <c r="I60" i="7"/>
  <c r="I66" i="6"/>
  <c r="I65" i="6"/>
  <c r="I64" i="6"/>
  <c r="I63" i="6"/>
  <c r="I62" i="6"/>
  <c r="I61" i="6"/>
  <c r="I60" i="6"/>
  <c r="I66" i="4"/>
  <c r="I65" i="4"/>
  <c r="I64" i="4"/>
  <c r="I63" i="4"/>
  <c r="I62" i="4"/>
  <c r="I61" i="4"/>
  <c r="I60" i="4"/>
  <c r="I71" i="4" l="1"/>
  <c r="I72" i="4" s="1"/>
  <c r="J72" i="4" s="1"/>
  <c r="I71" i="8"/>
  <c r="I72" i="8" s="1"/>
  <c r="J72" i="8" s="1"/>
  <c r="I71" i="7"/>
  <c r="I72" i="7" s="1"/>
  <c r="J72" i="7" s="1"/>
  <c r="I71" i="6"/>
  <c r="I72" i="6" s="1"/>
  <c r="J72" i="6" s="1"/>
  <c r="L15" i="12"/>
  <c r="L14" i="12"/>
  <c r="L13" i="12"/>
  <c r="L12" i="12"/>
  <c r="L16" i="12"/>
  <c r="Z101" i="1" l="1"/>
  <c r="Z102" i="1"/>
  <c r="Z100" i="1"/>
  <c r="AP48" i="1"/>
  <c r="AP50" i="1" s="1"/>
  <c r="AN48" i="1"/>
  <c r="AP37" i="1"/>
  <c r="AN37" i="1"/>
  <c r="AO37" i="1" s="1"/>
  <c r="AP36" i="1"/>
  <c r="AP39" i="1" s="1"/>
  <c r="AN36" i="1"/>
  <c r="AP26" i="1"/>
  <c r="AN26" i="1"/>
  <c r="AO26" i="1" s="1"/>
  <c r="AP25" i="1"/>
  <c r="AN25" i="1"/>
  <c r="AO25" i="1" s="1"/>
  <c r="AP24" i="1"/>
  <c r="AP28" i="1" s="1"/>
  <c r="AN24" i="1"/>
  <c r="AN15" i="1"/>
  <c r="AO15" i="1" s="1"/>
  <c r="AN14" i="1"/>
  <c r="AO14" i="1" s="1"/>
  <c r="AN13" i="1"/>
  <c r="AO13" i="1" s="1"/>
  <c r="AN12" i="1"/>
  <c r="AM8" i="1"/>
  <c r="AM4" i="1"/>
  <c r="G70" i="11"/>
  <c r="H69" i="11"/>
  <c r="I68" i="11"/>
  <c r="J67" i="11"/>
  <c r="J64" i="11"/>
  <c r="J66" i="11" s="1"/>
  <c r="I64" i="11"/>
  <c r="I66" i="11" s="1"/>
  <c r="H64" i="11"/>
  <c r="H66" i="11" s="1"/>
  <c r="G64" i="11"/>
  <c r="G66" i="11" s="1"/>
  <c r="F64" i="11"/>
  <c r="F66" i="11" s="1"/>
  <c r="E64" i="11"/>
  <c r="E66" i="11" s="1"/>
  <c r="G54" i="11"/>
  <c r="H53" i="11"/>
  <c r="I52" i="11"/>
  <c r="J51" i="11"/>
  <c r="J48" i="11"/>
  <c r="J50" i="11" s="1"/>
  <c r="I48" i="11"/>
  <c r="I50" i="11" s="1"/>
  <c r="H48" i="11"/>
  <c r="H50" i="11" s="1"/>
  <c r="G48" i="11"/>
  <c r="G50" i="11" s="1"/>
  <c r="F48" i="11"/>
  <c r="F50" i="11" s="1"/>
  <c r="E48" i="11"/>
  <c r="E50" i="11" s="1"/>
  <c r="G37" i="11"/>
  <c r="H36" i="11"/>
  <c r="I35" i="11"/>
  <c r="J34" i="11"/>
  <c r="J31" i="11"/>
  <c r="J33" i="11" s="1"/>
  <c r="I31" i="11"/>
  <c r="I33" i="11" s="1"/>
  <c r="H31" i="11"/>
  <c r="H33" i="11" s="1"/>
  <c r="G31" i="11"/>
  <c r="G33" i="11" s="1"/>
  <c r="F31" i="11"/>
  <c r="F33" i="11" s="1"/>
  <c r="E31" i="11"/>
  <c r="E33" i="11" s="1"/>
  <c r="G20" i="11"/>
  <c r="H19" i="11"/>
  <c r="I18" i="11"/>
  <c r="J17" i="11"/>
  <c r="J14" i="11"/>
  <c r="J16" i="11" s="1"/>
  <c r="I14" i="11"/>
  <c r="I16" i="11" s="1"/>
  <c r="H14" i="11"/>
  <c r="H16" i="11" s="1"/>
  <c r="G14" i="11"/>
  <c r="G16" i="11" s="1"/>
  <c r="F14" i="11"/>
  <c r="F16" i="11" s="1"/>
  <c r="E14" i="11"/>
  <c r="E16" i="11" s="1"/>
  <c r="AO24" i="1" l="1"/>
  <c r="AO28" i="1" s="1"/>
  <c r="AN28" i="1"/>
  <c r="AO48" i="1"/>
  <c r="AO50" i="1" s="1"/>
  <c r="AN50" i="1"/>
  <c r="J53" i="11"/>
  <c r="AN17" i="1"/>
  <c r="J54" i="11"/>
  <c r="AO12" i="1"/>
  <c r="AO36" i="1"/>
  <c r="AO39" i="1" s="1"/>
  <c r="AN39" i="1"/>
  <c r="J18" i="11"/>
  <c r="J19" i="11"/>
  <c r="J20" i="11"/>
  <c r="J52" i="11"/>
  <c r="J35" i="11"/>
  <c r="J37" i="11"/>
  <c r="J70" i="11"/>
  <c r="J68" i="11"/>
  <c r="J36" i="11"/>
  <c r="J69" i="11"/>
  <c r="AQ14" i="1"/>
  <c r="AS14" i="1" s="1"/>
  <c r="AR14" i="1"/>
  <c r="AR24" i="1"/>
  <c r="AQ24" i="1"/>
  <c r="AR26" i="1"/>
  <c r="AQ26" i="1"/>
  <c r="AS26" i="1" s="1"/>
  <c r="AQ36" i="1"/>
  <c r="AR36" i="1"/>
  <c r="AR39" i="1" s="1"/>
  <c r="AR15" i="1"/>
  <c r="AQ15" i="1"/>
  <c r="AS15" i="1" s="1"/>
  <c r="AQ25" i="1"/>
  <c r="AS25" i="1" s="1"/>
  <c r="AR25" i="1"/>
  <c r="AR37" i="1"/>
  <c r="AQ37" i="1"/>
  <c r="AS37" i="1" s="1"/>
  <c r="AQ48" i="1"/>
  <c r="AR48" i="1"/>
  <c r="AR50" i="1" s="1"/>
  <c r="AR13" i="1"/>
  <c r="AQ13" i="1"/>
  <c r="AS13" i="1" s="1"/>
  <c r="K33" i="11"/>
  <c r="K66" i="11"/>
  <c r="K16" i="11"/>
  <c r="K50" i="11"/>
  <c r="AS24" i="1" l="1"/>
  <c r="AS28" i="1" s="1"/>
  <c r="AQ28" i="1"/>
  <c r="AR12" i="1"/>
  <c r="AO17" i="1"/>
  <c r="AR16" i="1" s="1"/>
  <c r="AQ12" i="1"/>
  <c r="AS48" i="1"/>
  <c r="AS50" i="1" s="1"/>
  <c r="AQ50" i="1"/>
  <c r="AS36" i="1"/>
  <c r="AS39" i="1" s="1"/>
  <c r="AQ39" i="1"/>
  <c r="AR28" i="1"/>
  <c r="I43" i="3"/>
  <c r="G48" i="3"/>
  <c r="AS12" i="1" l="1"/>
  <c r="AS17" i="1" s="1"/>
  <c r="AS54" i="1" s="1"/>
  <c r="AQ17" i="1"/>
  <c r="AR17" i="1"/>
  <c r="AR54" i="1"/>
  <c r="P58" i="10"/>
  <c r="Q58" i="10" s="1"/>
  <c r="N58" i="10"/>
  <c r="Q54" i="10"/>
  <c r="P54" i="10"/>
  <c r="O54" i="10"/>
  <c r="N54" i="10"/>
  <c r="M54" i="10"/>
  <c r="M51" i="10"/>
  <c r="Q50" i="10"/>
  <c r="P50" i="10"/>
  <c r="O50" i="10"/>
  <c r="N50" i="10"/>
  <c r="M50" i="10"/>
  <c r="M49" i="10"/>
  <c r="F48" i="10"/>
  <c r="E48" i="10"/>
  <c r="D48" i="10"/>
  <c r="C48" i="10"/>
  <c r="B48" i="10"/>
  <c r="M42" i="10"/>
  <c r="N39" i="10"/>
  <c r="N51" i="10" s="1"/>
  <c r="N37" i="10"/>
  <c r="N49" i="10" s="1"/>
  <c r="Q35" i="10"/>
  <c r="P35" i="10"/>
  <c r="O35" i="10"/>
  <c r="N35" i="10"/>
  <c r="M35" i="10"/>
  <c r="Q34" i="10"/>
  <c r="P34" i="10"/>
  <c r="O34" i="10"/>
  <c r="N34" i="10"/>
  <c r="M34" i="10"/>
  <c r="N33" i="10"/>
  <c r="N42" i="10" s="1"/>
  <c r="M32" i="10"/>
  <c r="N32" i="10" s="1"/>
  <c r="N53" i="10" s="1"/>
  <c r="F28" i="10"/>
  <c r="F29" i="10" s="1"/>
  <c r="E28" i="10"/>
  <c r="E29" i="10" s="1"/>
  <c r="D28" i="10"/>
  <c r="D29" i="10" s="1"/>
  <c r="C28" i="10"/>
  <c r="C29" i="10" s="1"/>
  <c r="B28" i="10"/>
  <c r="B29" i="10" s="1"/>
  <c r="F27" i="10"/>
  <c r="Q36" i="10" s="1"/>
  <c r="E27" i="10"/>
  <c r="E36" i="10" s="1"/>
  <c r="D27" i="10"/>
  <c r="O36" i="10" s="1"/>
  <c r="C27" i="10"/>
  <c r="C36" i="10" s="1"/>
  <c r="B27" i="10"/>
  <c r="M36" i="10" s="1"/>
  <c r="O8" i="10"/>
  <c r="F8" i="10"/>
  <c r="E8" i="10"/>
  <c r="D8" i="10"/>
  <c r="C8" i="10"/>
  <c r="B8" i="10"/>
  <c r="C5" i="10"/>
  <c r="D5" i="10" s="1"/>
  <c r="E5" i="10" s="1"/>
  <c r="F5" i="10" s="1"/>
  <c r="B4" i="10"/>
  <c r="C3" i="10"/>
  <c r="C4" i="10" s="1"/>
  <c r="F30" i="10" l="1"/>
  <c r="O39" i="10"/>
  <c r="P39" i="10" s="1"/>
  <c r="Q39" i="10" s="1"/>
  <c r="Q51" i="10" s="1"/>
  <c r="B33" i="10"/>
  <c r="F35" i="10"/>
  <c r="B30" i="10"/>
  <c r="C30" i="10"/>
  <c r="O33" i="10"/>
  <c r="P33" i="10" s="1"/>
  <c r="Q33" i="10" s="1"/>
  <c r="Q42" i="10" s="1"/>
  <c r="Q52" i="10" s="1"/>
  <c r="F36" i="10"/>
  <c r="F49" i="10" s="1"/>
  <c r="D30" i="10"/>
  <c r="E30" i="10"/>
  <c r="D33" i="10"/>
  <c r="M52" i="10"/>
  <c r="F33" i="10"/>
  <c r="B35" i="10"/>
  <c r="B36" i="10"/>
  <c r="B37" i="10" s="1"/>
  <c r="O37" i="10"/>
  <c r="P37" i="10" s="1"/>
  <c r="Q37" i="10" s="1"/>
  <c r="Q49" i="10" s="1"/>
  <c r="M53" i="10"/>
  <c r="D35" i="10"/>
  <c r="D36" i="10"/>
  <c r="O71" i="10" s="1"/>
  <c r="N71" i="10"/>
  <c r="C49" i="10"/>
  <c r="P71" i="10"/>
  <c r="E49" i="10"/>
  <c r="M56" i="10"/>
  <c r="M48" i="10"/>
  <c r="M55" i="10" s="1"/>
  <c r="O48" i="10"/>
  <c r="O55" i="10" s="1"/>
  <c r="Q48" i="10"/>
  <c r="Q55" i="10" s="1"/>
  <c r="P51" i="10"/>
  <c r="N52" i="10"/>
  <c r="N36" i="10"/>
  <c r="P36" i="10"/>
  <c r="O51" i="10"/>
  <c r="D3" i="10"/>
  <c r="O32" i="10"/>
  <c r="C33" i="10"/>
  <c r="E33" i="10"/>
  <c r="C35" i="10"/>
  <c r="C37" i="10" s="1"/>
  <c r="E35" i="10"/>
  <c r="N35" i="3"/>
  <c r="O35" i="3"/>
  <c r="P35" i="3"/>
  <c r="Q35" i="3"/>
  <c r="M35" i="3"/>
  <c r="P49" i="10" l="1"/>
  <c r="Q71" i="10"/>
  <c r="O49" i="10"/>
  <c r="M57" i="10"/>
  <c r="M59" i="10" s="1"/>
  <c r="M61" i="10" s="1"/>
  <c r="D49" i="10"/>
  <c r="B49" i="10"/>
  <c r="O42" i="10"/>
  <c r="O52" i="10" s="1"/>
  <c r="M71" i="10"/>
  <c r="P42" i="10"/>
  <c r="P52" i="10" s="1"/>
  <c r="N63" i="10"/>
  <c r="C50" i="10"/>
  <c r="C38" i="10"/>
  <c r="O53" i="10"/>
  <c r="O57" i="10" s="1"/>
  <c r="O59" i="10" s="1"/>
  <c r="P32" i="10"/>
  <c r="P56" i="10" s="1"/>
  <c r="D4" i="10"/>
  <c r="D37" i="10" s="1"/>
  <c r="E3" i="10"/>
  <c r="M63" i="10"/>
  <c r="B50" i="10"/>
  <c r="B38" i="10"/>
  <c r="N56" i="10"/>
  <c r="N48" i="10"/>
  <c r="N55" i="10" s="1"/>
  <c r="N57" i="10" s="1"/>
  <c r="N59" i="10" s="1"/>
  <c r="O56" i="10"/>
  <c r="P48" i="10"/>
  <c r="P55" i="10" s="1"/>
  <c r="AX12" i="1"/>
  <c r="AD13" i="1"/>
  <c r="AD14" i="1"/>
  <c r="AE14" i="1" s="1"/>
  <c r="AG14" i="1" s="1"/>
  <c r="AI14" i="1" s="1"/>
  <c r="AD15" i="1"/>
  <c r="AE15" i="1" s="1"/>
  <c r="AD16" i="1"/>
  <c r="AE16" i="1" s="1"/>
  <c r="AG16" i="1" s="1"/>
  <c r="AI16" i="1" s="1"/>
  <c r="AD12" i="1"/>
  <c r="AW8" i="1"/>
  <c r="AW4" i="1"/>
  <c r="AF49" i="1"/>
  <c r="AD49" i="1"/>
  <c r="AE49" i="1" s="1"/>
  <c r="AF48" i="1"/>
  <c r="AD48" i="1"/>
  <c r="AE48" i="1" s="1"/>
  <c r="AF38" i="1"/>
  <c r="AD38" i="1"/>
  <c r="AE38" i="1" s="1"/>
  <c r="AF37" i="1"/>
  <c r="AD37" i="1"/>
  <c r="AE37" i="1" s="1"/>
  <c r="AF36" i="1"/>
  <c r="AD36" i="1"/>
  <c r="AE36" i="1" s="1"/>
  <c r="AF27" i="1"/>
  <c r="AD27" i="1"/>
  <c r="AE27" i="1" s="1"/>
  <c r="AF26" i="1"/>
  <c r="AD26" i="1"/>
  <c r="AE26" i="1" s="1"/>
  <c r="AF25" i="1"/>
  <c r="AD25" i="1"/>
  <c r="AE25" i="1" s="1"/>
  <c r="AF24" i="1"/>
  <c r="AD24" i="1"/>
  <c r="AE24" i="1" s="1"/>
  <c r="AE13" i="1"/>
  <c r="AE12" i="1"/>
  <c r="AG12" i="1" s="1"/>
  <c r="AI12" i="1" s="1"/>
  <c r="AC8" i="1"/>
  <c r="AC4" i="1"/>
  <c r="U13" i="1"/>
  <c r="U14" i="1"/>
  <c r="U15" i="1"/>
  <c r="U16" i="1"/>
  <c r="U17" i="1" s="1"/>
  <c r="U12" i="1"/>
  <c r="L13" i="1"/>
  <c r="L14" i="1"/>
  <c r="L15" i="1"/>
  <c r="L16" i="1"/>
  <c r="L12" i="1"/>
  <c r="T4" i="1"/>
  <c r="K4" i="1"/>
  <c r="Q50" i="3"/>
  <c r="Q54" i="3"/>
  <c r="Q34" i="3"/>
  <c r="F27" i="3"/>
  <c r="Q36" i="3" s="1"/>
  <c r="F28" i="3"/>
  <c r="F29" i="3" s="1"/>
  <c r="I14" i="9"/>
  <c r="I13" i="9"/>
  <c r="I12" i="9"/>
  <c r="I11" i="9"/>
  <c r="C16" i="9"/>
  <c r="B16" i="9"/>
  <c r="C15" i="9"/>
  <c r="B15" i="9"/>
  <c r="I10" i="9"/>
  <c r="I9" i="9"/>
  <c r="I8" i="9"/>
  <c r="I7" i="9"/>
  <c r="I6" i="9"/>
  <c r="I5" i="9"/>
  <c r="I4" i="9"/>
  <c r="I52" i="8"/>
  <c r="I51" i="8"/>
  <c r="I50" i="8"/>
  <c r="I49" i="8"/>
  <c r="I48" i="8"/>
  <c r="I47" i="8"/>
  <c r="I46" i="8"/>
  <c r="J38" i="8"/>
  <c r="I38" i="8"/>
  <c r="J37" i="8"/>
  <c r="I37" i="8"/>
  <c r="J36" i="8"/>
  <c r="I36" i="8"/>
  <c r="J35" i="8"/>
  <c r="I35" i="8"/>
  <c r="J34" i="8"/>
  <c r="I34" i="8"/>
  <c r="J33" i="8"/>
  <c r="I33" i="8"/>
  <c r="J32" i="8"/>
  <c r="I32" i="8"/>
  <c r="K24" i="8"/>
  <c r="J24" i="8"/>
  <c r="I24" i="8"/>
  <c r="K23" i="8"/>
  <c r="J23" i="8"/>
  <c r="I23" i="8"/>
  <c r="K22" i="8"/>
  <c r="J22" i="8"/>
  <c r="I22" i="8"/>
  <c r="M22" i="8" s="1"/>
  <c r="K21" i="8"/>
  <c r="J21" i="8"/>
  <c r="I21" i="8"/>
  <c r="M21" i="8" s="1"/>
  <c r="K20" i="8"/>
  <c r="J20" i="8"/>
  <c r="I20" i="8"/>
  <c r="M20" i="8" s="1"/>
  <c r="K19" i="8"/>
  <c r="J19" i="8"/>
  <c r="I19" i="8"/>
  <c r="M19" i="8" s="1"/>
  <c r="K18" i="8"/>
  <c r="J18" i="8"/>
  <c r="J29" i="8" s="1"/>
  <c r="J30" i="8" s="1"/>
  <c r="I18" i="8"/>
  <c r="F16" i="8"/>
  <c r="E16" i="8"/>
  <c r="D16" i="8"/>
  <c r="C16" i="8"/>
  <c r="B16" i="8"/>
  <c r="F15" i="8"/>
  <c r="E15" i="8"/>
  <c r="D15" i="8"/>
  <c r="C15" i="8"/>
  <c r="B15" i="8"/>
  <c r="L10" i="8"/>
  <c r="K10" i="8"/>
  <c r="J10" i="8"/>
  <c r="I10" i="8"/>
  <c r="L9" i="8"/>
  <c r="K9" i="8"/>
  <c r="J9" i="8"/>
  <c r="I9" i="8"/>
  <c r="L8" i="8"/>
  <c r="K8" i="8"/>
  <c r="J8" i="8"/>
  <c r="I8" i="8"/>
  <c r="L7" i="8"/>
  <c r="K7" i="8"/>
  <c r="J7" i="8"/>
  <c r="I7" i="8"/>
  <c r="L6" i="8"/>
  <c r="K6" i="8"/>
  <c r="J6" i="8"/>
  <c r="I6" i="8"/>
  <c r="L5" i="8"/>
  <c r="K5" i="8"/>
  <c r="J5" i="8"/>
  <c r="I5" i="8"/>
  <c r="L4" i="8"/>
  <c r="K4" i="8"/>
  <c r="J4" i="8"/>
  <c r="I4" i="8"/>
  <c r="J52" i="7"/>
  <c r="I52" i="7"/>
  <c r="J51" i="7"/>
  <c r="I51" i="7"/>
  <c r="J50" i="7"/>
  <c r="I50" i="7"/>
  <c r="J49" i="7"/>
  <c r="I49" i="7"/>
  <c r="J48" i="7"/>
  <c r="I48" i="7"/>
  <c r="J47" i="7"/>
  <c r="I47" i="7"/>
  <c r="J46" i="7"/>
  <c r="I46" i="7"/>
  <c r="K38" i="7"/>
  <c r="J38" i="7"/>
  <c r="I38" i="7"/>
  <c r="K37" i="7"/>
  <c r="J37" i="7"/>
  <c r="I37" i="7"/>
  <c r="K36" i="7"/>
  <c r="J36" i="7"/>
  <c r="I36" i="7"/>
  <c r="K35" i="7"/>
  <c r="J35" i="7"/>
  <c r="I35" i="7"/>
  <c r="K34" i="7"/>
  <c r="J34" i="7"/>
  <c r="I34" i="7"/>
  <c r="K33" i="7"/>
  <c r="J33" i="7"/>
  <c r="I33" i="7"/>
  <c r="K32" i="7"/>
  <c r="J32" i="7"/>
  <c r="I32" i="7"/>
  <c r="L24" i="7"/>
  <c r="K24" i="7"/>
  <c r="J24" i="7"/>
  <c r="I24" i="7"/>
  <c r="L23" i="7"/>
  <c r="K23" i="7"/>
  <c r="J23" i="7"/>
  <c r="I23" i="7"/>
  <c r="L22" i="7"/>
  <c r="K22" i="7"/>
  <c r="J22" i="7"/>
  <c r="I22" i="7"/>
  <c r="M22" i="7" s="1"/>
  <c r="L21" i="7"/>
  <c r="K21" i="7"/>
  <c r="J21" i="7"/>
  <c r="I21" i="7"/>
  <c r="L20" i="7"/>
  <c r="K20" i="7"/>
  <c r="J20" i="7"/>
  <c r="I20" i="7"/>
  <c r="M20" i="7" s="1"/>
  <c r="L19" i="7"/>
  <c r="K19" i="7"/>
  <c r="J19" i="7"/>
  <c r="I19" i="7"/>
  <c r="L18" i="7"/>
  <c r="K18" i="7"/>
  <c r="J18" i="7"/>
  <c r="J29" i="7" s="1"/>
  <c r="J30" i="7" s="1"/>
  <c r="I18" i="7"/>
  <c r="G16" i="7"/>
  <c r="F16" i="7"/>
  <c r="E16" i="7"/>
  <c r="D16" i="7"/>
  <c r="C16" i="7"/>
  <c r="B16" i="7"/>
  <c r="G15" i="7"/>
  <c r="F15" i="7"/>
  <c r="E15" i="7"/>
  <c r="D15" i="7"/>
  <c r="C15" i="7"/>
  <c r="B15" i="7"/>
  <c r="M10" i="7"/>
  <c r="L10" i="7"/>
  <c r="K10" i="7"/>
  <c r="J10" i="7"/>
  <c r="I10" i="7"/>
  <c r="M9" i="7"/>
  <c r="L9" i="7"/>
  <c r="K9" i="7"/>
  <c r="J9" i="7"/>
  <c r="I9" i="7"/>
  <c r="M8" i="7"/>
  <c r="L8" i="7"/>
  <c r="K8" i="7"/>
  <c r="J8" i="7"/>
  <c r="I8" i="7"/>
  <c r="M7" i="7"/>
  <c r="L7" i="7"/>
  <c r="K7" i="7"/>
  <c r="J7" i="7"/>
  <c r="I7" i="7"/>
  <c r="M6" i="7"/>
  <c r="L6" i="7"/>
  <c r="K6" i="7"/>
  <c r="J6" i="7"/>
  <c r="I6" i="7"/>
  <c r="M5" i="7"/>
  <c r="L5" i="7"/>
  <c r="K5" i="7"/>
  <c r="J5" i="7"/>
  <c r="I5" i="7"/>
  <c r="M4" i="7"/>
  <c r="L4" i="7"/>
  <c r="K4" i="7"/>
  <c r="J4" i="7"/>
  <c r="I4" i="7"/>
  <c r="K29" i="8" l="1"/>
  <c r="K30" i="8" s="1"/>
  <c r="M24" i="8"/>
  <c r="I57" i="8"/>
  <c r="I58" i="8" s="1"/>
  <c r="M60" i="10"/>
  <c r="K29" i="7"/>
  <c r="K30" i="7" s="1"/>
  <c r="M24" i="7"/>
  <c r="M19" i="7"/>
  <c r="X18" i="7" s="1"/>
  <c r="Y18" i="7" s="1"/>
  <c r="M21" i="7"/>
  <c r="M23" i="7"/>
  <c r="M23" i="8"/>
  <c r="AY12" i="1"/>
  <c r="AX17" i="1"/>
  <c r="I29" i="7"/>
  <c r="I30" i="7" s="1"/>
  <c r="M18" i="7"/>
  <c r="I29" i="8"/>
  <c r="M18" i="8"/>
  <c r="L17" i="1"/>
  <c r="F36" i="3"/>
  <c r="F33" i="3"/>
  <c r="L29" i="7"/>
  <c r="M16" i="7"/>
  <c r="K43" i="7"/>
  <c r="K44" i="7" s="1"/>
  <c r="J57" i="7"/>
  <c r="J58" i="7" s="1"/>
  <c r="F35" i="3"/>
  <c r="K58" i="8"/>
  <c r="P32" i="8" s="1"/>
  <c r="I57" i="7"/>
  <c r="I58" i="7" s="1"/>
  <c r="N60" i="10"/>
  <c r="N61" i="10"/>
  <c r="N67" i="10" s="1"/>
  <c r="N68" i="10" s="1"/>
  <c r="O61" i="10"/>
  <c r="O60" i="10"/>
  <c r="B51" i="10"/>
  <c r="B42" i="10"/>
  <c r="M64" i="10"/>
  <c r="M66" i="10"/>
  <c r="M67" i="10"/>
  <c r="M68" i="10" s="1"/>
  <c r="O63" i="10"/>
  <c r="D50" i="10"/>
  <c r="D38" i="10"/>
  <c r="M62" i="10"/>
  <c r="B39" i="10"/>
  <c r="E4" i="10"/>
  <c r="E37" i="10" s="1"/>
  <c r="F3" i="10"/>
  <c r="F4" i="10" s="1"/>
  <c r="F37" i="10" s="1"/>
  <c r="P53" i="10"/>
  <c r="P57" i="10" s="1"/>
  <c r="P59" i="10" s="1"/>
  <c r="Q32" i="10"/>
  <c r="N64" i="10"/>
  <c r="C51" i="10"/>
  <c r="C42" i="10"/>
  <c r="Q48" i="3"/>
  <c r="Q55" i="3" s="1"/>
  <c r="BB12" i="1"/>
  <c r="BB17" i="1" s="1"/>
  <c r="BB54" i="1" s="1"/>
  <c r="AH13" i="1"/>
  <c r="AG13" i="1"/>
  <c r="AI13" i="1" s="1"/>
  <c r="AG24" i="1"/>
  <c r="AI24" i="1" s="1"/>
  <c r="AH24" i="1"/>
  <c r="AG25" i="1"/>
  <c r="AI25" i="1" s="1"/>
  <c r="AH25" i="1"/>
  <c r="AG26" i="1"/>
  <c r="AI26" i="1" s="1"/>
  <c r="AH26" i="1"/>
  <c r="AG27" i="1"/>
  <c r="AI27" i="1" s="1"/>
  <c r="AH27" i="1"/>
  <c r="AG36" i="1"/>
  <c r="AI36" i="1" s="1"/>
  <c r="AH36" i="1"/>
  <c r="AG37" i="1"/>
  <c r="AI37" i="1" s="1"/>
  <c r="AH37" i="1"/>
  <c r="AG38" i="1"/>
  <c r="AI38" i="1" s="1"/>
  <c r="AH38" i="1"/>
  <c r="AG48" i="1"/>
  <c r="AI48" i="1" s="1"/>
  <c r="AI50" i="1" s="1"/>
  <c r="AH48" i="1"/>
  <c r="AG49" i="1"/>
  <c r="AI49" i="1" s="1"/>
  <c r="AH49" i="1"/>
  <c r="AH15" i="1"/>
  <c r="AG15" i="1"/>
  <c r="AI15" i="1" s="1"/>
  <c r="AH12" i="1"/>
  <c r="AH14" i="1"/>
  <c r="AH16" i="1"/>
  <c r="F30" i="3"/>
  <c r="I16" i="9"/>
  <c r="I15" i="9"/>
  <c r="L16" i="8"/>
  <c r="L15" i="8"/>
  <c r="K16" i="8"/>
  <c r="K15" i="8"/>
  <c r="J16" i="8"/>
  <c r="J43" i="8"/>
  <c r="J44" i="8" s="1"/>
  <c r="J15" i="8"/>
  <c r="I16" i="8"/>
  <c r="N16" i="8" s="1"/>
  <c r="P29" i="8" s="1"/>
  <c r="I15" i="8"/>
  <c r="I43" i="8"/>
  <c r="I44" i="8" s="1"/>
  <c r="L44" i="8" s="1"/>
  <c r="P31" i="8" s="1"/>
  <c r="M15" i="7"/>
  <c r="L16" i="7"/>
  <c r="L15" i="7"/>
  <c r="K16" i="7"/>
  <c r="K15" i="7"/>
  <c r="J16" i="7"/>
  <c r="J43" i="7"/>
  <c r="J44" i="7" s="1"/>
  <c r="J15" i="7"/>
  <c r="I16" i="7"/>
  <c r="I15" i="7"/>
  <c r="I43" i="7"/>
  <c r="I44" i="7" s="1"/>
  <c r="F8" i="3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K38" i="6"/>
  <c r="J38" i="6"/>
  <c r="I38" i="6"/>
  <c r="K37" i="6"/>
  <c r="J37" i="6"/>
  <c r="I37" i="6"/>
  <c r="K36" i="6"/>
  <c r="J36" i="6"/>
  <c r="I36" i="6"/>
  <c r="K35" i="6"/>
  <c r="J35" i="6"/>
  <c r="I35" i="6"/>
  <c r="K34" i="6"/>
  <c r="J34" i="6"/>
  <c r="I34" i="6"/>
  <c r="K33" i="6"/>
  <c r="J33" i="6"/>
  <c r="I33" i="6"/>
  <c r="K32" i="6"/>
  <c r="J32" i="6"/>
  <c r="I32" i="6"/>
  <c r="L24" i="6"/>
  <c r="K24" i="6"/>
  <c r="J24" i="6"/>
  <c r="I24" i="6"/>
  <c r="L23" i="6"/>
  <c r="K23" i="6"/>
  <c r="J23" i="6"/>
  <c r="I23" i="6"/>
  <c r="L22" i="6"/>
  <c r="K22" i="6"/>
  <c r="J22" i="6"/>
  <c r="I22" i="6"/>
  <c r="L21" i="6"/>
  <c r="K21" i="6"/>
  <c r="J21" i="6"/>
  <c r="I21" i="6"/>
  <c r="L20" i="6"/>
  <c r="K20" i="6"/>
  <c r="J20" i="6"/>
  <c r="I20" i="6"/>
  <c r="L19" i="6"/>
  <c r="K19" i="6"/>
  <c r="J19" i="6"/>
  <c r="I19" i="6"/>
  <c r="L18" i="6"/>
  <c r="L29" i="6" s="1"/>
  <c r="L30" i="6" s="1"/>
  <c r="K18" i="6"/>
  <c r="K29" i="6" s="1"/>
  <c r="K30" i="6" s="1"/>
  <c r="J18" i="6"/>
  <c r="J29" i="6" s="1"/>
  <c r="J30" i="6" s="1"/>
  <c r="I18" i="6"/>
  <c r="G16" i="6"/>
  <c r="F16" i="6"/>
  <c r="E16" i="6"/>
  <c r="D16" i="6"/>
  <c r="C16" i="6"/>
  <c r="B16" i="6"/>
  <c r="G15" i="6"/>
  <c r="F15" i="6"/>
  <c r="E15" i="6"/>
  <c r="D15" i="6"/>
  <c r="C15" i="6"/>
  <c r="B15" i="6"/>
  <c r="M10" i="6"/>
  <c r="L10" i="6"/>
  <c r="K10" i="6"/>
  <c r="J10" i="6"/>
  <c r="I10" i="6"/>
  <c r="M9" i="6"/>
  <c r="L9" i="6"/>
  <c r="K9" i="6"/>
  <c r="J9" i="6"/>
  <c r="I9" i="6"/>
  <c r="M8" i="6"/>
  <c r="L8" i="6"/>
  <c r="K8" i="6"/>
  <c r="J8" i="6"/>
  <c r="I8" i="6"/>
  <c r="M7" i="6"/>
  <c r="L7" i="6"/>
  <c r="K7" i="6"/>
  <c r="J7" i="6"/>
  <c r="I7" i="6"/>
  <c r="M6" i="6"/>
  <c r="L6" i="6"/>
  <c r="K6" i="6"/>
  <c r="J6" i="6"/>
  <c r="I6" i="6"/>
  <c r="M5" i="6"/>
  <c r="L5" i="6"/>
  <c r="K5" i="6"/>
  <c r="J5" i="6"/>
  <c r="I5" i="6"/>
  <c r="M4" i="6"/>
  <c r="L4" i="6"/>
  <c r="K4" i="6"/>
  <c r="J4" i="6"/>
  <c r="I4" i="6"/>
  <c r="I47" i="4"/>
  <c r="J47" i="4"/>
  <c r="I48" i="4"/>
  <c r="J48" i="4"/>
  <c r="I49" i="4"/>
  <c r="J49" i="4"/>
  <c r="I50" i="4"/>
  <c r="J50" i="4"/>
  <c r="I51" i="4"/>
  <c r="J51" i="4"/>
  <c r="I52" i="4"/>
  <c r="J52" i="4"/>
  <c r="J46" i="4"/>
  <c r="I46" i="4"/>
  <c r="K33" i="4"/>
  <c r="K34" i="4"/>
  <c r="K35" i="4"/>
  <c r="K36" i="4"/>
  <c r="K37" i="4"/>
  <c r="K38" i="4"/>
  <c r="J33" i="4"/>
  <c r="J34" i="4"/>
  <c r="J35" i="4"/>
  <c r="J36" i="4"/>
  <c r="J37" i="4"/>
  <c r="J38" i="4"/>
  <c r="J32" i="4"/>
  <c r="K32" i="4"/>
  <c r="I33" i="4"/>
  <c r="I34" i="4"/>
  <c r="I35" i="4"/>
  <c r="I36" i="4"/>
  <c r="I37" i="4"/>
  <c r="I38" i="4"/>
  <c r="I32" i="4"/>
  <c r="N16" i="7" l="1"/>
  <c r="P29" i="7" s="1"/>
  <c r="M25" i="8"/>
  <c r="M27" i="8"/>
  <c r="X18" i="8"/>
  <c r="Y18" i="8" s="1"/>
  <c r="Z18" i="8" s="1"/>
  <c r="I30" i="8"/>
  <c r="M30" i="8" s="1"/>
  <c r="P30" i="8" s="1"/>
  <c r="P33" i="8" s="1"/>
  <c r="M29" i="8"/>
  <c r="M27" i="7"/>
  <c r="N66" i="10"/>
  <c r="M25" i="7"/>
  <c r="BA12" i="1"/>
  <c r="AY17" i="1"/>
  <c r="K58" i="7"/>
  <c r="P32" i="7" s="1"/>
  <c r="AH50" i="1"/>
  <c r="AI17" i="1"/>
  <c r="L44" i="7"/>
  <c r="P31" i="7" s="1"/>
  <c r="P33" i="7" s="1"/>
  <c r="Q71" i="3"/>
  <c r="F49" i="3"/>
  <c r="L30" i="7"/>
  <c r="M30" i="7" s="1"/>
  <c r="P30" i="7" s="1"/>
  <c r="M29" i="7"/>
  <c r="I29" i="6"/>
  <c r="M18" i="6"/>
  <c r="M19" i="6"/>
  <c r="M20" i="6"/>
  <c r="M21" i="6"/>
  <c r="M22" i="6"/>
  <c r="M23" i="6"/>
  <c r="M24" i="6"/>
  <c r="I57" i="6"/>
  <c r="I58" i="6" s="1"/>
  <c r="J57" i="4"/>
  <c r="J58" i="4" s="1"/>
  <c r="AH17" i="1"/>
  <c r="AI39" i="1"/>
  <c r="AI28" i="1"/>
  <c r="I43" i="4"/>
  <c r="I44" i="4" s="1"/>
  <c r="J57" i="6"/>
  <c r="J58" i="6" s="1"/>
  <c r="AH39" i="1"/>
  <c r="AH28" i="1"/>
  <c r="I57" i="4"/>
  <c r="I58" i="4" s="1"/>
  <c r="K58" i="4" s="1"/>
  <c r="P33" i="4" s="1"/>
  <c r="K43" i="4"/>
  <c r="K44" i="4" s="1"/>
  <c r="N69" i="10"/>
  <c r="N70" i="10"/>
  <c r="Q53" i="10"/>
  <c r="Q56" i="10"/>
  <c r="Q63" i="10"/>
  <c r="F50" i="10"/>
  <c r="F38" i="10"/>
  <c r="B52" i="10"/>
  <c r="B40" i="10"/>
  <c r="D51" i="10"/>
  <c r="D42" i="10"/>
  <c r="O64" i="10"/>
  <c r="O66" i="10"/>
  <c r="O67" i="10"/>
  <c r="O68" i="10" s="1"/>
  <c r="M70" i="10"/>
  <c r="M69" i="10"/>
  <c r="O62" i="10"/>
  <c r="D39" i="10"/>
  <c r="P60" i="10"/>
  <c r="P61" i="10"/>
  <c r="P63" i="10"/>
  <c r="E50" i="10"/>
  <c r="E38" i="10"/>
  <c r="N62" i="10"/>
  <c r="C39" i="10"/>
  <c r="J43" i="4"/>
  <c r="J44" i="4" s="1"/>
  <c r="M15" i="6"/>
  <c r="M16" i="6"/>
  <c r="L16" i="6"/>
  <c r="L15" i="6"/>
  <c r="K16" i="6"/>
  <c r="K15" i="6"/>
  <c r="K43" i="6"/>
  <c r="K44" i="6" s="1"/>
  <c r="J16" i="6"/>
  <c r="J15" i="6"/>
  <c r="J43" i="6"/>
  <c r="J44" i="6" s="1"/>
  <c r="I16" i="6"/>
  <c r="I15" i="6"/>
  <c r="I43" i="6"/>
  <c r="I44" i="6" s="1"/>
  <c r="L19" i="4"/>
  <c r="L20" i="4"/>
  <c r="L21" i="4"/>
  <c r="L22" i="4"/>
  <c r="L23" i="4"/>
  <c r="L24" i="4"/>
  <c r="K19" i="4"/>
  <c r="K20" i="4"/>
  <c r="K21" i="4"/>
  <c r="K22" i="4"/>
  <c r="K23" i="4"/>
  <c r="K24" i="4"/>
  <c r="J19" i="4"/>
  <c r="J20" i="4"/>
  <c r="J21" i="4"/>
  <c r="J22" i="4"/>
  <c r="J23" i="4"/>
  <c r="J24" i="4"/>
  <c r="I24" i="4"/>
  <c r="I23" i="4"/>
  <c r="I22" i="4"/>
  <c r="M22" i="4" s="1"/>
  <c r="I20" i="4"/>
  <c r="I21" i="4"/>
  <c r="M21" i="4" s="1"/>
  <c r="I19" i="4"/>
  <c r="J18" i="4"/>
  <c r="K18" i="4"/>
  <c r="L18" i="4"/>
  <c r="I18" i="4"/>
  <c r="M18" i="4" s="1"/>
  <c r="C16" i="4"/>
  <c r="D16" i="4"/>
  <c r="E16" i="4"/>
  <c r="F16" i="4"/>
  <c r="G16" i="4"/>
  <c r="B16" i="4"/>
  <c r="M5" i="4"/>
  <c r="M6" i="4"/>
  <c r="M7" i="4"/>
  <c r="M8" i="4"/>
  <c r="M9" i="4"/>
  <c r="M10" i="4"/>
  <c r="L5" i="4"/>
  <c r="L6" i="4"/>
  <c r="L7" i="4"/>
  <c r="L8" i="4"/>
  <c r="L9" i="4"/>
  <c r="L10" i="4"/>
  <c r="K5" i="4"/>
  <c r="K6" i="4"/>
  <c r="K7" i="4"/>
  <c r="K8" i="4"/>
  <c r="K9" i="4"/>
  <c r="K10" i="4"/>
  <c r="J5" i="4"/>
  <c r="J6" i="4"/>
  <c r="J7" i="4"/>
  <c r="J8" i="4"/>
  <c r="J9" i="4"/>
  <c r="J10" i="4"/>
  <c r="I5" i="4"/>
  <c r="I6" i="4"/>
  <c r="N6" i="4" s="1"/>
  <c r="I7" i="4"/>
  <c r="N7" i="4" s="1"/>
  <c r="I8" i="4"/>
  <c r="I9" i="4"/>
  <c r="N9" i="4" s="1"/>
  <c r="I10" i="4"/>
  <c r="N10" i="4" s="1"/>
  <c r="K4" i="4"/>
  <c r="L4" i="4"/>
  <c r="M4" i="4"/>
  <c r="J4" i="4"/>
  <c r="I4" i="4"/>
  <c r="N4" i="4" s="1"/>
  <c r="D15" i="4"/>
  <c r="E15" i="4"/>
  <c r="F15" i="4"/>
  <c r="G15" i="4"/>
  <c r="C15" i="4"/>
  <c r="B15" i="4"/>
  <c r="M19" i="4" l="1"/>
  <c r="M27" i="6"/>
  <c r="M25" i="6"/>
  <c r="M26" i="6" s="1"/>
  <c r="R26" i="7"/>
  <c r="P26" i="7"/>
  <c r="Q26" i="7"/>
  <c r="O26" i="7"/>
  <c r="N8" i="4"/>
  <c r="M20" i="4"/>
  <c r="N16" i="6"/>
  <c r="P29" i="6" s="1"/>
  <c r="M23" i="4"/>
  <c r="M25" i="4" s="1"/>
  <c r="L44" i="4"/>
  <c r="P32" i="4" s="1"/>
  <c r="R26" i="8"/>
  <c r="O26" i="8"/>
  <c r="P26" i="8"/>
  <c r="Q26" i="8"/>
  <c r="N5" i="4"/>
  <c r="N11" i="4" s="1"/>
  <c r="M24" i="4"/>
  <c r="AI54" i="1"/>
  <c r="BC12" i="1"/>
  <c r="BC17" i="1" s="1"/>
  <c r="BC54" i="1" s="1"/>
  <c r="BA17" i="1"/>
  <c r="M26" i="8"/>
  <c r="M26" i="7"/>
  <c r="Z18" i="7"/>
  <c r="L44" i="6"/>
  <c r="P31" i="6" s="1"/>
  <c r="X18" i="6"/>
  <c r="Y18" i="6" s="1"/>
  <c r="Z18" i="6" s="1"/>
  <c r="K58" i="6"/>
  <c r="P32" i="6" s="1"/>
  <c r="P33" i="6" s="1"/>
  <c r="I30" i="6"/>
  <c r="M30" i="6" s="1"/>
  <c r="P30" i="6" s="1"/>
  <c r="M29" i="6"/>
  <c r="K15" i="4"/>
  <c r="J16" i="4"/>
  <c r="AH54" i="1"/>
  <c r="I15" i="4"/>
  <c r="J29" i="4"/>
  <c r="J30" i="4" s="1"/>
  <c r="J15" i="4"/>
  <c r="M15" i="4"/>
  <c r="L16" i="4"/>
  <c r="L29" i="4"/>
  <c r="L30" i="4" s="1"/>
  <c r="L15" i="4"/>
  <c r="I16" i="4"/>
  <c r="K16" i="4"/>
  <c r="K29" i="4"/>
  <c r="K30" i="4" s="1"/>
  <c r="M16" i="4"/>
  <c r="I29" i="4"/>
  <c r="Q57" i="10"/>
  <c r="Q59" i="10" s="1"/>
  <c r="P62" i="10"/>
  <c r="E39" i="10"/>
  <c r="D52" i="10"/>
  <c r="D40" i="10"/>
  <c r="B53" i="10"/>
  <c r="B41" i="10"/>
  <c r="B45" i="10"/>
  <c r="B44" i="10" s="1"/>
  <c r="F51" i="10"/>
  <c r="F42" i="10"/>
  <c r="Q64" i="10"/>
  <c r="Q67" i="10"/>
  <c r="Q68" i="10" s="1"/>
  <c r="Q61" i="10"/>
  <c r="Q60" i="10"/>
  <c r="C52" i="10"/>
  <c r="C40" i="10"/>
  <c r="P64" i="10"/>
  <c r="E51" i="10"/>
  <c r="E42" i="10"/>
  <c r="P67" i="10"/>
  <c r="P68" i="10" s="1"/>
  <c r="P66" i="10"/>
  <c r="O70" i="10"/>
  <c r="O69" i="10"/>
  <c r="C5" i="3"/>
  <c r="D5" i="3" s="1"/>
  <c r="E5" i="3" s="1"/>
  <c r="F5" i="3" s="1"/>
  <c r="C3" i="3"/>
  <c r="D3" i="3" s="1"/>
  <c r="E3" i="3" s="1"/>
  <c r="F3" i="3" s="1"/>
  <c r="F4" i="3" s="1"/>
  <c r="F37" i="3" s="1"/>
  <c r="W49" i="1"/>
  <c r="U49" i="1"/>
  <c r="W48" i="1"/>
  <c r="W50" i="1" s="1"/>
  <c r="U48" i="1"/>
  <c r="V48" i="1" s="1"/>
  <c r="W38" i="1"/>
  <c r="U38" i="1"/>
  <c r="W37" i="1"/>
  <c r="U37" i="1"/>
  <c r="V37" i="1" s="1"/>
  <c r="W36" i="1"/>
  <c r="U36" i="1"/>
  <c r="V36" i="1" s="1"/>
  <c r="W27" i="1"/>
  <c r="U27" i="1"/>
  <c r="W26" i="1"/>
  <c r="U26" i="1"/>
  <c r="V26" i="1" s="1"/>
  <c r="W25" i="1"/>
  <c r="U25" i="1"/>
  <c r="V25" i="1" s="1"/>
  <c r="W24" i="1"/>
  <c r="U24" i="1"/>
  <c r="V24" i="1" s="1"/>
  <c r="V16" i="1"/>
  <c r="V15" i="1"/>
  <c r="Y15" i="1" s="1"/>
  <c r="V14" i="1"/>
  <c r="X14" i="1" s="1"/>
  <c r="Z14" i="1" s="1"/>
  <c r="V13" i="1"/>
  <c r="Y13" i="1" s="1"/>
  <c r="V12" i="1"/>
  <c r="X12" i="1" s="1"/>
  <c r="Z12" i="1" s="1"/>
  <c r="T8" i="1"/>
  <c r="L49" i="1"/>
  <c r="M49" i="1" s="1"/>
  <c r="L48" i="1"/>
  <c r="L38" i="1"/>
  <c r="M38" i="1" s="1"/>
  <c r="L37" i="1"/>
  <c r="M37" i="1" s="1"/>
  <c r="L36" i="1"/>
  <c r="L27" i="1"/>
  <c r="M27" i="1" s="1"/>
  <c r="L26" i="1"/>
  <c r="M26" i="1" s="1"/>
  <c r="L25" i="1"/>
  <c r="M25" i="1" s="1"/>
  <c r="L24" i="1"/>
  <c r="M16" i="1"/>
  <c r="M15" i="1"/>
  <c r="O15" i="1" s="1"/>
  <c r="Q15" i="1" s="1"/>
  <c r="M14" i="1"/>
  <c r="M13" i="1"/>
  <c r="M12" i="1"/>
  <c r="M17" i="1" s="1"/>
  <c r="K8" i="1"/>
  <c r="N12" i="4" l="1"/>
  <c r="I30" i="4"/>
  <c r="M30" i="4" s="1"/>
  <c r="P31" i="4" s="1"/>
  <c r="M29" i="4"/>
  <c r="X18" i="4"/>
  <c r="Y18" i="4" s="1"/>
  <c r="Z18" i="4" s="1"/>
  <c r="M27" i="4"/>
  <c r="M36" i="1"/>
  <c r="M39" i="1" s="1"/>
  <c r="L39" i="1"/>
  <c r="N16" i="4"/>
  <c r="M48" i="1"/>
  <c r="M50" i="1" s="1"/>
  <c r="L50" i="1"/>
  <c r="M24" i="1"/>
  <c r="M28" i="1" s="1"/>
  <c r="L28" i="1"/>
  <c r="W28" i="1"/>
  <c r="W39" i="1"/>
  <c r="R26" i="6"/>
  <c r="P26" i="6"/>
  <c r="Q26" i="6"/>
  <c r="O26" i="6"/>
  <c r="V49" i="1"/>
  <c r="V50" i="1" s="1"/>
  <c r="U50" i="1"/>
  <c r="V38" i="1"/>
  <c r="V39" i="1" s="1"/>
  <c r="U39" i="1"/>
  <c r="V27" i="1"/>
  <c r="V28" i="1" s="1"/>
  <c r="U28" i="1"/>
  <c r="X16" i="1"/>
  <c r="V17" i="1"/>
  <c r="C41" i="10"/>
  <c r="C53" i="10"/>
  <c r="C45" i="10"/>
  <c r="C44" i="10" s="1"/>
  <c r="B55" i="10"/>
  <c r="B54" i="10"/>
  <c r="B58" i="10" s="1"/>
  <c r="P69" i="10"/>
  <c r="P70" i="10"/>
  <c r="Q62" i="10"/>
  <c r="F39" i="10"/>
  <c r="D53" i="10"/>
  <c r="D41" i="10"/>
  <c r="D45" i="10"/>
  <c r="D44" i="10" s="1"/>
  <c r="E52" i="10"/>
  <c r="E40" i="10"/>
  <c r="Q66" i="10"/>
  <c r="Q63" i="3"/>
  <c r="F50" i="3"/>
  <c r="F38" i="3"/>
  <c r="X24" i="1"/>
  <c r="Z24" i="1" s="1"/>
  <c r="X26" i="1"/>
  <c r="Z26" i="1" s="1"/>
  <c r="X36" i="1"/>
  <c r="Z36" i="1" s="1"/>
  <c r="Y24" i="1"/>
  <c r="Y26" i="1"/>
  <c r="Y36" i="1"/>
  <c r="Y38" i="1"/>
  <c r="Y39" i="1" s="1"/>
  <c r="X48" i="1"/>
  <c r="Z48" i="1" s="1"/>
  <c r="Y48" i="1"/>
  <c r="X49" i="1"/>
  <c r="Y12" i="1"/>
  <c r="X13" i="1"/>
  <c r="Z13" i="1" s="1"/>
  <c r="Y14" i="1"/>
  <c r="X15" i="1"/>
  <c r="Z15" i="1" s="1"/>
  <c r="Y16" i="1"/>
  <c r="Y17" i="1" s="1"/>
  <c r="X25" i="1"/>
  <c r="Z25" i="1" s="1"/>
  <c r="Y25" i="1"/>
  <c r="X37" i="1"/>
  <c r="Z37" i="1" s="1"/>
  <c r="Y37" i="1"/>
  <c r="O12" i="1"/>
  <c r="P12" i="1"/>
  <c r="O13" i="1"/>
  <c r="Q13" i="1" s="1"/>
  <c r="P13" i="1"/>
  <c r="N48" i="1"/>
  <c r="N36" i="1"/>
  <c r="N24" i="1"/>
  <c r="N49" i="1"/>
  <c r="O49" i="1" s="1"/>
  <c r="Q49" i="1" s="1"/>
  <c r="N37" i="1"/>
  <c r="O37" i="1" s="1"/>
  <c r="Q37" i="1" s="1"/>
  <c r="N25" i="1"/>
  <c r="O25" i="1" s="1"/>
  <c r="Q25" i="1" s="1"/>
  <c r="N38" i="1"/>
  <c r="O38" i="1" s="1"/>
  <c r="Q38" i="1" s="1"/>
  <c r="N26" i="1"/>
  <c r="O26" i="1" s="1"/>
  <c r="Q26" i="1" s="1"/>
  <c r="P15" i="1"/>
  <c r="P25" i="1"/>
  <c r="P27" i="1"/>
  <c r="P37" i="1"/>
  <c r="P48" i="1"/>
  <c r="P50" i="1" s="1"/>
  <c r="O14" i="1"/>
  <c r="Q14" i="1" s="1"/>
  <c r="P14" i="1"/>
  <c r="N27" i="1"/>
  <c r="O27" i="1" s="1"/>
  <c r="Q27" i="1" s="1"/>
  <c r="O16" i="1"/>
  <c r="Q16" i="1" s="1"/>
  <c r="P16" i="1"/>
  <c r="O24" i="1"/>
  <c r="P24" i="1"/>
  <c r="P26" i="1"/>
  <c r="O36" i="1"/>
  <c r="P36" i="1"/>
  <c r="P39" i="1" s="1"/>
  <c r="P38" i="1"/>
  <c r="P49" i="1"/>
  <c r="O48" i="1" l="1"/>
  <c r="N50" i="1"/>
  <c r="O26" i="4"/>
  <c r="Q26" i="4"/>
  <c r="P26" i="4"/>
  <c r="R26" i="4"/>
  <c r="Q12" i="1"/>
  <c r="Q17" i="1" s="1"/>
  <c r="O17" i="1"/>
  <c r="Q24" i="1"/>
  <c r="Q28" i="1" s="1"/>
  <c r="O28" i="1"/>
  <c r="Q36" i="1"/>
  <c r="Q39" i="1" s="1"/>
  <c r="O39" i="1"/>
  <c r="P28" i="1"/>
  <c r="P17" i="1"/>
  <c r="N28" i="1"/>
  <c r="N39" i="1"/>
  <c r="Y27" i="1"/>
  <c r="Y28" i="1" s="1"/>
  <c r="Y49" i="1"/>
  <c r="Y50" i="1" s="1"/>
  <c r="X38" i="1"/>
  <c r="P30" i="4"/>
  <c r="P34" i="4" s="1"/>
  <c r="P12" i="4"/>
  <c r="T12" i="4"/>
  <c r="S12" i="4"/>
  <c r="R12" i="4"/>
  <c r="Q12" i="4"/>
  <c r="M26" i="4"/>
  <c r="Z49" i="1"/>
  <c r="Z50" i="1" s="1"/>
  <c r="X50" i="1"/>
  <c r="Z38" i="1"/>
  <c r="Z39" i="1" s="1"/>
  <c r="X39" i="1"/>
  <c r="X27" i="1"/>
  <c r="Z16" i="1"/>
  <c r="Z17" i="1" s="1"/>
  <c r="X17" i="1"/>
  <c r="Q70" i="10"/>
  <c r="Q69" i="10"/>
  <c r="F52" i="10"/>
  <c r="F40" i="10"/>
  <c r="E41" i="10"/>
  <c r="E53" i="10"/>
  <c r="E45" i="10"/>
  <c r="E44" i="10" s="1"/>
  <c r="D55" i="10"/>
  <c r="D54" i="10"/>
  <c r="D58" i="10" s="1"/>
  <c r="B56" i="10"/>
  <c r="B59" i="10"/>
  <c r="C55" i="10"/>
  <c r="C54" i="10"/>
  <c r="C58" i="10" s="1"/>
  <c r="Q64" i="3"/>
  <c r="F42" i="3"/>
  <c r="F51" i="3"/>
  <c r="M32" i="3"/>
  <c r="N32" i="3" s="1"/>
  <c r="O32" i="3" s="1"/>
  <c r="P32" i="3" s="1"/>
  <c r="Q32" i="3" s="1"/>
  <c r="C8" i="3"/>
  <c r="D8" i="3"/>
  <c r="E8" i="3"/>
  <c r="B8" i="3"/>
  <c r="E28" i="3"/>
  <c r="E29" i="3" s="1"/>
  <c r="D28" i="3"/>
  <c r="D29" i="3" s="1"/>
  <c r="C28" i="3"/>
  <c r="C29" i="3" s="1"/>
  <c r="D4" i="3"/>
  <c r="B4" i="3"/>
  <c r="E4" i="3"/>
  <c r="P58" i="3"/>
  <c r="Q58" i="3" s="1"/>
  <c r="N58" i="3"/>
  <c r="P54" i="3"/>
  <c r="O54" i="3"/>
  <c r="N54" i="3"/>
  <c r="M54" i="3"/>
  <c r="M51" i="3"/>
  <c r="P50" i="3"/>
  <c r="O50" i="3"/>
  <c r="N50" i="3"/>
  <c r="M50" i="3"/>
  <c r="M49" i="3"/>
  <c r="M42" i="3"/>
  <c r="M52" i="3" s="1"/>
  <c r="N39" i="3"/>
  <c r="N51" i="3" s="1"/>
  <c r="N37" i="3"/>
  <c r="N49" i="3" s="1"/>
  <c r="P34" i="3"/>
  <c r="O34" i="3"/>
  <c r="N34" i="3"/>
  <c r="M34" i="3"/>
  <c r="N33" i="3"/>
  <c r="N42" i="3" s="1"/>
  <c r="B28" i="3"/>
  <c r="B29" i="3" s="1"/>
  <c r="E27" i="3"/>
  <c r="E35" i="3" s="1"/>
  <c r="D27" i="3"/>
  <c r="D36" i="3" s="1"/>
  <c r="C27" i="3"/>
  <c r="C35" i="3" s="1"/>
  <c r="B27" i="3"/>
  <c r="B36" i="3" s="1"/>
  <c r="O8" i="3"/>
  <c r="E49" i="1"/>
  <c r="E48" i="1"/>
  <c r="E50" i="1" s="1"/>
  <c r="C49" i="1"/>
  <c r="D49" i="1" s="1"/>
  <c r="G49" i="1" s="1"/>
  <c r="C48" i="1"/>
  <c r="D48" i="1"/>
  <c r="E37" i="1"/>
  <c r="E38" i="1"/>
  <c r="E36" i="1"/>
  <c r="E39" i="1" s="1"/>
  <c r="C37" i="1"/>
  <c r="D37" i="1" s="1"/>
  <c r="C38" i="1"/>
  <c r="D38" i="1" s="1"/>
  <c r="G38" i="1" s="1"/>
  <c r="C36" i="1"/>
  <c r="E25" i="1"/>
  <c r="E26" i="1"/>
  <c r="E27" i="1"/>
  <c r="E24" i="1"/>
  <c r="C25" i="1"/>
  <c r="D25" i="1" s="1"/>
  <c r="G25" i="1" s="1"/>
  <c r="C26" i="1"/>
  <c r="D26" i="1" s="1"/>
  <c r="G26" i="1" s="1"/>
  <c r="C27" i="1"/>
  <c r="D27" i="1" s="1"/>
  <c r="G27" i="1" s="1"/>
  <c r="C24" i="1"/>
  <c r="L8" i="2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K8" i="2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B5" i="2"/>
  <c r="E28" i="1" l="1"/>
  <c r="D36" i="1"/>
  <c r="C39" i="1"/>
  <c r="D24" i="1"/>
  <c r="C28" i="1"/>
  <c r="G48" i="1"/>
  <c r="G50" i="1" s="1"/>
  <c r="D50" i="1"/>
  <c r="C50" i="1"/>
  <c r="Q48" i="1"/>
  <c r="Q50" i="1" s="1"/>
  <c r="Q54" i="1" s="1"/>
  <c r="O50" i="1"/>
  <c r="Z27" i="1"/>
  <c r="Z28" i="1" s="1"/>
  <c r="Z54" i="1" s="1"/>
  <c r="X28" i="1"/>
  <c r="Y54" i="1"/>
  <c r="P54" i="1"/>
  <c r="C29" i="2"/>
  <c r="D29" i="2" s="1"/>
  <c r="M53" i="3"/>
  <c r="C59" i="10"/>
  <c r="C56" i="10"/>
  <c r="D56" i="10"/>
  <c r="D59" i="10"/>
  <c r="E55" i="10"/>
  <c r="E54" i="10"/>
  <c r="E58" i="10" s="1"/>
  <c r="F53" i="10"/>
  <c r="F41" i="10"/>
  <c r="F45" i="10"/>
  <c r="F44" i="10" s="1"/>
  <c r="Q53" i="3"/>
  <c r="Q56" i="3"/>
  <c r="O37" i="3"/>
  <c r="P37" i="3" s="1"/>
  <c r="O39" i="3"/>
  <c r="P39" i="3" s="1"/>
  <c r="F37" i="1"/>
  <c r="H37" i="1" s="1"/>
  <c r="E33" i="3"/>
  <c r="E36" i="3"/>
  <c r="E37" i="3" s="1"/>
  <c r="D33" i="3"/>
  <c r="C36" i="3"/>
  <c r="C33" i="3"/>
  <c r="B33" i="3"/>
  <c r="B30" i="3"/>
  <c r="C30" i="3"/>
  <c r="E30" i="3"/>
  <c r="D30" i="3"/>
  <c r="M71" i="3"/>
  <c r="B49" i="3"/>
  <c r="D49" i="3"/>
  <c r="O71" i="3"/>
  <c r="N52" i="3"/>
  <c r="N36" i="3"/>
  <c r="P36" i="3"/>
  <c r="B35" i="3"/>
  <c r="B37" i="3" s="1"/>
  <c r="D35" i="3"/>
  <c r="D37" i="3" s="1"/>
  <c r="N53" i="3"/>
  <c r="O51" i="3"/>
  <c r="O33" i="3"/>
  <c r="M36" i="3"/>
  <c r="M48" i="3" s="1"/>
  <c r="M55" i="3" s="1"/>
  <c r="O36" i="3"/>
  <c r="G37" i="1"/>
  <c r="F48" i="1"/>
  <c r="F49" i="1"/>
  <c r="H49" i="1" s="1"/>
  <c r="F36" i="1"/>
  <c r="F38" i="1"/>
  <c r="H38" i="1" s="1"/>
  <c r="F24" i="1"/>
  <c r="F25" i="1"/>
  <c r="H25" i="1" s="1"/>
  <c r="F27" i="1"/>
  <c r="H27" i="1" s="1"/>
  <c r="F26" i="1"/>
  <c r="H26" i="1" s="1"/>
  <c r="B29" i="2"/>
  <c r="F29" i="2" s="1"/>
  <c r="B28" i="2"/>
  <c r="B27" i="2"/>
  <c r="B26" i="2"/>
  <c r="C25" i="2"/>
  <c r="C24" i="2"/>
  <c r="C23" i="2"/>
  <c r="C22" i="2"/>
  <c r="C28" i="2"/>
  <c r="C27" i="2"/>
  <c r="C26" i="2"/>
  <c r="B25" i="2"/>
  <c r="B24" i="2"/>
  <c r="B23" i="2"/>
  <c r="B22" i="2"/>
  <c r="B21" i="2"/>
  <c r="B20" i="2"/>
  <c r="C21" i="2"/>
  <c r="C20" i="2"/>
  <c r="B19" i="2"/>
  <c r="B18" i="2"/>
  <c r="B17" i="2"/>
  <c r="B16" i="2"/>
  <c r="B15" i="2"/>
  <c r="B14" i="2"/>
  <c r="C13" i="2"/>
  <c r="C12" i="2"/>
  <c r="C11" i="2"/>
  <c r="C19" i="2"/>
  <c r="C18" i="2"/>
  <c r="C17" i="2"/>
  <c r="C16" i="2"/>
  <c r="C15" i="2"/>
  <c r="C14" i="2"/>
  <c r="B13" i="2"/>
  <c r="B12" i="2"/>
  <c r="B11" i="2"/>
  <c r="B7" i="2"/>
  <c r="C8" i="2"/>
  <c r="C9" i="2"/>
  <c r="B10" i="2"/>
  <c r="C7" i="2"/>
  <c r="B8" i="2"/>
  <c r="B9" i="2"/>
  <c r="C10" i="2"/>
  <c r="H24" i="1" l="1"/>
  <c r="H28" i="1" s="1"/>
  <c r="F28" i="1"/>
  <c r="G24" i="1"/>
  <c r="G28" i="1" s="1"/>
  <c r="D28" i="1"/>
  <c r="H36" i="1"/>
  <c r="H39" i="1" s="1"/>
  <c r="F39" i="1"/>
  <c r="G36" i="1"/>
  <c r="G39" i="1" s="1"/>
  <c r="D39" i="1"/>
  <c r="H48" i="1"/>
  <c r="H50" i="1" s="1"/>
  <c r="F50" i="1"/>
  <c r="E29" i="2"/>
  <c r="F55" i="10"/>
  <c r="F54" i="10"/>
  <c r="F58" i="10" s="1"/>
  <c r="E59" i="10"/>
  <c r="E56" i="10"/>
  <c r="O49" i="3"/>
  <c r="P51" i="3"/>
  <c r="Q39" i="3"/>
  <c r="Q51" i="3" s="1"/>
  <c r="P49" i="3"/>
  <c r="Q37" i="3"/>
  <c r="Q49" i="3" s="1"/>
  <c r="P56" i="3"/>
  <c r="P48" i="3"/>
  <c r="P55" i="3" s="1"/>
  <c r="O56" i="3"/>
  <c r="O48" i="3"/>
  <c r="O55" i="3" s="1"/>
  <c r="N56" i="3"/>
  <c r="N48" i="3"/>
  <c r="N55" i="3" s="1"/>
  <c r="N57" i="3" s="1"/>
  <c r="N59" i="3" s="1"/>
  <c r="M56" i="3"/>
  <c r="G29" i="2"/>
  <c r="H29" i="2" s="1"/>
  <c r="M63" i="3"/>
  <c r="B50" i="3"/>
  <c r="B38" i="3"/>
  <c r="B42" i="3" s="1"/>
  <c r="O63" i="3"/>
  <c r="D50" i="3"/>
  <c r="D38" i="3"/>
  <c r="D42" i="3" s="1"/>
  <c r="O53" i="3"/>
  <c r="P53" i="3"/>
  <c r="P71" i="3"/>
  <c r="E49" i="3"/>
  <c r="O42" i="3"/>
  <c r="O52" i="3" s="1"/>
  <c r="P33" i="3"/>
  <c r="N71" i="3"/>
  <c r="C49" i="3"/>
  <c r="F9" i="2"/>
  <c r="G9" i="2"/>
  <c r="D7" i="2"/>
  <c r="E7" i="2"/>
  <c r="E10" i="2"/>
  <c r="D10" i="2"/>
  <c r="F8" i="2"/>
  <c r="G8" i="2"/>
  <c r="G10" i="2"/>
  <c r="F10" i="2"/>
  <c r="D8" i="2"/>
  <c r="E8" i="2"/>
  <c r="G11" i="2"/>
  <c r="F11" i="2"/>
  <c r="G13" i="2"/>
  <c r="F13" i="2"/>
  <c r="D15" i="2"/>
  <c r="E15" i="2"/>
  <c r="D17" i="2"/>
  <c r="E17" i="2"/>
  <c r="D19" i="2"/>
  <c r="E19" i="2"/>
  <c r="E12" i="2"/>
  <c r="D12" i="2"/>
  <c r="F14" i="2"/>
  <c r="G14" i="2"/>
  <c r="F16" i="2"/>
  <c r="G16" i="2"/>
  <c r="F18" i="2"/>
  <c r="G18" i="2"/>
  <c r="D20" i="2"/>
  <c r="E20" i="2"/>
  <c r="F20" i="2"/>
  <c r="G20" i="2"/>
  <c r="G22" i="2"/>
  <c r="F22" i="2"/>
  <c r="G24" i="2"/>
  <c r="F24" i="2"/>
  <c r="D26" i="2"/>
  <c r="E26" i="2"/>
  <c r="D28" i="2"/>
  <c r="E28" i="2"/>
  <c r="E22" i="2"/>
  <c r="D22" i="2"/>
  <c r="E24" i="2"/>
  <c r="D24" i="2"/>
  <c r="F26" i="2"/>
  <c r="G26" i="2"/>
  <c r="F28" i="2"/>
  <c r="G28" i="2"/>
  <c r="D9" i="2"/>
  <c r="E9" i="2"/>
  <c r="F7" i="2"/>
  <c r="G7" i="2"/>
  <c r="G12" i="2"/>
  <c r="F12" i="2"/>
  <c r="D14" i="2"/>
  <c r="E14" i="2"/>
  <c r="D16" i="2"/>
  <c r="E16" i="2"/>
  <c r="D18" i="2"/>
  <c r="E18" i="2"/>
  <c r="E11" i="2"/>
  <c r="D11" i="2"/>
  <c r="E13" i="2"/>
  <c r="D13" i="2"/>
  <c r="F15" i="2"/>
  <c r="G15" i="2"/>
  <c r="F17" i="2"/>
  <c r="G17" i="2"/>
  <c r="F19" i="2"/>
  <c r="G19" i="2"/>
  <c r="D21" i="2"/>
  <c r="E21" i="2"/>
  <c r="F21" i="2"/>
  <c r="G21" i="2"/>
  <c r="G23" i="2"/>
  <c r="F23" i="2"/>
  <c r="G25" i="2"/>
  <c r="F25" i="2"/>
  <c r="D27" i="2"/>
  <c r="E27" i="2"/>
  <c r="E23" i="2"/>
  <c r="D23" i="2"/>
  <c r="E25" i="2"/>
  <c r="D25" i="2"/>
  <c r="F27" i="2"/>
  <c r="G27" i="2"/>
  <c r="M57" i="3" l="1"/>
  <c r="M59" i="3" s="1"/>
  <c r="M60" i="3" s="1"/>
  <c r="F56" i="10"/>
  <c r="F59" i="10"/>
  <c r="P42" i="3"/>
  <c r="P52" i="3" s="1"/>
  <c r="P57" i="3" s="1"/>
  <c r="P59" i="3" s="1"/>
  <c r="P60" i="3" s="1"/>
  <c r="Q33" i="3"/>
  <c r="Q42" i="3" s="1"/>
  <c r="Q52" i="3" s="1"/>
  <c r="Q57" i="3" s="1"/>
  <c r="Q59" i="3" s="1"/>
  <c r="N61" i="3"/>
  <c r="C39" i="3" s="1"/>
  <c r="N60" i="3"/>
  <c r="O57" i="3"/>
  <c r="O59" i="3" s="1"/>
  <c r="O60" i="3" s="1"/>
  <c r="H23" i="2"/>
  <c r="I23" i="2" s="1"/>
  <c r="H27" i="2"/>
  <c r="I27" i="2" s="1"/>
  <c r="H21" i="2"/>
  <c r="J21" i="2" s="1"/>
  <c r="H17" i="2"/>
  <c r="I17" i="2" s="1"/>
  <c r="H12" i="2"/>
  <c r="I12" i="2" s="1"/>
  <c r="H28" i="2"/>
  <c r="J28" i="2" s="1"/>
  <c r="H24" i="2"/>
  <c r="I24" i="2" s="1"/>
  <c r="H22" i="2"/>
  <c r="I22" i="2" s="1"/>
  <c r="H11" i="2"/>
  <c r="I11" i="2" s="1"/>
  <c r="I29" i="2"/>
  <c r="J29" i="2"/>
  <c r="C4" i="3"/>
  <c r="C37" i="3" s="1"/>
  <c r="N63" i="3" s="1"/>
  <c r="P63" i="3"/>
  <c r="E50" i="3"/>
  <c r="E38" i="3"/>
  <c r="E42" i="3" s="1"/>
  <c r="O64" i="3"/>
  <c r="D51" i="3"/>
  <c r="M64" i="3"/>
  <c r="B51" i="3"/>
  <c r="H18" i="2"/>
  <c r="J18" i="2" s="1"/>
  <c r="H14" i="2"/>
  <c r="J14" i="2" s="1"/>
  <c r="H10" i="2"/>
  <c r="I10" i="2" s="1"/>
  <c r="H9" i="2"/>
  <c r="J9" i="2" s="1"/>
  <c r="H25" i="2"/>
  <c r="I25" i="2" s="1"/>
  <c r="H19" i="2"/>
  <c r="I19" i="2" s="1"/>
  <c r="H15" i="2"/>
  <c r="I15" i="2" s="1"/>
  <c r="H7" i="2"/>
  <c r="J7" i="2" s="1"/>
  <c r="H26" i="2"/>
  <c r="I26" i="2" s="1"/>
  <c r="H20" i="2"/>
  <c r="I20" i="2" s="1"/>
  <c r="H16" i="2"/>
  <c r="J16" i="2" s="1"/>
  <c r="H13" i="2"/>
  <c r="J13" i="2" s="1"/>
  <c r="H8" i="2"/>
  <c r="J8" i="2" s="1"/>
  <c r="J15" i="2" l="1"/>
  <c r="J10" i="2"/>
  <c r="J19" i="2"/>
  <c r="I16" i="2"/>
  <c r="M16" i="2" s="1"/>
  <c r="N16" i="2" s="1"/>
  <c r="I28" i="2"/>
  <c r="M28" i="2" s="1"/>
  <c r="N28" i="2" s="1"/>
  <c r="I14" i="2"/>
  <c r="M14" i="2" s="1"/>
  <c r="N14" i="2" s="1"/>
  <c r="J20" i="2"/>
  <c r="J22" i="2"/>
  <c r="J25" i="2"/>
  <c r="J17" i="2"/>
  <c r="I9" i="2"/>
  <c r="J24" i="2"/>
  <c r="I21" i="2"/>
  <c r="M20" i="2" s="1"/>
  <c r="N20" i="2" s="1"/>
  <c r="M61" i="3"/>
  <c r="M67" i="3" s="1"/>
  <c r="M68" i="3" s="1"/>
  <c r="J26" i="2"/>
  <c r="J11" i="2"/>
  <c r="J27" i="2"/>
  <c r="J23" i="2"/>
  <c r="I18" i="2"/>
  <c r="M18" i="2" s="1"/>
  <c r="N18" i="2" s="1"/>
  <c r="J12" i="2"/>
  <c r="N62" i="3"/>
  <c r="M23" i="2"/>
  <c r="N23" i="2" s="1"/>
  <c r="M22" i="2"/>
  <c r="N22" i="2" s="1"/>
  <c r="M26" i="2"/>
  <c r="N26" i="2" s="1"/>
  <c r="Q61" i="3"/>
  <c r="Q60" i="3"/>
  <c r="I13" i="2"/>
  <c r="I7" i="2"/>
  <c r="I8" i="2"/>
  <c r="R12" i="2" s="1"/>
  <c r="S12" i="2" s="1"/>
  <c r="O61" i="3"/>
  <c r="O66" i="3" s="1"/>
  <c r="P61" i="3"/>
  <c r="E39" i="3" s="1"/>
  <c r="C38" i="3"/>
  <c r="C42" i="3" s="1"/>
  <c r="C50" i="3"/>
  <c r="C52" i="3"/>
  <c r="C40" i="3"/>
  <c r="N67" i="3"/>
  <c r="N68" i="3" s="1"/>
  <c r="N66" i="3"/>
  <c r="E51" i="3"/>
  <c r="P64" i="3"/>
  <c r="M25" i="2"/>
  <c r="N25" i="2" s="1"/>
  <c r="M19" i="2"/>
  <c r="N19" i="2" s="1"/>
  <c r="M11" i="2"/>
  <c r="N11" i="2" s="1"/>
  <c r="M10" i="2"/>
  <c r="N10" i="2" s="1"/>
  <c r="M24" i="2"/>
  <c r="N24" i="2" s="1"/>
  <c r="P66" i="3" l="1"/>
  <c r="C51" i="3"/>
  <c r="M9" i="2"/>
  <c r="N9" i="2" s="1"/>
  <c r="R16" i="2"/>
  <c r="S16" i="2" s="1"/>
  <c r="M15" i="2"/>
  <c r="N15" i="2" s="1"/>
  <c r="B39" i="3"/>
  <c r="B40" i="3" s="1"/>
  <c r="B45" i="3" s="1"/>
  <c r="B44" i="3" s="1"/>
  <c r="M27" i="2"/>
  <c r="N27" i="2" s="1"/>
  <c r="M13" i="2"/>
  <c r="N13" i="2" s="1"/>
  <c r="M21" i="2"/>
  <c r="N21" i="2" s="1"/>
  <c r="M17" i="2"/>
  <c r="N17" i="2" s="1"/>
  <c r="M12" i="2"/>
  <c r="N12" i="2" s="1"/>
  <c r="R9" i="2"/>
  <c r="S9" i="2" s="1"/>
  <c r="R11" i="2"/>
  <c r="S11" i="2" s="1"/>
  <c r="O62" i="3"/>
  <c r="M62" i="3"/>
  <c r="M66" i="3"/>
  <c r="M70" i="3" s="1"/>
  <c r="N64" i="3"/>
  <c r="R10" i="2"/>
  <c r="S10" i="2" s="1"/>
  <c r="R8" i="2"/>
  <c r="S8" i="2" s="1"/>
  <c r="D39" i="3"/>
  <c r="D52" i="3" s="1"/>
  <c r="P62" i="3"/>
  <c r="F39" i="3"/>
  <c r="Q67" i="3"/>
  <c r="Q68" i="3" s="1"/>
  <c r="Q62" i="3"/>
  <c r="Q66" i="3"/>
  <c r="P4" i="2"/>
  <c r="Q4" i="2" s="1"/>
  <c r="R14" i="2"/>
  <c r="S14" i="2" s="1"/>
  <c r="M7" i="2"/>
  <c r="N7" i="2" s="1"/>
  <c r="M8" i="2"/>
  <c r="N8" i="2" s="1"/>
  <c r="R13" i="2"/>
  <c r="S13" i="2" s="1"/>
  <c r="C45" i="3"/>
  <c r="C44" i="3" s="1"/>
  <c r="P67" i="3"/>
  <c r="P68" i="3" s="1"/>
  <c r="P70" i="3" s="1"/>
  <c r="O67" i="3"/>
  <c r="O68" i="3" s="1"/>
  <c r="O70" i="3" s="1"/>
  <c r="B41" i="3"/>
  <c r="E52" i="3"/>
  <c r="E40" i="3"/>
  <c r="N70" i="3"/>
  <c r="N69" i="3"/>
  <c r="C53" i="3"/>
  <c r="C55" i="3" s="1"/>
  <c r="C56" i="3" s="1"/>
  <c r="C41" i="3"/>
  <c r="B52" i="3" l="1"/>
  <c r="D40" i="3"/>
  <c r="D45" i="3" s="1"/>
  <c r="D44" i="3" s="1"/>
  <c r="B53" i="3"/>
  <c r="M69" i="3"/>
  <c r="Q70" i="3"/>
  <c r="Q69" i="3"/>
  <c r="F40" i="3"/>
  <c r="F52" i="3"/>
  <c r="P69" i="3"/>
  <c r="O69" i="3"/>
  <c r="C54" i="3"/>
  <c r="C58" i="3" s="1"/>
  <c r="C59" i="3"/>
  <c r="D41" i="3"/>
  <c r="E53" i="3"/>
  <c r="E41" i="3"/>
  <c r="E45" i="3"/>
  <c r="E44" i="3" s="1"/>
  <c r="B55" i="3"/>
  <c r="B56" i="3" s="1"/>
  <c r="B54" i="3"/>
  <c r="B58" i="3" s="1"/>
  <c r="D53" i="3" l="1"/>
  <c r="F53" i="3"/>
  <c r="F41" i="3"/>
  <c r="F45" i="3"/>
  <c r="F44" i="3" s="1"/>
  <c r="B59" i="3"/>
  <c r="E55" i="3"/>
  <c r="E56" i="3" s="1"/>
  <c r="E54" i="3"/>
  <c r="E58" i="3" s="1"/>
  <c r="D55" i="3"/>
  <c r="D56" i="3" s="1"/>
  <c r="D54" i="3"/>
  <c r="D58" i="3" s="1"/>
  <c r="C13" i="1"/>
  <c r="D13" i="1" s="1"/>
  <c r="C14" i="1"/>
  <c r="D14" i="1" s="1"/>
  <c r="C15" i="1"/>
  <c r="D15" i="1" s="1"/>
  <c r="C16" i="1"/>
  <c r="D16" i="1" s="1"/>
  <c r="C12" i="1"/>
  <c r="B8" i="1"/>
  <c r="B4" i="1"/>
  <c r="D12" i="1" l="1"/>
  <c r="D17" i="1" s="1"/>
  <c r="C17" i="1"/>
  <c r="F55" i="3"/>
  <c r="F54" i="3"/>
  <c r="F58" i="3" s="1"/>
  <c r="D59" i="3"/>
  <c r="E59" i="3"/>
  <c r="G16" i="1"/>
  <c r="F16" i="1"/>
  <c r="H16" i="1" s="1"/>
  <c r="G14" i="1"/>
  <c r="F14" i="1"/>
  <c r="H14" i="1" s="1"/>
  <c r="F12" i="1"/>
  <c r="G12" i="1"/>
  <c r="F15" i="1"/>
  <c r="H15" i="1" s="1"/>
  <c r="G15" i="1"/>
  <c r="F13" i="1"/>
  <c r="H13" i="1" s="1"/>
  <c r="G13" i="1"/>
  <c r="H12" i="1" l="1"/>
  <c r="F17" i="1"/>
  <c r="G17" i="1"/>
  <c r="G54" i="1" s="1"/>
  <c r="H17" i="1"/>
  <c r="H54" i="1" s="1"/>
  <c r="F56" i="3"/>
  <c r="F5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</author>
  </authors>
  <commentList>
    <comment ref="E7" authorId="0" shapeId="0" xr:uid="{00000000-0006-0000-0B00-000001000000}">
      <text>
        <r>
          <rPr>
            <b/>
            <sz val="8"/>
            <color indexed="81"/>
            <rFont val="Tahoma"/>
            <family val="2"/>
            <charset val="204"/>
          </rPr>
          <t>1:</t>
        </r>
        <r>
          <rPr>
            <sz val="8"/>
            <color indexed="81"/>
            <rFont val="Tahoma"/>
            <family val="2"/>
            <charset val="204"/>
          </rPr>
          <t xml:space="preserve">
n зависит от Е</t>
        </r>
      </text>
    </comment>
    <comment ref="J7" authorId="0" shapeId="0" xr:uid="{00000000-0006-0000-0B00-000002000000}">
      <text>
        <r>
          <rPr>
            <b/>
            <sz val="8"/>
            <color indexed="81"/>
            <rFont val="Tahoma"/>
            <family val="2"/>
            <charset val="204"/>
          </rPr>
          <t>1:</t>
        </r>
        <r>
          <rPr>
            <sz val="8"/>
            <color indexed="81"/>
            <rFont val="Tahoma"/>
            <family val="2"/>
            <charset val="204"/>
          </rPr>
          <t xml:space="preserve">
n зависит от Е</t>
        </r>
      </text>
    </comment>
  </commentList>
</comments>
</file>

<file path=xl/sharedStrings.xml><?xml version="1.0" encoding="utf-8"?>
<sst xmlns="http://schemas.openxmlformats.org/spreadsheetml/2006/main" count="1459" uniqueCount="345">
  <si>
    <t>Мера</t>
  </si>
  <si>
    <t>Частота, МГц</t>
  </si>
  <si>
    <r>
      <t>С</t>
    </r>
    <r>
      <rPr>
        <vertAlign val="subscript"/>
        <sz val="11"/>
        <color theme="1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, м/с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</si>
  <si>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  <scheme val="minor"/>
      </rPr>
      <t>С</t>
    </r>
    <r>
      <rPr>
        <vertAlign val="subscript"/>
        <sz val="11"/>
        <color theme="1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, м/с</t>
    </r>
  </si>
  <si>
    <t>СКО           , м/с</t>
  </si>
  <si>
    <t xml:space="preserve">     , мм</t>
  </si>
  <si>
    <t>СКО             , мм</t>
  </si>
  <si>
    <t>СКО</t>
  </si>
  <si>
    <t xml:space="preserve">        , дБ/м</t>
  </si>
  <si>
    <t>ΔАдиф, дБ</t>
  </si>
  <si>
    <t xml:space="preserve">          , дБ/м</t>
  </si>
  <si>
    <t>Номер импульса</t>
  </si>
  <si>
    <t>Ui, мВ</t>
  </si>
  <si>
    <t>Ui/Ui+1</t>
  </si>
  <si>
    <t>Anm, дБ</t>
  </si>
  <si>
    <t>Anm исп, дБ</t>
  </si>
  <si>
    <t>αизм, дБ/м</t>
  </si>
  <si>
    <t>αисп, дБ/м</t>
  </si>
  <si>
    <t>n</t>
  </si>
  <si>
    <t>m</t>
  </si>
  <si>
    <t>Anm</t>
  </si>
  <si>
    <t>f, МГц</t>
  </si>
  <si>
    <t xml:space="preserve"> диф. поправка для затухания в дБ</t>
  </si>
  <si>
    <t>e (fin)</t>
  </si>
  <si>
    <r>
      <t>y</t>
    </r>
    <r>
      <rPr>
        <vertAlign val="superscript"/>
        <sz val="10"/>
        <rFont val="Arial Cyr"/>
        <charset val="204"/>
      </rPr>
      <t>(2n-1)</t>
    </r>
    <r>
      <rPr>
        <sz val="11"/>
        <color theme="1"/>
        <rFont val="Calibri"/>
        <family val="2"/>
        <charset val="204"/>
        <scheme val="minor"/>
      </rPr>
      <t>*exp</t>
    </r>
  </si>
  <si>
    <r>
      <t>y</t>
    </r>
    <r>
      <rPr>
        <vertAlign val="superscript"/>
        <sz val="10"/>
        <rFont val="Arial Cyr"/>
        <charset val="204"/>
      </rPr>
      <t>(2n-1)</t>
    </r>
  </si>
  <si>
    <t>arg(exp(kd</t>
  </si>
  <si>
    <t>1дпопр</t>
  </si>
  <si>
    <t>2дпопр</t>
  </si>
  <si>
    <t>Udif_n</t>
  </si>
  <si>
    <t>Abs(Udif</t>
  </si>
  <si>
    <t>arg(Udif</t>
  </si>
  <si>
    <t>Поправку можно подсчитать для любой пары УЗ импульсов</t>
  </si>
  <si>
    <t>d, мм</t>
  </si>
  <si>
    <t>a, мм</t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</si>
  <si>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, м/с</t>
    </r>
  </si>
  <si>
    <t>y</t>
  </si>
  <si>
    <t>k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</si>
  <si>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charset val="204"/>
        <scheme val="minor"/>
      </rPr>
      <t>Adif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</si>
  <si>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charset val="204"/>
        <scheme val="minor"/>
      </rPr>
      <t>Аdif, дБ</t>
    </r>
  </si>
  <si>
    <t>Ui/Ui+2</t>
  </si>
  <si>
    <t>Ui/Ui+3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</si>
  <si>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  <scheme val="minor"/>
      </rPr>
      <t>A13=</t>
    </r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  <scheme val="minor"/>
      </rPr>
      <t>A12+</t>
    </r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  <scheme val="minor"/>
      </rPr>
      <t>A23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</si>
  <si>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  <scheme val="minor"/>
      </rPr>
      <t>A14=</t>
    </r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  <scheme val="minor"/>
      </rPr>
      <t>A12+</t>
    </r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  <scheme val="minor"/>
      </rPr>
      <t>A23+</t>
    </r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  <scheme val="minor"/>
      </rPr>
      <t>A34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</si>
  <si>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  <scheme val="minor"/>
      </rPr>
      <t>A15=</t>
    </r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  <scheme val="minor"/>
      </rPr>
      <t>A12+</t>
    </r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  <scheme val="minor"/>
      </rPr>
      <t>A23+</t>
    </r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  <scheme val="minor"/>
      </rPr>
      <t>A34+</t>
    </r>
    <r>
      <rPr>
        <sz val="11"/>
        <color theme="1"/>
        <rFont val="Calibri"/>
        <family val="2"/>
        <charset val="204"/>
      </rPr>
      <t>ΔA45</t>
    </r>
  </si>
  <si>
    <t>m-n=1</t>
  </si>
  <si>
    <t>m-n=2</t>
  </si>
  <si>
    <t>m-n=3</t>
  </si>
  <si>
    <t>m-n=4</t>
  </si>
  <si>
    <t>Коэфф-т Стьюдента t(f;P)</t>
  </si>
  <si>
    <t>Интерполяция t(f;P)</t>
  </si>
  <si>
    <t xml:space="preserve"> t(f;P)</t>
  </si>
  <si>
    <t>f=n-1</t>
  </si>
  <si>
    <t>P=0,95</t>
  </si>
  <si>
    <t>P=0,99</t>
  </si>
  <si>
    <t>f1</t>
  </si>
  <si>
    <t>t(f1;P)</t>
  </si>
  <si>
    <t>f2</t>
  </si>
  <si>
    <t>t(f2;P)</t>
  </si>
  <si>
    <t>f</t>
  </si>
  <si>
    <t>t(f;P)</t>
  </si>
  <si>
    <t>Коэффициент k(Р)</t>
  </si>
  <si>
    <t>№ серии</t>
  </si>
  <si>
    <t>Р=0,95</t>
  </si>
  <si>
    <t>Р=0,99</t>
  </si>
  <si>
    <r>
      <rPr>
        <sz val="11"/>
        <rFont val="Calibri"/>
        <family val="2"/>
        <charset val="204"/>
      </rPr>
      <t>Anmi</t>
    </r>
    <r>
      <rPr>
        <sz val="10"/>
        <rFont val="Arial Cyr"/>
        <charset val="204"/>
      </rPr>
      <t>, дБ</t>
    </r>
  </si>
  <si>
    <t>∞</t>
  </si>
  <si>
    <t xml:space="preserve">         , дБ</t>
  </si>
  <si>
    <t>Эхо-импульсный метод</t>
  </si>
  <si>
    <r>
      <t>n</t>
    </r>
    <r>
      <rPr>
        <i/>
        <vertAlign val="subscript"/>
        <sz val="11"/>
        <color theme="1"/>
        <rFont val="Calibri"/>
        <family val="2"/>
        <charset val="204"/>
        <scheme val="minor"/>
      </rPr>
      <t>А</t>
    </r>
  </si>
  <si>
    <t>НСП</t>
  </si>
  <si>
    <t>Доверительные границы погрешности</t>
  </si>
  <si>
    <t>СКО              , дБ</t>
  </si>
  <si>
    <t>Толщина d, мм</t>
  </si>
  <si>
    <t>Диаметр, мм</t>
  </si>
  <si>
    <t>m-n</t>
  </si>
  <si>
    <t>Вход.данные</t>
  </si>
  <si>
    <t>Погр.диф.попр.</t>
  </si>
  <si>
    <r>
      <rPr>
        <sz val="11"/>
        <color theme="1"/>
        <rFont val="Calibri"/>
        <family val="2"/>
        <charset val="204"/>
      </rPr>
      <t>Δ(ΔА</t>
    </r>
    <r>
      <rPr>
        <sz val="11"/>
        <color theme="1"/>
        <rFont val="Calibri"/>
        <family val="2"/>
        <charset val="204"/>
        <scheme val="minor"/>
      </rPr>
      <t>диф), дБ</t>
    </r>
  </si>
  <si>
    <r>
      <t>D</t>
    </r>
    <r>
      <rPr>
        <sz val="11"/>
        <color theme="1"/>
        <rFont val="Calibri"/>
        <family val="2"/>
        <charset val="204"/>
        <scheme val="minor"/>
      </rPr>
      <t>Х, мм</t>
    </r>
  </si>
  <si>
    <r>
      <rPr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  <charset val="204"/>
        <scheme val="minor"/>
      </rPr>
      <t>изм</t>
    </r>
  </si>
  <si>
    <t>ΔD, мм</t>
  </si>
  <si>
    <t>Радиус электр.</t>
  </si>
  <si>
    <t>а, мм</t>
  </si>
  <si>
    <t>Аиспр, дБ</t>
  </si>
  <si>
    <t>Непаралл</t>
  </si>
  <si>
    <r>
      <t>D</t>
    </r>
    <r>
      <rPr>
        <sz val="11"/>
        <color theme="1"/>
        <rFont val="Calibri"/>
        <family val="2"/>
        <charset val="204"/>
        <scheme val="minor"/>
      </rPr>
      <t>d(A,B), мкм</t>
    </r>
  </si>
  <si>
    <r>
      <rPr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  <charset val="204"/>
        <scheme val="minor"/>
      </rPr>
      <t xml:space="preserve"> испр Дифр</t>
    </r>
  </si>
  <si>
    <r>
      <t>j</t>
    </r>
    <r>
      <rPr>
        <sz val="11"/>
        <color theme="1"/>
        <rFont val="Calibri"/>
        <family val="2"/>
        <charset val="204"/>
        <scheme val="minor"/>
      </rPr>
      <t>, рад</t>
    </r>
  </si>
  <si>
    <t xml:space="preserve">               , дБ/м</t>
  </si>
  <si>
    <t>ТКС</t>
  </si>
  <si>
    <t>kt, дБ/м/град</t>
  </si>
  <si>
    <t>Погр.ТКС</t>
  </si>
  <si>
    <r>
      <t>D</t>
    </r>
    <r>
      <rPr>
        <sz val="10"/>
        <rFont val="Arial"/>
        <family val="2"/>
        <charset val="204"/>
      </rPr>
      <t>kt, дБ/м/град</t>
    </r>
  </si>
  <si>
    <t>СКО               , дБ/м</t>
  </si>
  <si>
    <t>Погр.темп</t>
  </si>
  <si>
    <r>
      <t>D</t>
    </r>
    <r>
      <rPr>
        <sz val="10"/>
        <rFont val="Arial"/>
        <family val="2"/>
        <charset val="204"/>
      </rPr>
      <t>t, град.C</t>
    </r>
  </si>
  <si>
    <t>Шероховатость</t>
  </si>
  <si>
    <t>Ra, мкм</t>
  </si>
  <si>
    <t>НСП     , дБ/м</t>
  </si>
  <si>
    <t>Погр.толщины</t>
  </si>
  <si>
    <t>Δd, мкм</t>
  </si>
  <si>
    <r>
      <t>Q</t>
    </r>
    <r>
      <rPr>
        <vertAlign val="subscript"/>
        <sz val="11"/>
        <color theme="1"/>
        <rFont val="Times New Roman"/>
        <family val="1"/>
        <charset val="204"/>
      </rPr>
      <t>0</t>
    </r>
    <r>
      <rPr>
        <sz val="11"/>
        <color theme="1"/>
        <rFont val="Times New Roman"/>
        <family val="1"/>
        <charset val="204"/>
      </rPr>
      <t>/</t>
    </r>
    <r>
      <rPr>
        <sz val="11"/>
        <color theme="1"/>
        <rFont val="Calibri"/>
        <family val="2"/>
        <charset val="204"/>
        <scheme val="minor"/>
      </rPr>
      <t>S</t>
    </r>
    <r>
      <rPr>
        <vertAlign val="subscript"/>
        <sz val="11"/>
        <color theme="1"/>
        <rFont val="Calibri"/>
        <family val="2"/>
        <charset val="204"/>
        <scheme val="minor"/>
      </rPr>
      <t>0F</t>
    </r>
    <r>
      <rPr>
        <sz val="11"/>
        <color theme="1"/>
        <rFont val="Calibri"/>
        <family val="2"/>
        <charset val="204"/>
        <scheme val="minor"/>
      </rPr>
      <t>(</t>
    </r>
    <r>
      <rPr>
        <sz val="11"/>
        <color theme="1"/>
        <rFont val="Symbol"/>
        <family val="1"/>
        <charset val="2"/>
      </rPr>
      <t>a</t>
    </r>
    <r>
      <rPr>
        <vertAlign val="subscript"/>
        <sz val="11"/>
        <color theme="1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)</t>
    </r>
  </si>
  <si>
    <t>Θi в дБ</t>
  </si>
  <si>
    <r>
      <t>Q1</t>
    </r>
    <r>
      <rPr>
        <sz val="10"/>
        <rFont val="Arial"/>
        <family val="2"/>
        <charset val="204"/>
      </rPr>
      <t xml:space="preserve"> Дифр.поправка</t>
    </r>
  </si>
  <si>
    <r>
      <t>Q2</t>
    </r>
    <r>
      <rPr>
        <sz val="10"/>
        <rFont val="Arial"/>
        <family val="2"/>
        <charset val="204"/>
      </rPr>
      <t xml:space="preserve"> Несоосность</t>
    </r>
  </si>
  <si>
    <r>
      <rPr>
        <sz val="10"/>
        <rFont val="Symbol"/>
        <family val="1"/>
        <charset val="2"/>
      </rPr>
      <t>Q</t>
    </r>
    <r>
      <rPr>
        <sz val="10"/>
        <rFont val="Arial"/>
        <family val="2"/>
        <charset val="204"/>
      </rPr>
      <t>3 Различие Ø</t>
    </r>
  </si>
  <si>
    <t xml:space="preserve">           , дБ/м</t>
  </si>
  <si>
    <t>Погрешность</t>
  </si>
  <si>
    <r>
      <t xml:space="preserve">Q4 </t>
    </r>
    <r>
      <rPr>
        <sz val="10"/>
        <rFont val="Calibri"/>
        <family val="2"/>
        <charset val="204"/>
        <scheme val="minor"/>
      </rPr>
      <t>Н</t>
    </r>
    <r>
      <rPr>
        <sz val="10"/>
        <rFont val="Arial"/>
        <family val="2"/>
        <charset val="204"/>
      </rPr>
      <t>епараллельн.</t>
    </r>
  </si>
  <si>
    <t>установки</t>
  </si>
  <si>
    <r>
      <t xml:space="preserve">Q5 </t>
    </r>
    <r>
      <rPr>
        <sz val="10"/>
        <rFont val="Arial"/>
        <family val="2"/>
        <charset val="204"/>
      </rPr>
      <t>ТКС</t>
    </r>
  </si>
  <si>
    <r>
      <t xml:space="preserve">     , дБ/(м</t>
    </r>
    <r>
      <rPr>
        <sz val="10"/>
        <rFont val="Calibri"/>
        <family val="2"/>
        <charset val="204"/>
      </rPr>
      <t>·</t>
    </r>
    <r>
      <rPr>
        <sz val="10"/>
        <rFont val="Arial Cyr"/>
        <charset val="204"/>
      </rPr>
      <t>К)</t>
    </r>
  </si>
  <si>
    <r>
      <t xml:space="preserve">Q6 </t>
    </r>
    <r>
      <rPr>
        <sz val="10"/>
        <rFont val="Arial"/>
        <family val="2"/>
        <charset val="204"/>
      </rPr>
      <t>Шероховатость</t>
    </r>
  </si>
  <si>
    <r>
      <rPr>
        <i/>
        <sz val="10"/>
        <rFont val="Arial Cyr"/>
        <charset val="204"/>
      </rPr>
      <t>t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sz val="10"/>
        <rFont val="Calibri"/>
        <family val="2"/>
        <charset val="204"/>
      </rPr>
      <t>°</t>
    </r>
    <r>
      <rPr>
        <sz val="10"/>
        <rFont val="Arial Cyr"/>
        <charset val="204"/>
      </rPr>
      <t>С</t>
    </r>
  </si>
  <si>
    <t xml:space="preserve">                     , дБ/м</t>
  </si>
  <si>
    <r>
      <t xml:space="preserve">Q8 </t>
    </r>
    <r>
      <rPr>
        <sz val="10"/>
        <rFont val="Arial"/>
        <family val="2"/>
        <charset val="204"/>
      </rPr>
      <t>Измер.толщины</t>
    </r>
  </si>
  <si>
    <t>(Σθi^2)^1/2, дБ</t>
  </si>
  <si>
    <t>k(P)</t>
  </si>
  <si>
    <r>
      <rPr>
        <sz val="10"/>
        <rFont val="Symbol"/>
        <family val="1"/>
        <charset val="2"/>
      </rPr>
      <t>Q</t>
    </r>
    <r>
      <rPr>
        <sz val="10"/>
        <rFont val="Arial"/>
        <family val="2"/>
        <charset val="204"/>
      </rPr>
      <t>(P), дБ</t>
    </r>
  </si>
  <si>
    <t xml:space="preserve">              , дБ/м</t>
  </si>
  <si>
    <r>
      <t xml:space="preserve">Отн. </t>
    </r>
    <r>
      <rPr>
        <sz val="10"/>
        <rFont val="Symbol"/>
        <family val="1"/>
        <charset val="2"/>
      </rPr>
      <t>Q</t>
    </r>
    <r>
      <rPr>
        <sz val="10"/>
        <rFont val="Arial"/>
        <family val="2"/>
        <charset val="204"/>
      </rPr>
      <t>(P)</t>
    </r>
  </si>
  <si>
    <r>
      <rPr>
        <sz val="10"/>
        <rFont val="Symbol"/>
        <family val="1"/>
        <charset val="2"/>
      </rPr>
      <t>Q</t>
    </r>
    <r>
      <rPr>
        <sz val="10"/>
        <rFont val="Arial"/>
        <family val="2"/>
        <charset val="204"/>
      </rPr>
      <t>(P), дБ/м</t>
    </r>
  </si>
  <si>
    <t xml:space="preserve">             , дБ/м</t>
  </si>
  <si>
    <r>
      <t>СКО S(</t>
    </r>
    <r>
      <rPr>
        <sz val="10"/>
        <rFont val="Calibri"/>
        <family val="2"/>
        <charset val="204"/>
      </rPr>
      <t>α</t>
    </r>
    <r>
      <rPr>
        <sz val="10"/>
        <rFont val="Arial"/>
        <family val="2"/>
        <charset val="204"/>
      </rPr>
      <t>), дБ/м</t>
    </r>
  </si>
  <si>
    <r>
      <t>Отн.СКО S(</t>
    </r>
    <r>
      <rPr>
        <sz val="10"/>
        <rFont val="Calibri"/>
        <family val="2"/>
        <charset val="204"/>
      </rPr>
      <t>α</t>
    </r>
    <r>
      <rPr>
        <sz val="10"/>
        <rFont val="Arial"/>
        <family val="2"/>
        <charset val="204"/>
      </rPr>
      <t>)</t>
    </r>
  </si>
  <si>
    <t>t(0,95;6)</t>
  </si>
  <si>
    <t>KΣ</t>
  </si>
  <si>
    <t>SΣ, дБ/м</t>
  </si>
  <si>
    <t xml:space="preserve">      , м/с</t>
  </si>
  <si>
    <t>Отн. SΣ</t>
  </si>
  <si>
    <r>
      <t>D</t>
    </r>
    <r>
      <rPr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  <charset val="204"/>
        <scheme val="minor"/>
      </rPr>
      <t>, дБ/м</t>
    </r>
  </si>
  <si>
    <r>
      <t>d</t>
    </r>
    <r>
      <rPr>
        <sz val="11"/>
        <color theme="1"/>
        <rFont val="Calibri"/>
        <family val="2"/>
        <charset val="204"/>
      </rPr>
      <t>α</t>
    </r>
  </si>
  <si>
    <r>
      <rPr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  <charset val="204"/>
        <scheme val="minor"/>
      </rPr>
      <t>испр, дБ/м</t>
    </r>
  </si>
  <si>
    <t>Погр.изм.ослабл.</t>
  </si>
  <si>
    <t>δA</t>
  </si>
  <si>
    <t>Несоосность</t>
  </si>
  <si>
    <r>
      <t xml:space="preserve">Различие </t>
    </r>
    <r>
      <rPr>
        <sz val="11"/>
        <color theme="1"/>
        <rFont val="Calibri"/>
        <family val="2"/>
        <charset val="204"/>
      </rPr>
      <t>Ø эл.</t>
    </r>
  </si>
  <si>
    <t>n-m</t>
  </si>
  <si>
    <t>2-3</t>
  </si>
  <si>
    <t>2-4</t>
  </si>
  <si>
    <t>3-5</t>
  </si>
  <si>
    <t>2-5</t>
  </si>
  <si>
    <t>2-6</t>
  </si>
  <si>
    <t>3-4</t>
  </si>
  <si>
    <t>4-5</t>
  </si>
  <si>
    <t>3-6</t>
  </si>
  <si>
    <t>4-7</t>
  </si>
  <si>
    <t>3-7</t>
  </si>
  <si>
    <t>4-8</t>
  </si>
  <si>
    <t>5-9</t>
  </si>
  <si>
    <t>1-3</t>
  </si>
  <si>
    <t>1-2</t>
  </si>
  <si>
    <t>МСЗ-L-10-Д16Т Алюминиевый сплав Д16Т</t>
  </si>
  <si>
    <t>№ импульса</t>
  </si>
  <si>
    <t>Ui,мВ</t>
  </si>
  <si>
    <t>Среднее  Ui, мВ</t>
  </si>
  <si>
    <t>5-6</t>
  </si>
  <si>
    <t xml:space="preserve"> Среднее Anm, дБ</t>
  </si>
  <si>
    <t>4-6</t>
  </si>
  <si>
    <t>Импульсы n-m</t>
  </si>
  <si>
    <t>Среднее  Ui, мВ (дубль)</t>
  </si>
  <si>
    <t>Среднее для каждого № импульса</t>
  </si>
  <si>
    <t>Среднее по Аnmi</t>
  </si>
  <si>
    <t>Аnm по средним Ui</t>
  </si>
  <si>
    <t xml:space="preserve"> Среднее Anm/(m-n), дБ</t>
  </si>
  <si>
    <t>1-4</t>
  </si>
  <si>
    <t>1-5</t>
  </si>
  <si>
    <t>МCЗ-L-10-Д16Т Алюминиевый сплав Д16Т</t>
  </si>
  <si>
    <t>Anmi, дБ</t>
  </si>
  <si>
    <r>
      <t>Q7</t>
    </r>
    <r>
      <rPr>
        <sz val="10"/>
        <rFont val="Arial"/>
        <family val="2"/>
        <charset val="204"/>
      </rPr>
      <t xml:space="preserve"> Измер. ослабл.</t>
    </r>
  </si>
  <si>
    <t>Сред.Ui, мВ</t>
  </si>
  <si>
    <t>Диф.поправка</t>
  </si>
  <si>
    <r>
      <rPr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  <charset val="204"/>
        <scheme val="minor"/>
      </rPr>
      <t xml:space="preserve"> испр Дифр+Темп.</t>
    </r>
  </si>
  <si>
    <r>
      <t xml:space="preserve">Отн. для </t>
    </r>
    <r>
      <rPr>
        <sz val="11"/>
        <color theme="1"/>
        <rFont val="Calibri"/>
        <family val="2"/>
        <charset val="204"/>
      </rPr>
      <t>αиспр</t>
    </r>
  </si>
  <si>
    <t>Температурная</t>
  </si>
  <si>
    <r>
      <t>поправка  t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 xml:space="preserve">=22 </t>
    </r>
    <r>
      <rPr>
        <sz val="11"/>
        <color theme="1"/>
        <rFont val="Calibri"/>
        <family val="2"/>
        <charset val="204"/>
      </rPr>
      <t>°C</t>
    </r>
  </si>
  <si>
    <t>Диф.поправка = 0</t>
  </si>
  <si>
    <t>Поправку не вводим</t>
  </si>
  <si>
    <t>δA=0,04*(1-10^(M36/20))/5</t>
  </si>
  <si>
    <r>
      <rPr>
        <sz val="11"/>
        <color theme="1"/>
        <rFont val="Calibri"/>
        <family val="2"/>
        <charset val="204"/>
      </rPr>
      <t>Θ7=</t>
    </r>
    <r>
      <rPr>
        <sz val="11"/>
        <color theme="1"/>
        <rFont val="Calibri"/>
        <family val="2"/>
        <charset val="204"/>
        <scheme val="minor"/>
      </rPr>
      <t>20*LOG10((1+2*M48))</t>
    </r>
  </si>
  <si>
    <t>5 МГц</t>
  </si>
  <si>
    <t>Среднее 2017</t>
  </si>
  <si>
    <t>Среднее падение сигнала</t>
  </si>
  <si>
    <t>U2017/U2019</t>
  </si>
  <si>
    <t>Для n/(n+1)</t>
  </si>
  <si>
    <t>Среднее Anm по все парам соседних импульсов</t>
  </si>
  <si>
    <t>Для n/(n+2)</t>
  </si>
  <si>
    <t>Среднее Anm через один импульс</t>
  </si>
  <si>
    <t>Для n/(n+3)</t>
  </si>
  <si>
    <t>Среднее Anm через два импульса</t>
  </si>
  <si>
    <t>Для n/(n+4)</t>
  </si>
  <si>
    <t>Среднее Anm через три импульса</t>
  </si>
  <si>
    <t>2017 год</t>
  </si>
  <si>
    <t>Отношение средних Anm</t>
  </si>
  <si>
    <t>10 МГц</t>
  </si>
  <si>
    <t>16 МГц</t>
  </si>
  <si>
    <t>20 МГц</t>
  </si>
  <si>
    <t>Выводы</t>
  </si>
  <si>
    <r>
      <t xml:space="preserve">1. </t>
    </r>
    <r>
      <rPr>
        <b/>
        <sz val="11"/>
        <color theme="1"/>
        <rFont val="Calibri"/>
        <family val="2"/>
        <charset val="204"/>
        <scheme val="minor"/>
      </rPr>
      <t>Среднее затухание</t>
    </r>
    <r>
      <rPr>
        <sz val="11"/>
        <color theme="1"/>
        <rFont val="Calibri"/>
        <family val="2"/>
        <charset val="204"/>
        <scheme val="minor"/>
      </rPr>
      <t xml:space="preserve"> сигнала Anm все же не зависит от выбора пар импульсов (соседние, через один и т.д.)</t>
    </r>
  </si>
  <si>
    <t>2. На любой частоте отношение средних Anm кратно парам импульсов и расстоянию, т.е. 2, 3, 4</t>
  </si>
  <si>
    <t>3. Среднее снижение (падение) сигнала в 2019 г. уменьшается с частотой, т.е. затухание другое, меньше</t>
  </si>
  <si>
    <t>Среднее падение сигнала относительно 2017</t>
  </si>
  <si>
    <t>Среднее</t>
  </si>
  <si>
    <t>Среднее средних</t>
  </si>
  <si>
    <t>Таблица средних средних</t>
  </si>
  <si>
    <t>Явно выпадает 6 импульс</t>
  </si>
  <si>
    <t>Без 6 импульса</t>
  </si>
  <si>
    <t>Всё гораздо ровнее</t>
  </si>
  <si>
    <t>20 МГц корр.</t>
  </si>
  <si>
    <t>Добавим 32 МГц из 2017</t>
  </si>
  <si>
    <r>
      <t xml:space="preserve">4. </t>
    </r>
    <r>
      <rPr>
        <b/>
        <sz val="11"/>
        <color theme="1"/>
        <rFont val="Calibri"/>
        <family val="2"/>
        <charset val="204"/>
        <scheme val="minor"/>
      </rPr>
      <t>Как показывает обработка сигнала - см. Лист Обработка - никакой дифпоправки не надо</t>
    </r>
    <r>
      <rPr>
        <sz val="11"/>
        <color theme="1"/>
        <rFont val="Calibri"/>
        <family val="2"/>
        <charset val="204"/>
        <scheme val="minor"/>
      </rPr>
      <t>: затухание при 0 Гц равно 0</t>
    </r>
  </si>
  <si>
    <t>β, дБ</t>
  </si>
  <si>
    <t>Тренд α , дБ/м</t>
  </si>
  <si>
    <t>Частота АСЛ рабочая, МГц</t>
  </si>
  <si>
    <t>Измерения резонансным методом Тест-СПб 2019</t>
  </si>
  <si>
    <t>Результаты 2017</t>
  </si>
  <si>
    <t>Результаты 2017 А среднее</t>
  </si>
  <si>
    <t>2019 - берем только -3 дб</t>
  </si>
  <si>
    <t>y=0,7373x^1,8532</t>
  </si>
  <si>
    <t>х=f, МГц</t>
  </si>
  <si>
    <t>Степенной ряд</t>
  </si>
  <si>
    <t>Резонансный</t>
  </si>
  <si>
    <t>1-6</t>
  </si>
  <si>
    <t>МЕТОДИКА</t>
  </si>
  <si>
    <r>
      <t xml:space="preserve">1. Берем среднее средних Anm, приведенных на двойной проход УЗ волны через образец - </t>
    </r>
    <r>
      <rPr>
        <u/>
        <sz val="11"/>
        <color theme="1"/>
        <rFont val="Calibri"/>
        <family val="2"/>
        <charset val="204"/>
        <scheme val="minor"/>
      </rPr>
      <t>На Листах 2,5-20 МГц выделено зеленым цветом</t>
    </r>
  </si>
  <si>
    <t>2. Это среднее приведённое затухание в дБ на двойной толщине образца 2d - как видно из таблиц, все значения, измеренные для соседних импульсов, или через один и т.д. ВЫРАВНИВАЮТСЯ!</t>
  </si>
  <si>
    <t>3. Берём наиболее ТИПИЧНОЕ значение Anm. Остаётся разделить среднее приведенное Anm на 2d, и получить коэффициент затухания в дБ/м</t>
  </si>
  <si>
    <t>4. Остаётся вопрос о ПРАВИЛЬНОЙ дифракционной поправке</t>
  </si>
  <si>
    <t>5. Для этого возьмём дифпоравку на данной частоте для крайних импульсов (например, 1-6). И разделим на разность путей n-го и m-го импульсов. Т.е. тоже приведем к 2d. Поправка будет сразу в дБ/м</t>
  </si>
  <si>
    <t>Испр. α(дБ/м)=Измер. α(дБ/м)-ΔАдиф(дБ/м)</t>
  </si>
  <si>
    <t>Испр. α(дБ/м)=(среднее Аnm(дБ)-ΔА*диф(дБ))/(2*d)</t>
  </si>
  <si>
    <t>Затухание на 2d</t>
  </si>
  <si>
    <t>ΔА*диф=ΔAдиф(nm)/(m-n) - как бы средняя ДП на 2d</t>
  </si>
  <si>
    <t xml:space="preserve"> Среднее средних Anm, дБ</t>
  </si>
  <si>
    <t>Изм. α, дБ/м</t>
  </si>
  <si>
    <t>С(3-5), м/с</t>
  </si>
  <si>
    <t>n импульс</t>
  </si>
  <si>
    <t>m импульс</t>
  </si>
  <si>
    <t>2(m-n)*d, м</t>
  </si>
  <si>
    <t>ΔАдиф(nm), дБ</t>
  </si>
  <si>
    <t>ΔАдиф(nm), дБ/м</t>
  </si>
  <si>
    <t>Испр. α, дБ/м</t>
  </si>
  <si>
    <t>Привед. ΔА*диф, дБ</t>
  </si>
  <si>
    <t>Испр. Anm, дБ</t>
  </si>
  <si>
    <t>1</t>
  </si>
  <si>
    <t>Здесь выбраны ТИПИЧНЫЕ средние средних</t>
  </si>
  <si>
    <t>Расстояние, которое проходит m-й импульс</t>
  </si>
  <si>
    <t>х=(2*m-1)*d</t>
  </si>
  <si>
    <t>№ m импульса</t>
  </si>
  <si>
    <t>х, м</t>
  </si>
  <si>
    <t>Разность путей m и n импульсов равна 2(m-n)*d</t>
  </si>
  <si>
    <t>6-й импульс явно выбивается</t>
  </si>
  <si>
    <t>Возможно, на нем сидит</t>
  </si>
  <si>
    <t>импульсная наводка от БП</t>
  </si>
  <si>
    <t>Явно выбивается</t>
  </si>
  <si>
    <t>Пересчёт</t>
  </si>
  <si>
    <t>CKO</t>
  </si>
  <si>
    <t>Отн. СКО</t>
  </si>
  <si>
    <t>х=(2*n-1)*d</t>
  </si>
  <si>
    <t>Из графика</t>
  </si>
  <si>
    <t xml:space="preserve">α, 1/м </t>
  </si>
  <si>
    <t>Коэфф.</t>
  </si>
  <si>
    <t xml:space="preserve">α, дБ/м </t>
  </si>
  <si>
    <t>Расчеты с усреднением - получаем то же самое</t>
  </si>
  <si>
    <t>Ближняя зона, мм</t>
  </si>
  <si>
    <t>Вычисляем по сути тренд</t>
  </si>
  <si>
    <t>zб=a^2/(c/f)</t>
  </si>
  <si>
    <t>Диф.поправка для 1-6  импульса, дБ</t>
  </si>
  <si>
    <t>Поправка в дБ/м</t>
  </si>
  <si>
    <t>ΔAдиф(дБ)/(x6-x1)</t>
  </si>
  <si>
    <r>
      <t xml:space="preserve">Исправленное </t>
    </r>
    <r>
      <rPr>
        <sz val="11"/>
        <color theme="1"/>
        <rFont val="Calibri"/>
        <family val="2"/>
        <charset val="204"/>
      </rPr>
      <t>α</t>
    </r>
  </si>
  <si>
    <t>ΔAдиф(дБ)/(x5-x1)</t>
  </si>
  <si>
    <t>Диф.поправка для 1-5  импульса, дБ</t>
  </si>
  <si>
    <t>An,n+1, дБ</t>
  </si>
  <si>
    <t>среднее  Средних средних</t>
  </si>
  <si>
    <t>Подсчитаем СКО для групп измерений</t>
  </si>
  <si>
    <t>L</t>
  </si>
  <si>
    <t>N=n*L</t>
  </si>
  <si>
    <t>Ст. откл. Sj</t>
  </si>
  <si>
    <r>
      <t>Ст. откл. S</t>
    </r>
    <r>
      <rPr>
        <vertAlign val="subscript"/>
        <sz val="11"/>
        <color theme="1"/>
        <rFont val="Calibri"/>
        <family val="2"/>
        <charset val="204"/>
        <scheme val="minor"/>
      </rPr>
      <t>A</t>
    </r>
  </si>
  <si>
    <t>7 групп по 4 измерения в группе</t>
  </si>
  <si>
    <t>Среднее в группе</t>
  </si>
  <si>
    <t>Sj^2</t>
  </si>
  <si>
    <t>Было столько. Явно нужно 2,17. Опечатка</t>
  </si>
  <si>
    <t>Что-то много по амплитуде</t>
  </si>
  <si>
    <t>Cp. Anm, дБ</t>
  </si>
  <si>
    <t>Замена выпадающих</t>
  </si>
  <si>
    <t>Max</t>
  </si>
  <si>
    <t>Min</t>
  </si>
  <si>
    <t>Для погрешности берем данные для импульсов 1-3, 2-4 и т.д. (через один), наиболее близкие к среднему</t>
  </si>
  <si>
    <t>Номера импульсов берем условно 2-4</t>
  </si>
  <si>
    <t>Простая обработка</t>
  </si>
  <si>
    <t>Для погрешности берем средние данные для импульсов 1-3, 2-4 и т.д. (через один), т.е. среднее значение на проход 2d, умноженное на 2</t>
  </si>
  <si>
    <t>Заменяем</t>
  </si>
  <si>
    <t>Диф.поправка - берем среднюю</t>
  </si>
  <si>
    <t>Расчет СКО для групп</t>
  </si>
  <si>
    <t>n - числдо измерений в группе</t>
  </si>
  <si>
    <t>L - число групп измерений</t>
  </si>
  <si>
    <t>CKO, дБ</t>
  </si>
  <si>
    <t>СКО берем для групп</t>
  </si>
  <si>
    <t>Лист Обработка для m-n=2</t>
  </si>
  <si>
    <t xml:space="preserve">      , дБ/м</t>
  </si>
  <si>
    <t>Без 6-го импульса</t>
  </si>
  <si>
    <t>Диф.поправка для 1-2  импульса, дБ</t>
  </si>
  <si>
    <t>Лист Простая обработка. По средним Аnm</t>
  </si>
  <si>
    <t>Результат Простой обработки, дБ/м</t>
  </si>
  <si>
    <t>ΔAдиф(дБ)/(x2-x1)</t>
  </si>
  <si>
    <t>Внимание! Для поправки в дБ/м нужно делить на "правильное" расстояние (х5-х1)</t>
  </si>
  <si>
    <t>Внимание! Для поправки в дБ/м нужно делить на "правильное" расстояние (х2-х1)</t>
  </si>
  <si>
    <t>Разность путей импульсов - по крайним импульсам - на 5 МГц : 6 и 1</t>
  </si>
  <si>
    <t>y=c*exp(-b*x)</t>
  </si>
  <si>
    <t>b = ln( y1 / y2 ) / ( x2 - x1 )</t>
  </si>
  <si>
    <t>Вычисление экспоненты по 2-м точкам</t>
  </si>
  <si>
    <t>b</t>
  </si>
  <si>
    <t>xi*lnUi</t>
  </si>
  <si>
    <t>lnUi</t>
  </si>
  <si>
    <t>-b = (n*∑(xi*lnyi) -  ∑xi*∑lnyi)/(n*∑xi^2 - (∑xi)^2)</t>
  </si>
  <si>
    <r>
      <t xml:space="preserve">Сумма </t>
    </r>
    <r>
      <rPr>
        <sz val="11"/>
        <color theme="1"/>
        <rFont val="Calibri"/>
        <family val="2"/>
        <charset val="204"/>
      </rPr>
      <t>→</t>
    </r>
  </si>
  <si>
    <t>Вывод: Эксель считает по этой формуле.</t>
  </si>
  <si>
    <t>График не нужен, но полезен для общего анализа</t>
  </si>
  <si>
    <t>В общем случае вычисление экспоненты:</t>
  </si>
  <si>
    <t>Сумма →</t>
  </si>
  <si>
    <t>Расчет для ближней зоны 78 мм - 1-4 импульсы</t>
  </si>
  <si>
    <t>Диф.поправка для 1-4  имп, дБ</t>
  </si>
  <si>
    <t>ΔAдиф(дБ)/(x4-x1)</t>
  </si>
  <si>
    <t>Результаты по экспоненте</t>
  </si>
  <si>
    <t>1-4 импульс</t>
  </si>
  <si>
    <t>2017 г.</t>
  </si>
  <si>
    <t>Вывод: Лучше взять данные по 6 импульсам</t>
  </si>
  <si>
    <t>d</t>
  </si>
  <si>
    <t>a</t>
  </si>
  <si>
    <t>ka</t>
  </si>
  <si>
    <t>C</t>
  </si>
  <si>
    <t>получилось с диф. Поправкой</t>
  </si>
  <si>
    <t>A_1</t>
  </si>
  <si>
    <t>A_2</t>
  </si>
  <si>
    <t>A_nm</t>
  </si>
  <si>
    <t>A_nm, дБ</t>
  </si>
  <si>
    <t>ξ_n</t>
  </si>
  <si>
    <t>ξ_m</t>
  </si>
  <si>
    <t>difrhelp (n)</t>
  </si>
  <si>
    <t>difrhelp(m)</t>
  </si>
  <si>
    <t>диф поправка, дБ</t>
  </si>
  <si>
    <t>alpha, дБ/м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</si>
</sst>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0.00000"/>
    <numFmt numFmtId="168" formatCode="0.000000"/>
  </numFmts>
  <fonts count="3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name val="Arial Cyr"/>
      <charset val="204"/>
    </font>
    <font>
      <vertAlign val="sub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i/>
      <sz val="10"/>
      <name val="Arial Cyr"/>
      <charset val="204"/>
    </font>
    <font>
      <vertAlign val="superscript"/>
      <sz val="10"/>
      <name val="Arial Cyr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11"/>
      <color theme="1"/>
      <name val="Symbol"/>
      <family val="1"/>
      <charset val="2"/>
    </font>
    <font>
      <sz val="14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i/>
      <vertAlign val="subscript"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i/>
      <sz val="14"/>
      <color theme="1"/>
      <name val="Times New Roman"/>
      <family val="1"/>
      <charset val="204"/>
    </font>
    <font>
      <sz val="10"/>
      <name val="Symbol"/>
      <family val="1"/>
      <charset val="2"/>
    </font>
    <font>
      <sz val="11"/>
      <name val="Calibri"/>
      <family val="2"/>
      <charset val="204"/>
      <scheme val="minor"/>
    </font>
    <font>
      <vertAlign val="subscript"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0"/>
      <name val="Calibri"/>
      <family val="2"/>
      <charset val="204"/>
      <scheme val="minor"/>
    </font>
    <font>
      <sz val="10"/>
      <name val="Calibri"/>
      <family val="2"/>
      <charset val="204"/>
    </font>
    <font>
      <b/>
      <sz val="11"/>
      <color rgb="FF0070C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b/>
      <sz val="10"/>
      <color rgb="FFFF0000"/>
      <name val="Arial Cyr"/>
      <charset val="204"/>
    </font>
    <font>
      <b/>
      <sz val="11"/>
      <name val="Calibri"/>
      <family val="2"/>
      <charset val="204"/>
      <scheme val="minor"/>
    </font>
    <font>
      <b/>
      <sz val="11"/>
      <color theme="9" tint="-0.499984740745262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b/>
      <sz val="10.5"/>
      <color rgb="FF666666"/>
      <name val="Trebuchet MS"/>
      <family val="2"/>
      <charset val="204"/>
    </font>
    <font>
      <sz val="10.5"/>
      <color rgb="FF666666"/>
      <name val="Trebuchet MS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07">
    <xf numFmtId="0" fontId="0" fillId="0" borderId="0" xfId="0"/>
    <xf numFmtId="0" fontId="0" fillId="0" borderId="1" xfId="0" applyBorder="1"/>
    <xf numFmtId="0" fontId="2" fillId="0" borderId="2" xfId="0" applyFont="1" applyBorder="1" applyAlignment="1"/>
    <xf numFmtId="0" fontId="2" fillId="0" borderId="3" xfId="0" applyFont="1" applyBorder="1" applyAlignment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0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11" xfId="0" applyBorder="1"/>
    <xf numFmtId="0" fontId="5" fillId="0" borderId="12" xfId="0" applyFont="1" applyBorder="1"/>
    <xf numFmtId="0" fontId="0" fillId="0" borderId="14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10" xfId="0" applyFont="1" applyBorder="1" applyAlignment="1">
      <alignment horizontal="left"/>
    </xf>
    <xf numFmtId="164" fontId="2" fillId="0" borderId="0" xfId="0" applyNumberFormat="1" applyFont="1" applyFill="1" applyBorder="1" applyAlignment="1">
      <alignment horizontal="center"/>
    </xf>
    <xf numFmtId="0" fontId="0" fillId="0" borderId="10" xfId="0" applyBorder="1" applyAlignment="1">
      <alignment horizontal="left"/>
    </xf>
    <xf numFmtId="0" fontId="5" fillId="0" borderId="1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1" fontId="5" fillId="0" borderId="10" xfId="0" applyNumberFormat="1" applyFont="1" applyBorder="1" applyAlignment="1">
      <alignment horizontal="center"/>
    </xf>
    <xf numFmtId="11" fontId="5" fillId="0" borderId="0" xfId="0" applyNumberFormat="1" applyFont="1" applyBorder="1" applyAlignment="1">
      <alignment horizontal="center"/>
    </xf>
    <xf numFmtId="0" fontId="5" fillId="0" borderId="12" xfId="0" applyFont="1" applyBorder="1" applyAlignment="1">
      <alignment horizontal="left"/>
    </xf>
    <xf numFmtId="0" fontId="5" fillId="0" borderId="13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5" fillId="0" borderId="11" xfId="0" applyFont="1" applyBorder="1"/>
    <xf numFmtId="0" fontId="0" fillId="0" borderId="9" xfId="0" applyBorder="1"/>
    <xf numFmtId="0" fontId="0" fillId="0" borderId="12" xfId="0" applyBorder="1"/>
    <xf numFmtId="0" fontId="0" fillId="0" borderId="12" xfId="0" applyFill="1" applyBorder="1" applyAlignment="1">
      <alignment horizontal="center"/>
    </xf>
    <xf numFmtId="0" fontId="0" fillId="0" borderId="14" xfId="0" applyBorder="1"/>
    <xf numFmtId="0" fontId="0" fillId="0" borderId="3" xfId="0" applyFill="1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1" xfId="0" applyFill="1" applyBorder="1" applyAlignment="1">
      <alignment horizontal="left"/>
    </xf>
    <xf numFmtId="165" fontId="0" fillId="0" borderId="11" xfId="0" applyNumberFormat="1" applyBorder="1"/>
    <xf numFmtId="2" fontId="0" fillId="0" borderId="11" xfId="0" applyNumberFormat="1" applyBorder="1"/>
    <xf numFmtId="0" fontId="5" fillId="0" borderId="11" xfId="0" applyFont="1" applyFill="1" applyBorder="1" applyAlignment="1">
      <alignment horizontal="left"/>
    </xf>
    <xf numFmtId="0" fontId="0" fillId="0" borderId="15" xfId="0" applyBorder="1"/>
    <xf numFmtId="0" fontId="0" fillId="0" borderId="13" xfId="0" applyBorder="1"/>
    <xf numFmtId="0" fontId="4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5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165" fontId="0" fillId="0" borderId="0" xfId="0" applyNumberFormat="1"/>
    <xf numFmtId="11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2" xfId="0" applyBorder="1" applyAlignment="1">
      <alignment horizontal="left"/>
    </xf>
    <xf numFmtId="0" fontId="1" fillId="0" borderId="4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" fillId="0" borderId="14" xfId="0" applyFont="1" applyBorder="1"/>
    <xf numFmtId="164" fontId="1" fillId="0" borderId="0" xfId="0" applyNumberFormat="1" applyFont="1"/>
    <xf numFmtId="165" fontId="1" fillId="0" borderId="0" xfId="0" applyNumberFormat="1" applyFont="1"/>
    <xf numFmtId="164" fontId="0" fillId="0" borderId="0" xfId="0" applyNumberFormat="1" applyBorder="1"/>
    <xf numFmtId="2" fontId="0" fillId="0" borderId="0" xfId="0" applyNumberFormat="1" applyBorder="1"/>
    <xf numFmtId="2" fontId="0" fillId="0" borderId="9" xfId="0" applyNumberFormat="1" applyBorder="1"/>
    <xf numFmtId="164" fontId="0" fillId="0" borderId="13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0" fontId="0" fillId="0" borderId="0" xfId="0" applyBorder="1" applyAlignment="1">
      <alignment horizontal="center"/>
    </xf>
    <xf numFmtId="0" fontId="5" fillId="0" borderId="0" xfId="0" applyFont="1" applyBorder="1"/>
    <xf numFmtId="165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165" fontId="0" fillId="0" borderId="0" xfId="0" applyNumberFormat="1" applyBorder="1"/>
    <xf numFmtId="2" fontId="1" fillId="0" borderId="0" xfId="0" applyNumberFormat="1" applyFont="1" applyBorder="1"/>
    <xf numFmtId="0" fontId="4" fillId="0" borderId="0" xfId="0" applyFont="1" applyBorder="1"/>
    <xf numFmtId="2" fontId="0" fillId="0" borderId="0" xfId="0" applyNumberFormat="1" applyFill="1" applyBorder="1"/>
    <xf numFmtId="2" fontId="1" fillId="0" borderId="0" xfId="0" applyNumberFormat="1" applyFont="1" applyFill="1" applyBorder="1"/>
    <xf numFmtId="0" fontId="0" fillId="0" borderId="1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11" fontId="5" fillId="0" borderId="11" xfId="0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5" xfId="0" applyBorder="1"/>
    <xf numFmtId="49" fontId="0" fillId="0" borderId="5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0" fillId="0" borderId="3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16" xfId="0" applyNumberFormat="1" applyBorder="1"/>
    <xf numFmtId="165" fontId="2" fillId="0" borderId="11" xfId="0" applyNumberFormat="1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12" xfId="0" applyFill="1" applyBorder="1"/>
    <xf numFmtId="0" fontId="5" fillId="0" borderId="6" xfId="0" applyFont="1" applyBorder="1" applyAlignment="1">
      <alignment horizontal="left"/>
    </xf>
    <xf numFmtId="1" fontId="4" fillId="0" borderId="4" xfId="0" applyNumberFormat="1" applyFont="1" applyBorder="1" applyAlignment="1">
      <alignment horizontal="center" vertical="top" wrapText="1"/>
    </xf>
    <xf numFmtId="166" fontId="4" fillId="0" borderId="4" xfId="0" applyNumberFormat="1" applyFont="1" applyBorder="1" applyAlignment="1">
      <alignment horizontal="center" vertical="top" wrapText="1"/>
    </xf>
    <xf numFmtId="1" fontId="0" fillId="0" borderId="8" xfId="0" applyNumberForma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2" fontId="4" fillId="0" borderId="10" xfId="0" applyNumberFormat="1" applyFont="1" applyBorder="1" applyAlignment="1">
      <alignment horizontal="center" vertical="top" wrapText="1"/>
    </xf>
    <xf numFmtId="2" fontId="4" fillId="0" borderId="11" xfId="0" applyNumberFormat="1" applyFont="1" applyBorder="1" applyAlignment="1">
      <alignment horizontal="center" vertical="top" wrapText="1"/>
    </xf>
    <xf numFmtId="2" fontId="4" fillId="0" borderId="0" xfId="0" applyNumberFormat="1" applyFont="1" applyBorder="1" applyAlignment="1">
      <alignment horizontal="center" vertical="top" wrapText="1"/>
    </xf>
    <xf numFmtId="1" fontId="4" fillId="0" borderId="11" xfId="0" applyNumberFormat="1" applyFont="1" applyBorder="1" applyAlignment="1">
      <alignment horizontal="center" vertical="top" wrapText="1"/>
    </xf>
    <xf numFmtId="166" fontId="4" fillId="0" borderId="11" xfId="0" applyNumberFormat="1" applyFont="1" applyBorder="1" applyAlignment="1">
      <alignment horizontal="center" vertical="top" wrapText="1"/>
    </xf>
    <xf numFmtId="2" fontId="2" fillId="0" borderId="0" xfId="0" applyNumberFormat="1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0" fontId="5" fillId="0" borderId="10" xfId="0" applyFont="1" applyBorder="1"/>
    <xf numFmtId="166" fontId="4" fillId="0" borderId="0" xfId="0" applyNumberFormat="1" applyFont="1" applyBorder="1" applyAlignment="1">
      <alignment horizontal="center" vertical="top" wrapText="1"/>
    </xf>
    <xf numFmtId="165" fontId="2" fillId="0" borderId="14" xfId="0" applyNumberFormat="1" applyFont="1" applyBorder="1" applyAlignment="1">
      <alignment horizontal="center"/>
    </xf>
    <xf numFmtId="165" fontId="2" fillId="0" borderId="12" xfId="0" applyNumberFormat="1" applyFont="1" applyBorder="1" applyAlignment="1">
      <alignment horizontal="center"/>
    </xf>
    <xf numFmtId="0" fontId="5" fillId="0" borderId="0" xfId="0" applyNumberFormat="1" applyFont="1" applyFill="1" applyBorder="1" applyAlignment="1">
      <alignment horizontal="left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16" fillId="0" borderId="0" xfId="0" applyFont="1"/>
    <xf numFmtId="0" fontId="12" fillId="0" borderId="0" xfId="0" applyFont="1" applyBorder="1" applyAlignment="1">
      <alignment vertical="top" wrapText="1"/>
    </xf>
    <xf numFmtId="0" fontId="2" fillId="0" borderId="14" xfId="0" applyFont="1" applyFill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0" fontId="0" fillId="0" borderId="5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13" fillId="0" borderId="0" xfId="0" applyFont="1"/>
    <xf numFmtId="0" fontId="1" fillId="0" borderId="0" xfId="0" applyFont="1"/>
    <xf numFmtId="2" fontId="5" fillId="0" borderId="11" xfId="0" applyNumberFormat="1" applyFont="1" applyBorder="1" applyAlignment="1">
      <alignment horizontal="center"/>
    </xf>
    <xf numFmtId="167" fontId="5" fillId="0" borderId="11" xfId="0" applyNumberFormat="1" applyFont="1" applyBorder="1" applyAlignment="1">
      <alignment horizontal="center"/>
    </xf>
    <xf numFmtId="0" fontId="5" fillId="0" borderId="15" xfId="0" applyFont="1" applyBorder="1"/>
    <xf numFmtId="165" fontId="5" fillId="0" borderId="12" xfId="0" applyNumberFormat="1" applyFont="1" applyBorder="1" applyAlignment="1">
      <alignment horizontal="center"/>
    </xf>
    <xf numFmtId="11" fontId="5" fillId="0" borderId="12" xfId="0" applyNumberFormat="1" applyFont="1" applyBorder="1" applyAlignment="1">
      <alignment horizontal="center"/>
    </xf>
    <xf numFmtId="164" fontId="2" fillId="0" borderId="4" xfId="0" applyNumberFormat="1" applyFont="1" applyBorder="1"/>
    <xf numFmtId="0" fontId="2" fillId="0" borderId="0" xfId="0" applyFont="1"/>
    <xf numFmtId="165" fontId="2" fillId="0" borderId="12" xfId="0" applyNumberFormat="1" applyFont="1" applyBorder="1"/>
    <xf numFmtId="0" fontId="0" fillId="0" borderId="4" xfId="0" applyFill="1" applyBorder="1" applyAlignment="1">
      <alignment horizontal="left"/>
    </xf>
    <xf numFmtId="0" fontId="5" fillId="0" borderId="12" xfId="0" applyFont="1" applyFill="1" applyBorder="1" applyAlignment="1">
      <alignment horizontal="left"/>
    </xf>
    <xf numFmtId="0" fontId="0" fillId="0" borderId="12" xfId="0" applyBorder="1" applyAlignment="1">
      <alignment horizontal="center"/>
    </xf>
    <xf numFmtId="0" fontId="17" fillId="0" borderId="11" xfId="0" applyFont="1" applyBorder="1"/>
    <xf numFmtId="0" fontId="0" fillId="0" borderId="11" xfId="0" applyFill="1" applyBorder="1"/>
    <xf numFmtId="0" fontId="0" fillId="0" borderId="11" xfId="0" applyFont="1" applyFill="1" applyBorder="1"/>
    <xf numFmtId="0" fontId="18" fillId="0" borderId="1" xfId="0" applyFont="1" applyBorder="1"/>
    <xf numFmtId="2" fontId="18" fillId="0" borderId="5" xfId="0" applyNumberFormat="1" applyFont="1" applyBorder="1" applyAlignment="1">
      <alignment horizontal="center"/>
    </xf>
    <xf numFmtId="166" fontId="18" fillId="0" borderId="1" xfId="0" applyNumberFormat="1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5" fillId="0" borderId="4" xfId="0" applyFont="1" applyBorder="1"/>
    <xf numFmtId="2" fontId="2" fillId="0" borderId="9" xfId="0" applyNumberFormat="1" applyFont="1" applyBorder="1" applyAlignment="1">
      <alignment horizontal="center"/>
    </xf>
    <xf numFmtId="2" fontId="2" fillId="0" borderId="11" xfId="0" applyNumberFormat="1" applyFont="1" applyBorder="1"/>
    <xf numFmtId="11" fontId="0" fillId="0" borderId="11" xfId="0" applyNumberFormat="1" applyBorder="1"/>
    <xf numFmtId="0" fontId="0" fillId="0" borderId="11" xfId="0" applyBorder="1" applyAlignment="1">
      <alignment horizontal="left"/>
    </xf>
    <xf numFmtId="0" fontId="6" fillId="0" borderId="11" xfId="0" applyFont="1" applyBorder="1"/>
    <xf numFmtId="0" fontId="18" fillId="0" borderId="11" xfId="0" applyFont="1" applyFill="1" applyBorder="1"/>
    <xf numFmtId="0" fontId="4" fillId="0" borderId="9" xfId="0" applyFont="1" applyBorder="1"/>
    <xf numFmtId="0" fontId="5" fillId="0" borderId="11" xfId="0" applyFont="1" applyFill="1" applyBorder="1"/>
    <xf numFmtId="165" fontId="5" fillId="0" borderId="11" xfId="0" applyNumberFormat="1" applyFont="1" applyBorder="1" applyAlignment="1">
      <alignment horizontal="center"/>
    </xf>
    <xf numFmtId="0" fontId="4" fillId="0" borderId="12" xfId="0" applyFont="1" applyBorder="1"/>
    <xf numFmtId="0" fontId="11" fillId="0" borderId="14" xfId="0" applyFont="1" applyBorder="1" applyAlignment="1">
      <alignment horizontal="left"/>
    </xf>
    <xf numFmtId="166" fontId="5" fillId="0" borderId="12" xfId="0" applyNumberFormat="1" applyFont="1" applyBorder="1" applyAlignment="1">
      <alignment horizontal="center"/>
    </xf>
    <xf numFmtId="0" fontId="17" fillId="0" borderId="4" xfId="0" applyFont="1" applyBorder="1"/>
    <xf numFmtId="0" fontId="21" fillId="0" borderId="0" xfId="0" applyFont="1"/>
    <xf numFmtId="0" fontId="17" fillId="0" borderId="12" xfId="0" applyFont="1" applyBorder="1"/>
    <xf numFmtId="165" fontId="18" fillId="0" borderId="12" xfId="0" applyNumberFormat="1" applyFont="1" applyBorder="1"/>
    <xf numFmtId="2" fontId="2" fillId="0" borderId="4" xfId="0" applyNumberFormat="1" applyFont="1" applyBorder="1" applyAlignment="1">
      <alignment horizontal="center"/>
    </xf>
    <xf numFmtId="2" fontId="2" fillId="0" borderId="4" xfId="0" applyNumberFormat="1" applyFont="1" applyBorder="1"/>
    <xf numFmtId="0" fontId="0" fillId="0" borderId="1" xfId="0" applyFill="1" applyBorder="1"/>
    <xf numFmtId="165" fontId="0" fillId="0" borderId="1" xfId="0" applyNumberFormat="1" applyBorder="1"/>
    <xf numFmtId="165" fontId="0" fillId="0" borderId="12" xfId="0" applyNumberFormat="1" applyBorder="1"/>
    <xf numFmtId="0" fontId="5" fillId="0" borderId="4" xfId="0" applyFont="1" applyBorder="1" applyAlignment="1"/>
    <xf numFmtId="2" fontId="5" fillId="0" borderId="4" xfId="0" applyNumberFormat="1" applyFont="1" applyBorder="1" applyAlignment="1">
      <alignment horizontal="center"/>
    </xf>
    <xf numFmtId="0" fontId="6" fillId="0" borderId="12" xfId="0" applyFont="1" applyBorder="1"/>
    <xf numFmtId="0" fontId="5" fillId="0" borderId="12" xfId="0" applyFont="1" applyBorder="1" applyAlignment="1"/>
    <xf numFmtId="0" fontId="5" fillId="0" borderId="11" xfId="0" applyFont="1" applyBorder="1" applyAlignment="1"/>
    <xf numFmtId="0" fontId="5" fillId="0" borderId="11" xfId="0" applyFont="1" applyFill="1" applyBorder="1" applyAlignment="1"/>
    <xf numFmtId="1" fontId="5" fillId="0" borderId="11" xfId="0" applyNumberFormat="1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65" fontId="0" fillId="0" borderId="15" xfId="0" applyNumberFormat="1" applyBorder="1"/>
    <xf numFmtId="0" fontId="5" fillId="0" borderId="12" xfId="0" applyFont="1" applyFill="1" applyBorder="1" applyAlignment="1"/>
    <xf numFmtId="165" fontId="2" fillId="0" borderId="12" xfId="0" applyNumberFormat="1" applyFont="1" applyFill="1" applyBorder="1"/>
    <xf numFmtId="2" fontId="1" fillId="0" borderId="1" xfId="0" applyNumberFormat="1" applyFont="1" applyBorder="1"/>
    <xf numFmtId="0" fontId="4" fillId="0" borderId="0" xfId="0" applyFont="1" applyFill="1" applyBorder="1"/>
    <xf numFmtId="0" fontId="17" fillId="0" borderId="14" xfId="0" applyFont="1" applyBorder="1"/>
    <xf numFmtId="0" fontId="0" fillId="0" borderId="0" xfId="0" applyFill="1" applyBorder="1"/>
    <xf numFmtId="0" fontId="5" fillId="0" borderId="0" xfId="0" applyFont="1" applyFill="1" applyBorder="1" applyAlignment="1"/>
    <xf numFmtId="11" fontId="0" fillId="0" borderId="0" xfId="0" applyNumberForma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/>
    <xf numFmtId="0" fontId="1" fillId="0" borderId="0" xfId="0" applyFont="1" applyBorder="1"/>
    <xf numFmtId="12" fontId="0" fillId="0" borderId="0" xfId="0" applyNumberFormat="1" applyBorder="1"/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 applyFill="1"/>
    <xf numFmtId="166" fontId="0" fillId="0" borderId="9" xfId="0" applyNumberFormat="1" applyBorder="1" applyAlignment="1">
      <alignment horizontal="center"/>
    </xf>
    <xf numFmtId="0" fontId="1" fillId="0" borderId="0" xfId="0" applyFont="1" applyFill="1"/>
    <xf numFmtId="2" fontId="2" fillId="0" borderId="0" xfId="0" applyNumberFormat="1" applyFont="1" applyBorder="1"/>
    <xf numFmtId="164" fontId="2" fillId="0" borderId="0" xfId="0" applyNumberFormat="1" applyFont="1" applyBorder="1"/>
    <xf numFmtId="165" fontId="2" fillId="0" borderId="0" xfId="0" applyNumberFormat="1" applyFont="1" applyBorder="1"/>
    <xf numFmtId="165" fontId="18" fillId="0" borderId="0" xfId="0" applyNumberFormat="1" applyFont="1" applyBorder="1"/>
    <xf numFmtId="165" fontId="2" fillId="0" borderId="0" xfId="0" applyNumberFormat="1" applyFont="1" applyFill="1" applyBorder="1"/>
    <xf numFmtId="165" fontId="0" fillId="0" borderId="11" xfId="0" applyNumberFormat="1" applyFill="1" applyBorder="1"/>
    <xf numFmtId="165" fontId="0" fillId="0" borderId="0" xfId="0" applyNumberFormat="1" applyFill="1" applyBorder="1"/>
    <xf numFmtId="0" fontId="17" fillId="0" borderId="11" xfId="0" applyFont="1" applyBorder="1" applyAlignment="1">
      <alignment vertical="center"/>
    </xf>
    <xf numFmtId="0" fontId="0" fillId="0" borderId="9" xfId="0" applyFill="1" applyBorder="1"/>
    <xf numFmtId="0" fontId="5" fillId="0" borderId="0" xfId="0" applyFont="1" applyFill="1" applyBorder="1"/>
    <xf numFmtId="11" fontId="0" fillId="0" borderId="0" xfId="0" applyNumberFormat="1" applyFill="1" applyBorder="1"/>
    <xf numFmtId="2" fontId="2" fillId="0" borderId="0" xfId="0" applyNumberFormat="1" applyFont="1" applyFill="1" applyBorder="1"/>
    <xf numFmtId="0" fontId="1" fillId="0" borderId="0" xfId="0" applyFont="1" applyFill="1" applyBorder="1"/>
    <xf numFmtId="0" fontId="2" fillId="0" borderId="0" xfId="0" applyFont="1" applyFill="1" applyBorder="1" applyAlignment="1"/>
    <xf numFmtId="164" fontId="2" fillId="0" borderId="0" xfId="0" applyNumberFormat="1" applyFont="1" applyFill="1" applyBorder="1"/>
    <xf numFmtId="165" fontId="0" fillId="0" borderId="9" xfId="0" applyNumberFormat="1" applyFill="1" applyBorder="1"/>
    <xf numFmtId="165" fontId="0" fillId="0" borderId="15" xfId="0" applyNumberFormat="1" applyFill="1" applyBorder="1"/>
    <xf numFmtId="165" fontId="0" fillId="0" borderId="12" xfId="0" applyNumberFormat="1" applyFill="1" applyBorder="1"/>
    <xf numFmtId="0" fontId="1" fillId="0" borderId="3" xfId="0" applyFont="1" applyBorder="1"/>
    <xf numFmtId="164" fontId="2" fillId="0" borderId="8" xfId="0" applyNumberFormat="1" applyFont="1" applyBorder="1"/>
    <xf numFmtId="0" fontId="5" fillId="0" borderId="9" xfId="0" applyFont="1" applyBorder="1"/>
    <xf numFmtId="165" fontId="2" fillId="0" borderId="14" xfId="0" applyNumberFormat="1" applyFont="1" applyBorder="1"/>
    <xf numFmtId="11" fontId="0" fillId="0" borderId="9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18" fillId="0" borderId="14" xfId="0" applyNumberFormat="1" applyFont="1" applyBorder="1"/>
    <xf numFmtId="2" fontId="2" fillId="0" borderId="9" xfId="0" applyNumberFormat="1" applyFont="1" applyBorder="1"/>
    <xf numFmtId="165" fontId="2" fillId="0" borderId="9" xfId="0" applyNumberFormat="1" applyFont="1" applyBorder="1"/>
    <xf numFmtId="165" fontId="2" fillId="0" borderId="14" xfId="0" applyNumberFormat="1" applyFont="1" applyFill="1" applyBorder="1"/>
    <xf numFmtId="2" fontId="2" fillId="0" borderId="8" xfId="0" applyNumberFormat="1" applyFont="1" applyBorder="1"/>
    <xf numFmtId="2" fontId="1" fillId="0" borderId="14" xfId="0" applyNumberFormat="1" applyFont="1" applyBorder="1"/>
    <xf numFmtId="2" fontId="5" fillId="0" borderId="11" xfId="0" applyNumberFormat="1" applyFont="1" applyBorder="1"/>
    <xf numFmtId="49" fontId="0" fillId="0" borderId="0" xfId="0" applyNumberFormat="1"/>
    <xf numFmtId="2" fontId="0" fillId="2" borderId="0" xfId="0" applyNumberFormat="1" applyFill="1" applyBorder="1"/>
    <xf numFmtId="49" fontId="0" fillId="2" borderId="0" xfId="0" applyNumberFormat="1" applyFill="1"/>
    <xf numFmtId="2" fontId="0" fillId="0" borderId="2" xfId="0" applyNumberFormat="1" applyBorder="1"/>
    <xf numFmtId="2" fontId="0" fillId="0" borderId="3" xfId="0" applyNumberFormat="1" applyBorder="1"/>
    <xf numFmtId="0" fontId="0" fillId="0" borderId="4" xfId="0" applyFont="1" applyFill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24" fillId="0" borderId="0" xfId="0" applyFont="1"/>
    <xf numFmtId="164" fontId="24" fillId="0" borderId="0" xfId="0" applyNumberFormat="1" applyFont="1"/>
    <xf numFmtId="164" fontId="25" fillId="0" borderId="0" xfId="0" applyNumberFormat="1" applyFont="1"/>
    <xf numFmtId="167" fontId="2" fillId="0" borderId="1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0" fillId="0" borderId="0" xfId="0" applyNumberFormat="1" applyFill="1" applyBorder="1"/>
    <xf numFmtId="2" fontId="0" fillId="0" borderId="9" xfId="0" applyNumberFormat="1" applyFill="1" applyBorder="1"/>
    <xf numFmtId="164" fontId="0" fillId="0" borderId="13" xfId="0" applyNumberFormat="1" applyFill="1" applyBorder="1"/>
    <xf numFmtId="2" fontId="0" fillId="0" borderId="13" xfId="0" applyNumberFormat="1" applyFill="1" applyBorder="1"/>
    <xf numFmtId="2" fontId="0" fillId="0" borderId="14" xfId="0" applyNumberFormat="1" applyFill="1" applyBorder="1"/>
    <xf numFmtId="2" fontId="0" fillId="2" borderId="13" xfId="0" applyNumberFormat="1" applyFill="1" applyBorder="1"/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 applyAlignment="1">
      <alignment horizontal="right"/>
    </xf>
    <xf numFmtId="0" fontId="0" fillId="0" borderId="11" xfId="0" applyBorder="1" applyAlignment="1">
      <alignment horizontal="right"/>
    </xf>
    <xf numFmtId="2" fontId="0" fillId="2" borderId="5" xfId="0" applyNumberFormat="1" applyFill="1" applyBorder="1"/>
    <xf numFmtId="2" fontId="0" fillId="0" borderId="1" xfId="0" applyNumberFormat="1" applyBorder="1"/>
    <xf numFmtId="2" fontId="0" fillId="2" borderId="14" xfId="0" applyNumberFormat="1" applyFill="1" applyBorder="1"/>
    <xf numFmtId="2" fontId="0" fillId="2" borderId="3" xfId="0" applyNumberFormat="1" applyFill="1" applyBorder="1"/>
    <xf numFmtId="0" fontId="1" fillId="0" borderId="1" xfId="0" applyFont="1" applyBorder="1"/>
    <xf numFmtId="2" fontId="0" fillId="0" borderId="12" xfId="0" applyNumberFormat="1" applyBorder="1"/>
    <xf numFmtId="49" fontId="0" fillId="0" borderId="1" xfId="0" applyNumberFormat="1" applyBorder="1"/>
    <xf numFmtId="2" fontId="0" fillId="2" borderId="12" xfId="0" applyNumberFormat="1" applyFill="1" applyBorder="1"/>
    <xf numFmtId="2" fontId="0" fillId="2" borderId="1" xfId="0" applyNumberFormat="1" applyFill="1" applyBorder="1"/>
    <xf numFmtId="49" fontId="0" fillId="0" borderId="7" xfId="0" applyNumberFormat="1" applyBorder="1"/>
    <xf numFmtId="0" fontId="0" fillId="0" borderId="0" xfId="0" applyBorder="1" applyAlignment="1">
      <alignment horizontal="right"/>
    </xf>
    <xf numFmtId="49" fontId="0" fillId="0" borderId="0" xfId="0" applyNumberFormat="1" applyBorder="1"/>
    <xf numFmtId="0" fontId="0" fillId="0" borderId="6" xfId="0" applyBorder="1" applyAlignment="1">
      <alignment horizontal="right"/>
    </xf>
    <xf numFmtId="0" fontId="0" fillId="0" borderId="0" xfId="0" applyNumberFormat="1"/>
    <xf numFmtId="0" fontId="4" fillId="0" borderId="4" xfId="0" applyFont="1" applyFill="1" applyBorder="1" applyAlignment="1">
      <alignment horizontal="right"/>
    </xf>
    <xf numFmtId="165" fontId="0" fillId="0" borderId="5" xfId="0" applyNumberFormat="1" applyBorder="1"/>
    <xf numFmtId="2" fontId="0" fillId="2" borderId="9" xfId="0" applyNumberFormat="1" applyFill="1" applyBorder="1"/>
    <xf numFmtId="49" fontId="0" fillId="0" borderId="9" xfId="0" applyNumberFormat="1" applyBorder="1"/>
    <xf numFmtId="2" fontId="0" fillId="0" borderId="7" xfId="0" applyNumberFormat="1" applyBorder="1"/>
    <xf numFmtId="49" fontId="0" fillId="0" borderId="12" xfId="0" applyNumberFormat="1" applyBorder="1"/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2" fontId="18" fillId="3" borderId="1" xfId="0" applyNumberFormat="1" applyFont="1" applyFill="1" applyBorder="1" applyAlignment="1">
      <alignment horizontal="center"/>
    </xf>
    <xf numFmtId="2" fontId="18" fillId="3" borderId="2" xfId="0" applyNumberFormat="1" applyFont="1" applyFill="1" applyBorder="1" applyAlignment="1">
      <alignment horizontal="center"/>
    </xf>
    <xf numFmtId="2" fontId="18" fillId="3" borderId="5" xfId="0" applyNumberFormat="1" applyFont="1" applyFill="1" applyBorder="1" applyAlignment="1">
      <alignment horizontal="center"/>
    </xf>
    <xf numFmtId="165" fontId="0" fillId="3" borderId="11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6" fillId="0" borderId="0" xfId="0" applyFont="1" applyFill="1"/>
    <xf numFmtId="0" fontId="27" fillId="0" borderId="0" xfId="0" applyFont="1" applyFill="1"/>
    <xf numFmtId="165" fontId="0" fillId="0" borderId="4" xfId="0" applyNumberFormat="1" applyFill="1" applyBorder="1"/>
    <xf numFmtId="0" fontId="0" fillId="0" borderId="12" xfId="0" applyFill="1" applyBorder="1" applyAlignment="1">
      <alignment horizontal="left"/>
    </xf>
    <xf numFmtId="0" fontId="0" fillId="4" borderId="0" xfId="0" applyFill="1"/>
    <xf numFmtId="49" fontId="0" fillId="5" borderId="1" xfId="0" applyNumberFormat="1" applyFill="1" applyBorder="1"/>
    <xf numFmtId="2" fontId="0" fillId="5" borderId="11" xfId="0" applyNumberFormat="1" applyFill="1" applyBorder="1"/>
    <xf numFmtId="49" fontId="0" fillId="5" borderId="2" xfId="0" applyNumberFormat="1" applyFill="1" applyBorder="1"/>
    <xf numFmtId="2" fontId="0" fillId="5" borderId="0" xfId="0" applyNumberFormat="1" applyFill="1" applyBorder="1"/>
    <xf numFmtId="2" fontId="0" fillId="5" borderId="13" xfId="0" applyNumberFormat="1" applyFill="1" applyBorder="1"/>
    <xf numFmtId="2" fontId="4" fillId="5" borderId="6" xfId="0" applyNumberFormat="1" applyFont="1" applyFill="1" applyBorder="1" applyAlignment="1">
      <alignment horizontal="center" vertical="top" wrapText="1"/>
    </xf>
    <xf numFmtId="2" fontId="4" fillId="5" borderId="4" xfId="0" applyNumberFormat="1" applyFont="1" applyFill="1" applyBorder="1" applyAlignment="1">
      <alignment horizontal="center" vertical="top" wrapText="1"/>
    </xf>
    <xf numFmtId="2" fontId="4" fillId="5" borderId="7" xfId="0" applyNumberFormat="1" applyFont="1" applyFill="1" applyBorder="1" applyAlignment="1">
      <alignment horizontal="center" vertical="top" wrapText="1"/>
    </xf>
    <xf numFmtId="2" fontId="4" fillId="5" borderId="10" xfId="0" applyNumberFormat="1" applyFont="1" applyFill="1" applyBorder="1" applyAlignment="1">
      <alignment horizontal="center" vertical="top" wrapText="1"/>
    </xf>
    <xf numFmtId="2" fontId="4" fillId="5" borderId="11" xfId="0" applyNumberFormat="1" applyFont="1" applyFill="1" applyBorder="1" applyAlignment="1">
      <alignment horizontal="center" vertical="top" wrapText="1"/>
    </xf>
    <xf numFmtId="2" fontId="4" fillId="5" borderId="0" xfId="0" applyNumberFormat="1" applyFont="1" applyFill="1" applyBorder="1" applyAlignment="1">
      <alignment horizontal="center" vertical="top" wrapText="1"/>
    </xf>
    <xf numFmtId="2" fontId="5" fillId="0" borderId="0" xfId="0" applyNumberFormat="1" applyFont="1" applyBorder="1" applyAlignment="1">
      <alignment horizontal="center"/>
    </xf>
    <xf numFmtId="0" fontId="0" fillId="6" borderId="0" xfId="0" applyFill="1"/>
    <xf numFmtId="165" fontId="0" fillId="6" borderId="17" xfId="0" applyNumberFormat="1" applyFill="1" applyBorder="1"/>
    <xf numFmtId="2" fontId="0" fillId="0" borderId="6" xfId="0" applyNumberFormat="1" applyBorder="1"/>
    <xf numFmtId="2" fontId="0" fillId="0" borderId="4" xfId="0" applyNumberFormat="1" applyBorder="1"/>
    <xf numFmtId="2" fontId="0" fillId="0" borderId="8" xfId="0" applyNumberFormat="1" applyBorder="1"/>
    <xf numFmtId="2" fontId="0" fillId="0" borderId="10" xfId="0" applyNumberFormat="1" applyBorder="1"/>
    <xf numFmtId="0" fontId="0" fillId="7" borderId="0" xfId="0" applyFill="1"/>
    <xf numFmtId="2" fontId="0" fillId="7" borderId="1" xfId="0" applyNumberFormat="1" applyFill="1" applyBorder="1"/>
    <xf numFmtId="2" fontId="0" fillId="8" borderId="3" xfId="0" applyNumberFormat="1" applyFill="1" applyBorder="1"/>
    <xf numFmtId="2" fontId="0" fillId="8" borderId="1" xfId="0" applyNumberFormat="1" applyFill="1" applyBorder="1"/>
    <xf numFmtId="2" fontId="0" fillId="8" borderId="7" xfId="0" applyNumberFormat="1" applyFill="1" applyBorder="1"/>
    <xf numFmtId="2" fontId="0" fillId="5" borderId="17" xfId="0" applyNumberFormat="1" applyFill="1" applyBorder="1"/>
    <xf numFmtId="0" fontId="0" fillId="5" borderId="0" xfId="0" applyFill="1"/>
    <xf numFmtId="2" fontId="0" fillId="8" borderId="18" xfId="0" applyNumberFormat="1" applyFill="1" applyBorder="1"/>
    <xf numFmtId="2" fontId="0" fillId="9" borderId="17" xfId="0" applyNumberFormat="1" applyFill="1" applyBorder="1"/>
    <xf numFmtId="2" fontId="0" fillId="8" borderId="2" xfId="0" applyNumberFormat="1" applyFill="1" applyBorder="1"/>
    <xf numFmtId="0" fontId="1" fillId="8" borderId="0" xfId="0" applyFont="1" applyFill="1"/>
    <xf numFmtId="0" fontId="0" fillId="9" borderId="0" xfId="0" applyFill="1"/>
    <xf numFmtId="2" fontId="0" fillId="8" borderId="19" xfId="0" applyNumberFormat="1" applyFill="1" applyBorder="1"/>
    <xf numFmtId="165" fontId="0" fillId="0" borderId="4" xfId="0" applyNumberFormat="1" applyBorder="1"/>
    <xf numFmtId="2" fontId="0" fillId="8" borderId="0" xfId="0" applyNumberFormat="1" applyFill="1" applyBorder="1"/>
    <xf numFmtId="2" fontId="0" fillId="8" borderId="17" xfId="0" applyNumberFormat="1" applyFill="1" applyBorder="1"/>
    <xf numFmtId="0" fontId="0" fillId="5" borderId="0" xfId="0" applyFill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left"/>
    </xf>
    <xf numFmtId="11" fontId="2" fillId="0" borderId="0" xfId="0" applyNumberFormat="1" applyFont="1" applyBorder="1" applyAlignment="1">
      <alignment horizontal="left"/>
    </xf>
    <xf numFmtId="0" fontId="0" fillId="8" borderId="0" xfId="0" applyFill="1"/>
    <xf numFmtId="2" fontId="0" fillId="8" borderId="12" xfId="0" applyNumberFormat="1" applyFill="1" applyBorder="1"/>
    <xf numFmtId="2" fontId="0" fillId="8" borderId="14" xfId="0" applyNumberFormat="1" applyFill="1" applyBorder="1"/>
    <xf numFmtId="0" fontId="0" fillId="2" borderId="15" xfId="0" applyFill="1" applyBorder="1"/>
    <xf numFmtId="0" fontId="0" fillId="2" borderId="0" xfId="0" applyFill="1"/>
    <xf numFmtId="2" fontId="26" fillId="0" borderId="0" xfId="0" applyNumberFormat="1" applyFont="1" applyBorder="1"/>
    <xf numFmtId="164" fontId="26" fillId="0" borderId="0" xfId="0" applyNumberFormat="1" applyFont="1" applyBorder="1"/>
    <xf numFmtId="2" fontId="26" fillId="0" borderId="9" xfId="0" applyNumberFormat="1" applyFont="1" applyBorder="1"/>
    <xf numFmtId="2" fontId="26" fillId="0" borderId="0" xfId="0" applyNumberFormat="1" applyFont="1" applyFill="1" applyBorder="1"/>
    <xf numFmtId="0" fontId="5" fillId="0" borderId="1" xfId="0" applyFont="1" applyBorder="1"/>
    <xf numFmtId="166" fontId="1" fillId="7" borderId="5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66" fontId="29" fillId="2" borderId="5" xfId="0" applyNumberFormat="1" applyFont="1" applyFill="1" applyBorder="1" applyAlignment="1">
      <alignment horizontal="center"/>
    </xf>
    <xf numFmtId="166" fontId="24" fillId="10" borderId="5" xfId="0" applyNumberFormat="1" applyFont="1" applyFill="1" applyBorder="1" applyAlignment="1">
      <alignment horizontal="center"/>
    </xf>
    <xf numFmtId="166" fontId="24" fillId="10" borderId="1" xfId="0" applyNumberFormat="1" applyFont="1" applyFill="1" applyBorder="1" applyAlignment="1">
      <alignment horizontal="center"/>
    </xf>
    <xf numFmtId="166" fontId="24" fillId="11" borderId="1" xfId="0" applyNumberFormat="1" applyFont="1" applyFill="1" applyBorder="1" applyAlignment="1">
      <alignment horizontal="center"/>
    </xf>
    <xf numFmtId="166" fontId="30" fillId="11" borderId="1" xfId="0" applyNumberFormat="1" applyFont="1" applyFill="1" applyBorder="1" applyAlignment="1">
      <alignment horizontal="center"/>
    </xf>
    <xf numFmtId="166" fontId="30" fillId="6" borderId="1" xfId="0" applyNumberFormat="1" applyFont="1" applyFill="1" applyBorder="1" applyAlignment="1">
      <alignment horizontal="center"/>
    </xf>
    <xf numFmtId="166" fontId="30" fillId="12" borderId="1" xfId="0" applyNumberFormat="1" applyFont="1" applyFill="1" applyBorder="1" applyAlignment="1">
      <alignment horizontal="center"/>
    </xf>
    <xf numFmtId="166" fontId="30" fillId="0" borderId="1" xfId="0" applyNumberFormat="1" applyFont="1" applyBorder="1" applyAlignment="1">
      <alignment horizontal="center"/>
    </xf>
    <xf numFmtId="166" fontId="1" fillId="0" borderId="5" xfId="0" applyNumberFormat="1" applyFont="1" applyFill="1" applyBorder="1" applyAlignment="1">
      <alignment horizontal="center"/>
    </xf>
    <xf numFmtId="166" fontId="1" fillId="0" borderId="5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0" fontId="29" fillId="0" borderId="9" xfId="0" applyFont="1" applyFill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24" fillId="0" borderId="3" xfId="0" applyFont="1" applyFill="1" applyBorder="1" applyAlignment="1">
      <alignment horizontal="center"/>
    </xf>
    <xf numFmtId="0" fontId="29" fillId="0" borderId="3" xfId="0" applyFont="1" applyFill="1" applyBorder="1" applyAlignment="1">
      <alignment horizontal="center"/>
    </xf>
    <xf numFmtId="0" fontId="29" fillId="6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4" fillId="0" borderId="4" xfId="0" applyFont="1" applyBorder="1"/>
    <xf numFmtId="0" fontId="0" fillId="13" borderId="0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168" fontId="0" fillId="10" borderId="1" xfId="0" applyNumberFormat="1" applyFill="1" applyBorder="1" applyAlignment="1">
      <alignment horizontal="center"/>
    </xf>
    <xf numFmtId="168" fontId="0" fillId="11" borderId="1" xfId="0" applyNumberFormat="1" applyFill="1" applyBorder="1" applyAlignment="1">
      <alignment horizontal="center"/>
    </xf>
    <xf numFmtId="168" fontId="0" fillId="11" borderId="14" xfId="0" applyNumberFormat="1" applyFill="1" applyBorder="1" applyAlignment="1">
      <alignment horizontal="center"/>
    </xf>
    <xf numFmtId="168" fontId="0" fillId="6" borderId="14" xfId="0" applyNumberFormat="1" applyFill="1" applyBorder="1" applyAlignment="1">
      <alignment horizontal="center"/>
    </xf>
    <xf numFmtId="168" fontId="0" fillId="12" borderId="14" xfId="0" applyNumberFormat="1" applyFill="1" applyBorder="1" applyAlignment="1">
      <alignment horizontal="center"/>
    </xf>
    <xf numFmtId="0" fontId="31" fillId="0" borderId="1" xfId="0" applyFont="1" applyBorder="1" applyAlignment="1">
      <alignment horizontal="center"/>
    </xf>
    <xf numFmtId="164" fontId="28" fillId="0" borderId="0" xfId="0" applyNumberFormat="1" applyFont="1" applyFill="1" applyBorder="1" applyAlignment="1">
      <alignment horizontal="center"/>
    </xf>
    <xf numFmtId="168" fontId="0" fillId="12" borderId="9" xfId="0" applyNumberFormat="1" applyFill="1" applyBorder="1" applyAlignment="1">
      <alignment horizontal="center"/>
    </xf>
    <xf numFmtId="168" fontId="0" fillId="6" borderId="9" xfId="0" applyNumberFormat="1" applyFill="1" applyBorder="1" applyAlignment="1">
      <alignment horizontal="center"/>
    </xf>
    <xf numFmtId="2" fontId="0" fillId="0" borderId="15" xfId="0" applyNumberFormat="1" applyBorder="1"/>
    <xf numFmtId="0" fontId="0" fillId="0" borderId="4" xfId="0" applyFill="1" applyBorder="1"/>
    <xf numFmtId="2" fontId="0" fillId="0" borderId="4" xfId="0" applyNumberFormat="1" applyFill="1" applyBorder="1"/>
    <xf numFmtId="2" fontId="0" fillId="0" borderId="11" xfId="0" applyNumberFormat="1" applyFill="1" applyBorder="1"/>
    <xf numFmtId="2" fontId="0" fillId="0" borderId="12" xfId="0" applyNumberFormat="1" applyFill="1" applyBorder="1"/>
    <xf numFmtId="0" fontId="4" fillId="0" borderId="1" xfId="0" applyFont="1" applyBorder="1"/>
    <xf numFmtId="0" fontId="0" fillId="0" borderId="5" xfId="0" applyFont="1" applyFill="1" applyBorder="1" applyAlignment="1">
      <alignment horizontal="left"/>
    </xf>
    <xf numFmtId="0" fontId="0" fillId="0" borderId="15" xfId="0" applyBorder="1" applyAlignment="1">
      <alignment horizontal="right"/>
    </xf>
    <xf numFmtId="0" fontId="4" fillId="0" borderId="14" xfId="0" applyFont="1" applyBorder="1"/>
    <xf numFmtId="0" fontId="4" fillId="0" borderId="1" xfId="0" applyFont="1" applyFill="1" applyBorder="1"/>
    <xf numFmtId="0" fontId="4" fillId="0" borderId="2" xfId="0" applyFont="1" applyFill="1" applyBorder="1"/>
    <xf numFmtId="0" fontId="0" fillId="0" borderId="15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4" fillId="0" borderId="3" xfId="0" applyFont="1" applyBorder="1"/>
    <xf numFmtId="166" fontId="0" fillId="8" borderId="9" xfId="0" applyNumberFormat="1" applyFill="1" applyBorder="1"/>
    <xf numFmtId="4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11" xfId="0" applyNumberFormat="1" applyBorder="1"/>
    <xf numFmtId="166" fontId="0" fillId="5" borderId="9" xfId="0" applyNumberFormat="1" applyFill="1" applyBorder="1"/>
    <xf numFmtId="166" fontId="0" fillId="0" borderId="9" xfId="0" applyNumberFormat="1" applyBorder="1"/>
    <xf numFmtId="166" fontId="0" fillId="8" borderId="14" xfId="0" applyNumberFormat="1" applyFill="1" applyBorder="1"/>
    <xf numFmtId="49" fontId="0" fillId="0" borderId="13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6" fontId="0" fillId="0" borderId="12" xfId="0" applyNumberFormat="1" applyBorder="1"/>
    <xf numFmtId="166" fontId="0" fillId="5" borderId="14" xfId="0" applyNumberFormat="1" applyFill="1" applyBorder="1"/>
    <xf numFmtId="166" fontId="0" fillId="0" borderId="14" xfId="0" applyNumberFormat="1" applyBorder="1"/>
    <xf numFmtId="165" fontId="0" fillId="0" borderId="14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7" fontId="2" fillId="0" borderId="12" xfId="0" applyNumberFormat="1" applyFont="1" applyFill="1" applyBorder="1" applyAlignment="1">
      <alignment horizontal="center"/>
    </xf>
    <xf numFmtId="0" fontId="0" fillId="0" borderId="13" xfId="0" applyFill="1" applyBorder="1"/>
    <xf numFmtId="165" fontId="26" fillId="0" borderId="4" xfId="0" applyNumberFormat="1" applyFont="1" applyBorder="1"/>
    <xf numFmtId="165" fontId="26" fillId="0" borderId="11" xfId="0" applyNumberFormat="1" applyFont="1" applyBorder="1"/>
    <xf numFmtId="165" fontId="26" fillId="0" borderId="12" xfId="0" applyNumberFormat="1" applyFont="1" applyBorder="1"/>
    <xf numFmtId="2" fontId="26" fillId="0" borderId="12" xfId="0" applyNumberFormat="1" applyFont="1" applyBorder="1"/>
    <xf numFmtId="2" fontId="26" fillId="0" borderId="14" xfId="0" applyNumberFormat="1" applyFont="1" applyBorder="1"/>
    <xf numFmtId="49" fontId="0" fillId="0" borderId="1" xfId="0" applyNumberFormat="1" applyFill="1" applyBorder="1"/>
    <xf numFmtId="2" fontId="0" fillId="0" borderId="17" xfId="0" applyNumberFormat="1" applyBorder="1"/>
    <xf numFmtId="0" fontId="6" fillId="0" borderId="1" xfId="0" applyFont="1" applyBorder="1" applyAlignment="1">
      <alignment horizontal="left"/>
    </xf>
    <xf numFmtId="0" fontId="0" fillId="0" borderId="20" xfId="0" applyFont="1" applyFill="1" applyBorder="1" applyAlignment="1">
      <alignment horizontal="center"/>
    </xf>
    <xf numFmtId="166" fontId="0" fillId="0" borderId="17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49" fontId="0" fillId="0" borderId="9" xfId="0" applyNumberFormat="1" applyFill="1" applyBorder="1"/>
    <xf numFmtId="165" fontId="0" fillId="0" borderId="17" xfId="0" applyNumberFormat="1" applyBorder="1"/>
    <xf numFmtId="2" fontId="0" fillId="0" borderId="22" xfId="0" applyNumberFormat="1" applyFill="1" applyBorder="1"/>
    <xf numFmtId="0" fontId="0" fillId="5" borderId="11" xfId="0" applyFill="1" applyBorder="1"/>
    <xf numFmtId="0" fontId="0" fillId="5" borderId="12" xfId="0" applyFill="1" applyBorder="1"/>
    <xf numFmtId="2" fontId="0" fillId="5" borderId="12" xfId="0" applyNumberFormat="1" applyFill="1" applyBorder="1"/>
    <xf numFmtId="165" fontId="0" fillId="8" borderId="17" xfId="0" applyNumberFormat="1" applyFill="1" applyBorder="1"/>
    <xf numFmtId="165" fontId="0" fillId="8" borderId="0" xfId="0" applyNumberFormat="1" applyFill="1"/>
    <xf numFmtId="2" fontId="26" fillId="0" borderId="11" xfId="0" applyNumberFormat="1" applyFont="1" applyBorder="1"/>
    <xf numFmtId="0" fontId="26" fillId="0" borderId="0" xfId="0" applyFont="1"/>
    <xf numFmtId="165" fontId="26" fillId="0" borderId="0" xfId="0" applyNumberFormat="1" applyFont="1"/>
    <xf numFmtId="0" fontId="0" fillId="5" borderId="0" xfId="0" applyFill="1" applyBorder="1"/>
    <xf numFmtId="0" fontId="0" fillId="5" borderId="13" xfId="0" applyFill="1" applyBorder="1"/>
    <xf numFmtId="2" fontId="0" fillId="5" borderId="5" xfId="0" applyNumberFormat="1" applyFill="1" applyBorder="1"/>
    <xf numFmtId="2" fontId="0" fillId="5" borderId="1" xfId="0" applyNumberFormat="1" applyFill="1" applyBorder="1"/>
    <xf numFmtId="2" fontId="26" fillId="5" borderId="0" xfId="0" applyNumberFormat="1" applyFont="1" applyFill="1" applyBorder="1"/>
    <xf numFmtId="2" fontId="13" fillId="5" borderId="0" xfId="0" applyNumberFormat="1" applyFont="1" applyFill="1" applyBorder="1"/>
    <xf numFmtId="2" fontId="13" fillId="5" borderId="13" xfId="0" applyNumberFormat="1" applyFont="1" applyFill="1" applyBorder="1"/>
    <xf numFmtId="2" fontId="13" fillId="5" borderId="0" xfId="0" applyNumberFormat="1" applyFont="1" applyFill="1" applyBorder="1" applyAlignment="1">
      <alignment horizontal="center"/>
    </xf>
    <xf numFmtId="165" fontId="0" fillId="5" borderId="13" xfId="0" applyNumberFormat="1" applyFill="1" applyBorder="1"/>
    <xf numFmtId="0" fontId="0" fillId="5" borderId="12" xfId="0" applyFill="1" applyBorder="1" applyAlignment="1">
      <alignment horizontal="right"/>
    </xf>
    <xf numFmtId="2" fontId="4" fillId="0" borderId="6" xfId="0" applyNumberFormat="1" applyFont="1" applyFill="1" applyBorder="1" applyAlignment="1">
      <alignment horizontal="center" vertical="top" wrapText="1"/>
    </xf>
    <xf numFmtId="2" fontId="4" fillId="0" borderId="4" xfId="0" applyNumberFormat="1" applyFont="1" applyFill="1" applyBorder="1" applyAlignment="1">
      <alignment horizontal="center" vertical="top" wrapText="1"/>
    </xf>
    <xf numFmtId="2" fontId="4" fillId="0" borderId="7" xfId="0" applyNumberFormat="1" applyFont="1" applyFill="1" applyBorder="1" applyAlignment="1">
      <alignment horizontal="center" vertical="top" wrapText="1"/>
    </xf>
    <xf numFmtId="2" fontId="4" fillId="0" borderId="10" xfId="0" applyNumberFormat="1" applyFont="1" applyFill="1" applyBorder="1" applyAlignment="1">
      <alignment horizontal="center" vertical="top" wrapText="1"/>
    </xf>
    <xf numFmtId="2" fontId="4" fillId="0" borderId="11" xfId="0" applyNumberFormat="1" applyFont="1" applyFill="1" applyBorder="1" applyAlignment="1">
      <alignment horizontal="center" vertical="top" wrapText="1"/>
    </xf>
    <xf numFmtId="2" fontId="4" fillId="0" borderId="0" xfId="0" applyNumberFormat="1" applyFont="1" applyFill="1" applyBorder="1" applyAlignment="1">
      <alignment horizontal="center" vertical="top" wrapText="1"/>
    </xf>
    <xf numFmtId="2" fontId="5" fillId="14" borderId="11" xfId="0" applyNumberFormat="1" applyFont="1" applyFill="1" applyBorder="1" applyAlignment="1">
      <alignment horizontal="center"/>
    </xf>
    <xf numFmtId="167" fontId="5" fillId="14" borderId="11" xfId="0" applyNumberFormat="1" applyFont="1" applyFill="1" applyBorder="1" applyAlignment="1">
      <alignment horizontal="center"/>
    </xf>
    <xf numFmtId="0" fontId="12" fillId="14" borderId="0" xfId="0" applyFont="1" applyFill="1" applyBorder="1" applyAlignment="1">
      <alignment vertical="top"/>
    </xf>
    <xf numFmtId="0" fontId="0" fillId="14" borderId="0" xfId="0" applyFill="1"/>
    <xf numFmtId="2" fontId="18" fillId="14" borderId="1" xfId="0" applyNumberFormat="1" applyFont="1" applyFill="1" applyBorder="1" applyAlignment="1">
      <alignment horizontal="center"/>
    </xf>
    <xf numFmtId="2" fontId="18" fillId="14" borderId="2" xfId="0" applyNumberFormat="1" applyFont="1" applyFill="1" applyBorder="1" applyAlignment="1">
      <alignment horizontal="center"/>
    </xf>
    <xf numFmtId="2" fontId="18" fillId="14" borderId="5" xfId="0" applyNumberFormat="1" applyFont="1" applyFill="1" applyBorder="1" applyAlignment="1">
      <alignment horizontal="center"/>
    </xf>
    <xf numFmtId="166" fontId="18" fillId="14" borderId="1" xfId="0" applyNumberFormat="1" applyFont="1" applyFill="1" applyBorder="1" applyAlignment="1">
      <alignment horizontal="center"/>
    </xf>
    <xf numFmtId="2" fontId="0" fillId="14" borderId="3" xfId="0" applyNumberFormat="1" applyFill="1" applyBorder="1" applyAlignment="1">
      <alignment horizontal="center"/>
    </xf>
    <xf numFmtId="0" fontId="0" fillId="14" borderId="0" xfId="0" applyFill="1" applyBorder="1"/>
    <xf numFmtId="0" fontId="0" fillId="0" borderId="0" xfId="0" applyAlignment="1">
      <alignment vertical="center"/>
    </xf>
    <xf numFmtId="2" fontId="4" fillId="5" borderId="4" xfId="0" applyNumberFormat="1" applyFont="1" applyFill="1" applyBorder="1" applyAlignment="1">
      <alignment horizontal="center" vertical="center" wrapText="1"/>
    </xf>
    <xf numFmtId="2" fontId="13" fillId="5" borderId="0" xfId="0" applyNumberFormat="1" applyFont="1" applyFill="1" applyBorder="1" applyAlignment="1">
      <alignment horizontal="center" vertical="center"/>
    </xf>
    <xf numFmtId="2" fontId="4" fillId="5" borderId="11" xfId="0" applyNumberFormat="1" applyFont="1" applyFill="1" applyBorder="1" applyAlignment="1">
      <alignment horizontal="center" vertical="center" wrapText="1"/>
    </xf>
    <xf numFmtId="0" fontId="4" fillId="12" borderId="1" xfId="0" applyFont="1" applyFill="1" applyBorder="1"/>
    <xf numFmtId="0" fontId="0" fillId="12" borderId="1" xfId="0" applyFill="1" applyBorder="1"/>
    <xf numFmtId="0" fontId="0" fillId="12" borderId="0" xfId="0" applyFill="1"/>
    <xf numFmtId="166" fontId="0" fillId="12" borderId="11" xfId="0" applyNumberFormat="1" applyFill="1" applyBorder="1"/>
    <xf numFmtId="166" fontId="0" fillId="12" borderId="12" xfId="0" applyNumberFormat="1" applyFill="1" applyBorder="1"/>
    <xf numFmtId="2" fontId="0" fillId="13" borderId="0" xfId="0" applyNumberFormat="1" applyFill="1"/>
    <xf numFmtId="0" fontId="0" fillId="13" borderId="0" xfId="0" applyFill="1"/>
    <xf numFmtId="2" fontId="0" fillId="15" borderId="0" xfId="0" applyNumberFormat="1" applyFill="1"/>
    <xf numFmtId="0" fontId="0" fillId="15" borderId="0" xfId="0" applyFill="1"/>
    <xf numFmtId="0" fontId="0" fillId="15" borderId="0" xfId="0" applyFill="1" applyBorder="1" applyAlignment="1">
      <alignment horizont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49" fontId="34" fillId="0" borderId="0" xfId="0" applyNumberFormat="1" applyFont="1" applyAlignment="1">
      <alignment vertical="center"/>
    </xf>
    <xf numFmtId="165" fontId="0" fillId="0" borderId="12" xfId="0" applyNumberFormat="1" applyFill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1" xfId="0" applyNumberFormat="1" applyFill="1" applyBorder="1" applyAlignment="1">
      <alignment horizontal="center"/>
    </xf>
    <xf numFmtId="0" fontId="0" fillId="0" borderId="3" xfId="0" applyBorder="1" applyAlignment="1">
      <alignment horizontal="right"/>
    </xf>
    <xf numFmtId="2" fontId="0" fillId="0" borderId="0" xfId="0" applyNumberFormat="1" applyFill="1"/>
    <xf numFmtId="0" fontId="1" fillId="4" borderId="0" xfId="0" applyFont="1" applyFill="1"/>
    <xf numFmtId="49" fontId="2" fillId="0" borderId="5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49" fontId="2" fillId="0" borderId="3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А среднее измер</c:v>
          </c:tx>
          <c:xVal>
            <c:numRef>
              <c:f>'Простая обработка'!$B$12:$B$15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20</c:v>
                </c:pt>
              </c:numCache>
            </c:numRef>
          </c:xVal>
          <c:yVal>
            <c:numRef>
              <c:f>'Простая обработка'!$E$12:$E$15</c:f>
              <c:numCache>
                <c:formatCode>0.0</c:formatCode>
                <c:ptCount val="4"/>
                <c:pt idx="0">
                  <c:v>29.025658682275129</c:v>
                </c:pt>
                <c:pt idx="1">
                  <c:v>65.557953230655897</c:v>
                </c:pt>
                <c:pt idx="2">
                  <c:v>129.61457928809065</c:v>
                </c:pt>
                <c:pt idx="3">
                  <c:v>196.67385969196769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F2-496D-A4F0-EF2EEB0AB68D}"/>
            </c:ext>
          </c:extLst>
        </c:ser>
        <c:ser>
          <c:idx val="1"/>
          <c:order val="1"/>
          <c:tx>
            <c:v>Линейный тренд от 0</c:v>
          </c:tx>
          <c:spPr>
            <a:ln w="22225">
              <a:prstDash val="sysDash"/>
            </a:ln>
          </c:spPr>
          <c:marker>
            <c:symbol val="none"/>
          </c:marker>
          <c:xVal>
            <c:numRef>
              <c:f>('Простая обработка'!$B$11,'Простая обработка'!$B$15)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('Простая обработка'!$E$11,'Простая обработка'!$E$15)</c:f>
              <c:numCache>
                <c:formatCode>0.0</c:formatCode>
                <c:ptCount val="2"/>
                <c:pt idx="0" formatCode="General">
                  <c:v>0</c:v>
                </c:pt>
                <c:pt idx="1">
                  <c:v>196.67385969196769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F2-496D-A4F0-EF2EEB0AB68D}"/>
            </c:ext>
          </c:extLst>
        </c:ser>
        <c:ser>
          <c:idx val="2"/>
          <c:order val="2"/>
          <c:tx>
            <c:v>А среднее испр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'Простая обработка'!$B$12:$B$15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20</c:v>
                </c:pt>
              </c:numCache>
            </c:numRef>
          </c:xVal>
          <c:yVal>
            <c:numRef>
              <c:f>'Простая обработка'!$L$12:$L$15</c:f>
              <c:numCache>
                <c:formatCode>0.0</c:formatCode>
                <c:ptCount val="4"/>
                <c:pt idx="0">
                  <c:v>13.053539328766627</c:v>
                </c:pt>
                <c:pt idx="1">
                  <c:v>56.377838008799777</c:v>
                </c:pt>
                <c:pt idx="2">
                  <c:v>121.4573683135892</c:v>
                </c:pt>
                <c:pt idx="3">
                  <c:v>189.33612313284942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F2-496D-A4F0-EF2EEB0AB68D}"/>
            </c:ext>
          </c:extLst>
        </c:ser>
        <c:ser>
          <c:idx val="3"/>
          <c:order val="3"/>
          <c:tx>
            <c:v>Тренд 2 испр</c:v>
          </c:tx>
          <c:spPr>
            <a:ln w="22225">
              <a:prstDash val="sysDash"/>
            </a:ln>
          </c:spPr>
          <c:xVal>
            <c:numRef>
              <c:f>'Простая обработка'!$B$11:$B$12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'Простая обработка'!$E$11:$E$12</c:f>
              <c:numCache>
                <c:formatCode>0.0</c:formatCode>
                <c:ptCount val="2"/>
                <c:pt idx="0" formatCode="General">
                  <c:v>0</c:v>
                </c:pt>
                <c:pt idx="1">
                  <c:v>29.025658682275129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F2-496D-A4F0-EF2EEB0AB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35328"/>
        <c:axId val="100835904"/>
      </c:scatterChart>
      <c:valAx>
        <c:axId val="1008353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0835904"/>
        <c:crosses val="autoZero"/>
        <c:crossBetween val="midCat"/>
      </c:valAx>
      <c:valAx>
        <c:axId val="10083590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00835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7934523809523808"/>
          <c:y val="0.68495776919740214"/>
          <c:w val="0.37898809523809524"/>
          <c:h val="0.19985638318822541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spPr>
              <a:ln w="15875">
                <a:solidFill>
                  <a:srgbClr val="FF0000"/>
                </a:solidFill>
              </a:ln>
            </c:spPr>
            <c:trendlineType val="exp"/>
            <c:dispRSqr val="0"/>
            <c:dispEq val="1"/>
            <c:trendlineLbl>
              <c:layout>
                <c:manualLayout>
                  <c:x val="-3.7869422572178478E-2"/>
                  <c:y val="-0.4578591656306119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ru-RU"/>
                </a:p>
              </c:txPr>
            </c:trendlineLbl>
          </c:trendline>
          <c:xVal>
            <c:numRef>
              <c:f>Обработка!$C$118:$C$123</c:f>
              <c:numCache>
                <c:formatCode>0.0000</c:formatCode>
                <c:ptCount val="6"/>
                <c:pt idx="0">
                  <c:v>9.9911600000000007E-3</c:v>
                </c:pt>
                <c:pt idx="1">
                  <c:v>2.9973480000000004E-2</c:v>
                </c:pt>
                <c:pt idx="2">
                  <c:v>4.9955800000000002E-2</c:v>
                </c:pt>
                <c:pt idx="3">
                  <c:v>6.9938119999999993E-2</c:v>
                </c:pt>
                <c:pt idx="4">
                  <c:v>8.9920440000000018E-2</c:v>
                </c:pt>
                <c:pt idx="5">
                  <c:v>0.10990276</c:v>
                </c:pt>
              </c:numCache>
            </c:numRef>
          </c:xVal>
          <c:yVal>
            <c:numRef>
              <c:f>Обработка!$D$118:$D$123</c:f>
              <c:numCache>
                <c:formatCode>0.00</c:formatCode>
                <c:ptCount val="6"/>
                <c:pt idx="0">
                  <c:v>50.592857142857142</c:v>
                </c:pt>
                <c:pt idx="1">
                  <c:v>47.142857142857146</c:v>
                </c:pt>
                <c:pt idx="2">
                  <c:v>44.581428571428567</c:v>
                </c:pt>
                <c:pt idx="3">
                  <c:v>42.182857142857145</c:v>
                </c:pt>
                <c:pt idx="4">
                  <c:v>38.35857142857143</c:v>
                </c:pt>
                <c:pt idx="5">
                  <c:v>36.284285714285723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27-4799-A332-2E47F437B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40288"/>
        <c:axId val="124140864"/>
      </c:scatterChart>
      <c:valAx>
        <c:axId val="124140288"/>
        <c:scaling>
          <c:orientation val="minMax"/>
        </c:scaling>
        <c:delete val="0"/>
        <c:axPos val="b"/>
        <c:majorGridlines/>
        <c:numFmt formatCode="0.0000" sourceLinked="1"/>
        <c:majorTickMark val="out"/>
        <c:minorTickMark val="none"/>
        <c:tickLblPos val="nextTo"/>
        <c:crossAx val="124140864"/>
        <c:crosses val="autoZero"/>
        <c:crossBetween val="midCat"/>
      </c:valAx>
      <c:valAx>
        <c:axId val="1241408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4140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spPr>
              <a:ln w="15875">
                <a:solidFill>
                  <a:srgbClr val="FF0000"/>
                </a:solidFill>
              </a:ln>
            </c:spPr>
            <c:trendlineType val="exp"/>
            <c:dispRSqr val="0"/>
            <c:dispEq val="1"/>
            <c:trendlineLbl>
              <c:layout>
                <c:manualLayout>
                  <c:x val="-3.7869422572178478E-2"/>
                  <c:y val="-0.4578591656306119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ru-RU"/>
                </a:p>
              </c:txPr>
            </c:trendlineLbl>
          </c:trendline>
          <c:xVal>
            <c:numRef>
              <c:f>Обработка!$L$118:$L$123</c:f>
              <c:numCache>
                <c:formatCode>0.0000</c:formatCode>
                <c:ptCount val="6"/>
                <c:pt idx="0">
                  <c:v>9.9911600000000007E-3</c:v>
                </c:pt>
                <c:pt idx="1">
                  <c:v>2.9973480000000004E-2</c:v>
                </c:pt>
                <c:pt idx="2">
                  <c:v>4.9955800000000002E-2</c:v>
                </c:pt>
                <c:pt idx="3">
                  <c:v>6.9938119999999993E-2</c:v>
                </c:pt>
                <c:pt idx="4">
                  <c:v>8.9920440000000018E-2</c:v>
                </c:pt>
                <c:pt idx="5">
                  <c:v>0.10990276</c:v>
                </c:pt>
              </c:numCache>
            </c:numRef>
          </c:xVal>
          <c:yVal>
            <c:numRef>
              <c:f>Обработка!$M$118:$M$123</c:f>
              <c:numCache>
                <c:formatCode>0.00</c:formatCode>
                <c:ptCount val="6"/>
                <c:pt idx="0">
                  <c:v>21.327142857142857</c:v>
                </c:pt>
                <c:pt idx="1">
                  <c:v>18.361428571428572</c:v>
                </c:pt>
                <c:pt idx="2">
                  <c:v>15.664285714285715</c:v>
                </c:pt>
                <c:pt idx="3">
                  <c:v>13.362857142857143</c:v>
                </c:pt>
                <c:pt idx="4">
                  <c:v>11.56</c:v>
                </c:pt>
                <c:pt idx="5">
                  <c:v>10.124285714285715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A4-4FE6-92FD-B4277DFBC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35936"/>
        <c:axId val="124536512"/>
      </c:scatterChart>
      <c:valAx>
        <c:axId val="124535936"/>
        <c:scaling>
          <c:orientation val="minMax"/>
        </c:scaling>
        <c:delete val="0"/>
        <c:axPos val="b"/>
        <c:majorGridlines/>
        <c:numFmt formatCode="0.0000" sourceLinked="1"/>
        <c:majorTickMark val="out"/>
        <c:minorTickMark val="none"/>
        <c:tickLblPos val="nextTo"/>
        <c:crossAx val="124536512"/>
        <c:crosses val="autoZero"/>
        <c:crossBetween val="midCat"/>
      </c:valAx>
      <c:valAx>
        <c:axId val="124536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4535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spPr>
              <a:ln w="15875">
                <a:solidFill>
                  <a:srgbClr val="FF0000"/>
                </a:solidFill>
              </a:ln>
            </c:spPr>
            <c:trendlineType val="exp"/>
            <c:dispRSqr val="0"/>
            <c:dispEq val="1"/>
            <c:trendlineLbl>
              <c:layout>
                <c:manualLayout>
                  <c:x val="-3.7869422572178478E-2"/>
                  <c:y val="-0.4578591656306119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ru-RU"/>
                </a:p>
              </c:txPr>
            </c:trendlineLbl>
          </c:trendline>
          <c:xVal>
            <c:numRef>
              <c:f>Обработка!$U$118:$U$123</c:f>
              <c:numCache>
                <c:formatCode>0.0000</c:formatCode>
                <c:ptCount val="6"/>
                <c:pt idx="0">
                  <c:v>9.9911600000000007E-3</c:v>
                </c:pt>
                <c:pt idx="1">
                  <c:v>2.9973480000000004E-2</c:v>
                </c:pt>
                <c:pt idx="2">
                  <c:v>4.9955800000000002E-2</c:v>
                </c:pt>
                <c:pt idx="3">
                  <c:v>6.9938119999999993E-2</c:v>
                </c:pt>
                <c:pt idx="4">
                  <c:v>8.9920440000000018E-2</c:v>
                </c:pt>
                <c:pt idx="5">
                  <c:v>0.10990276</c:v>
                </c:pt>
              </c:numCache>
            </c:numRef>
          </c:xVal>
          <c:yVal>
            <c:numRef>
              <c:f>Обработка!$V$118:$V$123</c:f>
              <c:numCache>
                <c:formatCode>0.00</c:formatCode>
                <c:ptCount val="6"/>
                <c:pt idx="0">
                  <c:v>9.9599999999999991</c:v>
                </c:pt>
                <c:pt idx="1">
                  <c:v>7.4799999999999995</c:v>
                </c:pt>
                <c:pt idx="2">
                  <c:v>5.3214285714285712</c:v>
                </c:pt>
                <c:pt idx="3">
                  <c:v>3.891428571428571</c:v>
                </c:pt>
                <c:pt idx="4">
                  <c:v>2.9842857142857144</c:v>
                </c:pt>
                <c:pt idx="5">
                  <c:v>2.31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8-41E8-A263-C26DB1C74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38240"/>
        <c:axId val="124538816"/>
      </c:scatterChart>
      <c:valAx>
        <c:axId val="124538240"/>
        <c:scaling>
          <c:orientation val="minMax"/>
        </c:scaling>
        <c:delete val="0"/>
        <c:axPos val="b"/>
        <c:majorGridlines/>
        <c:numFmt formatCode="0.0000" sourceLinked="1"/>
        <c:majorTickMark val="out"/>
        <c:minorTickMark val="none"/>
        <c:tickLblPos val="nextTo"/>
        <c:crossAx val="124538816"/>
        <c:crosses val="autoZero"/>
        <c:crossBetween val="midCat"/>
      </c:valAx>
      <c:valAx>
        <c:axId val="1245388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4538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spPr>
              <a:ln w="15875">
                <a:solidFill>
                  <a:srgbClr val="FF0000"/>
                </a:solidFill>
              </a:ln>
            </c:spPr>
            <c:trendlineType val="exp"/>
            <c:dispRSqr val="0"/>
            <c:dispEq val="1"/>
            <c:trendlineLbl>
              <c:layout>
                <c:manualLayout>
                  <c:x val="-3.7869422572178478E-2"/>
                  <c:y val="-0.4578591656306119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ru-RU"/>
                </a:p>
              </c:txPr>
            </c:trendlineLbl>
          </c:trendline>
          <c:xVal>
            <c:numRef>
              <c:f>Обработка!$AD$118:$AD$122</c:f>
              <c:numCache>
                <c:formatCode>0.0000</c:formatCode>
                <c:ptCount val="5"/>
                <c:pt idx="0">
                  <c:v>9.9911600000000007E-3</c:v>
                </c:pt>
                <c:pt idx="1">
                  <c:v>2.9973480000000004E-2</c:v>
                </c:pt>
                <c:pt idx="2">
                  <c:v>4.9955800000000002E-2</c:v>
                </c:pt>
                <c:pt idx="3">
                  <c:v>6.9938119999999993E-2</c:v>
                </c:pt>
                <c:pt idx="4">
                  <c:v>8.9920440000000018E-2</c:v>
                </c:pt>
              </c:numCache>
            </c:numRef>
          </c:xVal>
          <c:yVal>
            <c:numRef>
              <c:f>Обработка!$AE$118:$AE$122</c:f>
              <c:numCache>
                <c:formatCode>0.00</c:formatCode>
                <c:ptCount val="5"/>
                <c:pt idx="0">
                  <c:v>5.7785714285714294</c:v>
                </c:pt>
                <c:pt idx="1">
                  <c:v>3.6485714285714286</c:v>
                </c:pt>
                <c:pt idx="2">
                  <c:v>2.2671428571428573</c:v>
                </c:pt>
                <c:pt idx="3">
                  <c:v>1.39</c:v>
                </c:pt>
                <c:pt idx="4">
                  <c:v>1.0132857142857143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72-4285-B772-F6657F856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40544"/>
        <c:axId val="124541120"/>
      </c:scatterChart>
      <c:valAx>
        <c:axId val="124540544"/>
        <c:scaling>
          <c:orientation val="minMax"/>
        </c:scaling>
        <c:delete val="0"/>
        <c:axPos val="b"/>
        <c:majorGridlines/>
        <c:numFmt formatCode="0.0000" sourceLinked="1"/>
        <c:majorTickMark val="out"/>
        <c:minorTickMark val="none"/>
        <c:tickLblPos val="nextTo"/>
        <c:crossAx val="124541120"/>
        <c:crosses val="autoZero"/>
        <c:crossBetween val="midCat"/>
      </c:valAx>
      <c:valAx>
        <c:axId val="1245411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4540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spPr>
              <a:ln w="15875">
                <a:solidFill>
                  <a:srgbClr val="FF0000"/>
                </a:solidFill>
              </a:ln>
            </c:spPr>
            <c:trendlineType val="exp"/>
            <c:dispRSqr val="0"/>
            <c:dispEq val="1"/>
            <c:trendlineLbl>
              <c:layout>
                <c:manualLayout>
                  <c:x val="0.15521430091508831"/>
                  <c:y val="-0.484954758944605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ru-RU"/>
                </a:p>
              </c:txPr>
            </c:trendlineLbl>
          </c:trendline>
          <c:xVal>
            <c:numRef>
              <c:f>Обработка!$AN$118:$AN$119</c:f>
              <c:numCache>
                <c:formatCode>0.0000</c:formatCode>
                <c:ptCount val="2"/>
                <c:pt idx="0">
                  <c:v>9.9911600000000007E-3</c:v>
                </c:pt>
                <c:pt idx="1">
                  <c:v>2.9973480000000004E-2</c:v>
                </c:pt>
              </c:numCache>
            </c:numRef>
          </c:xVal>
          <c:yVal>
            <c:numRef>
              <c:f>Обработка!$AO$118:$AO$119</c:f>
              <c:numCache>
                <c:formatCode>0.00</c:formatCode>
                <c:ptCount val="2"/>
                <c:pt idx="0">
                  <c:v>4.242909090909091</c:v>
                </c:pt>
                <c:pt idx="1">
                  <c:v>1.0868181818181817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0A-476F-A148-27E0AAC9D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47776"/>
        <c:axId val="124748352"/>
      </c:scatterChart>
      <c:valAx>
        <c:axId val="124747776"/>
        <c:scaling>
          <c:orientation val="minMax"/>
        </c:scaling>
        <c:delete val="0"/>
        <c:axPos val="b"/>
        <c:majorGridlines/>
        <c:numFmt formatCode="0.0000" sourceLinked="1"/>
        <c:majorTickMark val="out"/>
        <c:minorTickMark val="none"/>
        <c:tickLblPos val="nextTo"/>
        <c:crossAx val="124748352"/>
        <c:crosses val="autoZero"/>
        <c:crossBetween val="midCat"/>
      </c:valAx>
      <c:valAx>
        <c:axId val="1247483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4747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Д16 МСЗ 10 мм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А изм эксп</c:v>
          </c:tx>
          <c:trendline>
            <c:trendlineType val="poly"/>
            <c:order val="2"/>
            <c:backward val="5"/>
            <c:dispRSqr val="0"/>
            <c:dispEq val="0"/>
          </c:trendline>
          <c:xVal>
            <c:numRef>
              <c:f>Обработка!$I$167:$I$170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20</c:v>
                </c:pt>
              </c:numCache>
            </c:numRef>
          </c:xVal>
          <c:yVal>
            <c:numRef>
              <c:f>Обработка!$J$167:$J$170</c:f>
              <c:numCache>
                <c:formatCode>0.00</c:formatCode>
                <c:ptCount val="4"/>
                <c:pt idx="0">
                  <c:v>26.14</c:v>
                </c:pt>
                <c:pt idx="1">
                  <c:v>65.48</c:v>
                </c:pt>
                <c:pt idx="2">
                  <c:v>128.9</c:v>
                </c:pt>
                <c:pt idx="3">
                  <c:v>193.26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87-4CED-9263-B16891FEF8D0}"/>
            </c:ext>
          </c:extLst>
        </c:ser>
        <c:ser>
          <c:idx val="2"/>
          <c:order val="1"/>
          <c:tx>
            <c:v>А исп среднее</c:v>
          </c:tx>
          <c:trendline>
            <c:trendlineType val="poly"/>
            <c:order val="2"/>
            <c:backward val="5"/>
            <c:dispRSqr val="0"/>
            <c:dispEq val="0"/>
          </c:trendline>
          <c:xVal>
            <c:numRef>
              <c:f>Обработка!$I$167:$I$170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20</c:v>
                </c:pt>
              </c:numCache>
            </c:numRef>
          </c:xVal>
          <c:yVal>
            <c:numRef>
              <c:f>Обработка!$U$83:$U$86</c:f>
              <c:numCache>
                <c:formatCode>0.00</c:formatCode>
                <c:ptCount val="4"/>
                <c:pt idx="0">
                  <c:v>14.127648898567786</c:v>
                </c:pt>
                <c:pt idx="1">
                  <c:v>55.914963494827752</c:v>
                </c:pt>
                <c:pt idx="2">
                  <c:v>120.84239870093779</c:v>
                </c:pt>
                <c:pt idx="3">
                  <c:v>185.30020444216217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87-4CED-9263-B16891FEF8D0}"/>
            </c:ext>
          </c:extLst>
        </c:ser>
        <c:ser>
          <c:idx val="1"/>
          <c:order val="2"/>
          <c:tx>
            <c:v>А исп эксп</c:v>
          </c:tx>
          <c:trendline>
            <c:trendlineType val="poly"/>
            <c:order val="2"/>
            <c:backward val="5"/>
            <c:dispRSqr val="0"/>
            <c:dispEq val="0"/>
          </c:trendline>
          <c:xVal>
            <c:numRef>
              <c:f>Обработка!$I$167:$I$170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20</c:v>
                </c:pt>
              </c:numCache>
            </c:numRef>
          </c:xVal>
          <c:yVal>
            <c:numRef>
              <c:f>Обработка!$K$167:$K$170</c:f>
              <c:numCache>
                <c:formatCode>0.00</c:formatCode>
                <c:ptCount val="4"/>
                <c:pt idx="0">
                  <c:v>9.16</c:v>
                </c:pt>
                <c:pt idx="1">
                  <c:v>56.29</c:v>
                </c:pt>
                <c:pt idx="2">
                  <c:v>120.74</c:v>
                </c:pt>
                <c:pt idx="3">
                  <c:v>185.93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87-4CED-9263-B16891FEF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63776"/>
        <c:axId val="215763200"/>
      </c:scatterChart>
      <c:valAx>
        <c:axId val="2157637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5763200"/>
        <c:crosses val="autoZero"/>
        <c:crossBetween val="midCat"/>
      </c:valAx>
      <c:valAx>
        <c:axId val="2157632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5763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400"/>
              <a:t>МСЗ-10-Д16</a:t>
            </a:r>
          </a:p>
        </c:rich>
      </c:tx>
      <c:layout>
        <c:manualLayout>
          <c:xMode val="edge"/>
          <c:yMode val="edge"/>
          <c:x val="0.3824390243902441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769663167104124"/>
          <c:y val="0.10232648002333049"/>
          <c:w val="0.84056714785651732"/>
          <c:h val="0.68352216389617959"/>
        </c:manualLayout>
      </c:layout>
      <c:scatterChart>
        <c:scatterStyle val="smoothMarker"/>
        <c:varyColors val="0"/>
        <c:ser>
          <c:idx val="1"/>
          <c:order val="0"/>
          <c:tx>
            <c:v>Исправл</c:v>
          </c:tx>
          <c:spPr>
            <a:ln w="22225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Погрешность!$B$6:$F$6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20</c:v>
                </c:pt>
                <c:pt idx="4">
                  <c:v>32</c:v>
                </c:pt>
              </c:numCache>
            </c:numRef>
          </c:xVal>
          <c:yVal>
            <c:numRef>
              <c:f>Погрешность!$B$36:$F$36</c:f>
              <c:numCache>
                <c:formatCode>0.00</c:formatCode>
                <c:ptCount val="5"/>
                <c:pt idx="0">
                  <c:v>11.302599966738212</c:v>
                </c:pt>
                <c:pt idx="1">
                  <c:v>55.563102466334584</c:v>
                </c:pt>
                <c:pt idx="2">
                  <c:v>118.19354448572066</c:v>
                </c:pt>
                <c:pt idx="3">
                  <c:v>195.0077702624223</c:v>
                </c:pt>
                <c:pt idx="4">
                  <c:v>589.09245132552167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71-423F-A7EC-C0AD7F0BEF12}"/>
            </c:ext>
          </c:extLst>
        </c:ser>
        <c:ser>
          <c:idx val="2"/>
          <c:order val="1"/>
          <c:tx>
            <c:v>Измер</c:v>
          </c:tx>
          <c:spPr>
            <a:ln w="22225">
              <a:solidFill>
                <a:schemeClr val="tx2">
                  <a:lumMod val="75000"/>
                </a:schemeClr>
              </a:solidFill>
            </a:ln>
          </c:spPr>
          <c:marker>
            <c:symbol val="circle"/>
            <c:size val="6"/>
            <c:spPr>
              <a:solidFill>
                <a:schemeClr val="tx2">
                  <a:lumMod val="75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xVal>
            <c:numRef>
              <c:f>Погрешность!$B$6:$F$6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20</c:v>
                </c:pt>
                <c:pt idx="4">
                  <c:v>32</c:v>
                </c:pt>
              </c:numCache>
            </c:numRef>
          </c:xVal>
          <c:yVal>
            <c:numRef>
              <c:f>Погрешность!$B$33:$F$33</c:f>
              <c:numCache>
                <c:formatCode>0.00</c:formatCode>
                <c:ptCount val="5"/>
                <c:pt idx="0">
                  <c:v>27.491911317972701</c:v>
                </c:pt>
                <c:pt idx="1">
                  <c:v>66.022348439775101</c:v>
                </c:pt>
                <c:pt idx="2">
                  <c:v>125.80026883004105</c:v>
                </c:pt>
                <c:pt idx="3">
                  <c:v>203.71546786710485</c:v>
                </c:pt>
                <c:pt idx="4">
                  <c:v>596.59908719162729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71-423F-A7EC-C0AD7F0BE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51232"/>
        <c:axId val="124751808"/>
      </c:scatterChart>
      <c:valAx>
        <c:axId val="1247512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Частота, МГц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751808"/>
        <c:crosses val="autoZero"/>
        <c:crossBetween val="midCat"/>
      </c:valAx>
      <c:valAx>
        <c:axId val="1247518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latin typeface="Calibri"/>
                  </a:defRPr>
                </a:pPr>
                <a:r>
                  <a:rPr lang="el-GR">
                    <a:latin typeface="Calibri"/>
                  </a:rPr>
                  <a:t>α</a:t>
                </a:r>
                <a:r>
                  <a:rPr lang="en-US" baseline="-25000">
                    <a:latin typeface="Calibri"/>
                  </a:rPr>
                  <a:t>L</a:t>
                </a:r>
                <a:r>
                  <a:rPr lang="ru-RU">
                    <a:latin typeface="Calibri"/>
                  </a:rPr>
                  <a:t>, дБ/м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333333333333334E-2"/>
              <c:y val="3.7981189851268608E-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24751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544715447154469"/>
          <c:y val="0.49519466316710442"/>
          <c:w val="0.17829268292682937"/>
          <c:h val="0.1674343832020999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400"/>
              <a:t>МСЗ-10-Д16</a:t>
            </a:r>
          </a:p>
        </c:rich>
      </c:tx>
      <c:layout>
        <c:manualLayout>
          <c:xMode val="edge"/>
          <c:yMode val="edge"/>
          <c:x val="0.3824390243902444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769663167104131"/>
          <c:y val="0.10232648002333053"/>
          <c:w val="0.84056714785651698"/>
          <c:h val="0.68352216389617959"/>
        </c:manualLayout>
      </c:layout>
      <c:scatterChart>
        <c:scatterStyle val="smoothMarker"/>
        <c:varyColors val="0"/>
        <c:ser>
          <c:idx val="1"/>
          <c:order val="0"/>
          <c:tx>
            <c:v>Исправл</c:v>
          </c:tx>
          <c:spPr>
            <a:ln w="22225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Обработка!$B$58:$E$58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20</c:v>
                </c:pt>
              </c:numCache>
            </c:numRef>
          </c:xVal>
          <c:yVal>
            <c:numRef>
              <c:f>Обработка!$B$60:$E$60</c:f>
              <c:numCache>
                <c:formatCode>General</c:formatCode>
                <c:ptCount val="4"/>
                <c:pt idx="0">
                  <c:v>5.95</c:v>
                </c:pt>
                <c:pt idx="1">
                  <c:v>50.22</c:v>
                </c:pt>
                <c:pt idx="2">
                  <c:v>114.9</c:v>
                </c:pt>
                <c:pt idx="3">
                  <c:v>181.14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E2-474F-9D83-34B24AB7B735}"/>
            </c:ext>
          </c:extLst>
        </c:ser>
        <c:ser>
          <c:idx val="2"/>
          <c:order val="1"/>
          <c:tx>
            <c:v>Измер</c:v>
          </c:tx>
          <c:spPr>
            <a:ln w="22225">
              <a:solidFill>
                <a:schemeClr val="tx2">
                  <a:lumMod val="75000"/>
                </a:schemeClr>
              </a:solidFill>
            </a:ln>
          </c:spPr>
          <c:marker>
            <c:symbol val="circle"/>
            <c:size val="6"/>
            <c:spPr>
              <a:solidFill>
                <a:schemeClr val="tx2">
                  <a:lumMod val="75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xVal>
            <c:numRef>
              <c:f>Обработка!$B$58:$E$58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20</c:v>
                </c:pt>
              </c:numCache>
            </c:numRef>
          </c:xVal>
          <c:yVal>
            <c:numRef>
              <c:f>Обработка!$B$59:$E$59</c:f>
              <c:numCache>
                <c:formatCode>General</c:formatCode>
                <c:ptCount val="4"/>
                <c:pt idx="0">
                  <c:v>22.56</c:v>
                </c:pt>
                <c:pt idx="1">
                  <c:v>61.35</c:v>
                </c:pt>
                <c:pt idx="2">
                  <c:v>122.9</c:v>
                </c:pt>
                <c:pt idx="3">
                  <c:v>189.2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E2-474F-9D83-34B24AB7B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53536"/>
        <c:axId val="124754112"/>
      </c:scatterChart>
      <c:valAx>
        <c:axId val="1247535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Частота, МГц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754112"/>
        <c:crosses val="autoZero"/>
        <c:crossBetween val="midCat"/>
      </c:valAx>
      <c:valAx>
        <c:axId val="12475411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latin typeface="Calibri"/>
                  </a:defRPr>
                </a:pPr>
                <a:r>
                  <a:rPr lang="el-GR">
                    <a:latin typeface="Calibri"/>
                  </a:rPr>
                  <a:t>α</a:t>
                </a:r>
                <a:r>
                  <a:rPr lang="en-US" baseline="-25000">
                    <a:latin typeface="Calibri"/>
                  </a:rPr>
                  <a:t>L</a:t>
                </a:r>
                <a:r>
                  <a:rPr lang="ru-RU">
                    <a:latin typeface="Calibri"/>
                  </a:rPr>
                  <a:t>, дБ/м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333333333333334E-2"/>
              <c:y val="3.7981189851268612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4753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544715447154469"/>
          <c:y val="0.49519466316710464"/>
          <c:w val="0.17829268292682948"/>
          <c:h val="0.1674343832021000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400"/>
              <a:t>МСЗ-10-Д16</a:t>
            </a:r>
            <a:r>
              <a:rPr lang="en-US" sz="1400"/>
              <a:t> </a:t>
            </a:r>
            <a:r>
              <a:rPr lang="ru-RU" sz="1400"/>
              <a:t> ЭИ метод</a:t>
            </a:r>
          </a:p>
        </c:rich>
      </c:tx>
      <c:layout>
        <c:manualLayout>
          <c:xMode val="edge"/>
          <c:yMode val="edge"/>
          <c:x val="0.3824390243902443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769663167104129"/>
          <c:y val="0.10232648002333052"/>
          <c:w val="0.84056714785651709"/>
          <c:h val="0.68352216389617959"/>
        </c:manualLayout>
      </c:layout>
      <c:scatterChart>
        <c:scatterStyle val="smoothMarker"/>
        <c:varyColors val="0"/>
        <c:ser>
          <c:idx val="1"/>
          <c:order val="0"/>
          <c:tx>
            <c:v>Исправл</c:v>
          </c:tx>
          <c:spPr>
            <a:ln w="22225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Погрешность!$B$6:$F$6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20</c:v>
                </c:pt>
                <c:pt idx="4">
                  <c:v>32</c:v>
                </c:pt>
              </c:numCache>
            </c:numRef>
          </c:xVal>
          <c:yVal>
            <c:numRef>
              <c:f>Погрешность!$B$36:$F$36</c:f>
              <c:numCache>
                <c:formatCode>0.00</c:formatCode>
                <c:ptCount val="5"/>
                <c:pt idx="0">
                  <c:v>11.302599966738212</c:v>
                </c:pt>
                <c:pt idx="1">
                  <c:v>55.563102466334584</c:v>
                </c:pt>
                <c:pt idx="2">
                  <c:v>118.19354448572066</c:v>
                </c:pt>
                <c:pt idx="3">
                  <c:v>195.0077702624223</c:v>
                </c:pt>
                <c:pt idx="4">
                  <c:v>589.09245132552167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10-472B-9253-F3F554AD9C9B}"/>
            </c:ext>
          </c:extLst>
        </c:ser>
        <c:ser>
          <c:idx val="2"/>
          <c:order val="1"/>
          <c:tx>
            <c:v>Измер</c:v>
          </c:tx>
          <c:spPr>
            <a:ln w="22225">
              <a:solidFill>
                <a:schemeClr val="tx2">
                  <a:lumMod val="75000"/>
                </a:schemeClr>
              </a:solidFill>
            </a:ln>
          </c:spPr>
          <c:marker>
            <c:symbol val="circle"/>
            <c:size val="6"/>
            <c:spPr>
              <a:solidFill>
                <a:schemeClr val="tx2">
                  <a:lumMod val="75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xVal>
            <c:numRef>
              <c:f>Погрешность!$B$6:$F$6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20</c:v>
                </c:pt>
                <c:pt idx="4">
                  <c:v>32</c:v>
                </c:pt>
              </c:numCache>
            </c:numRef>
          </c:xVal>
          <c:yVal>
            <c:numRef>
              <c:f>Погрешность!$B$33:$F$33</c:f>
              <c:numCache>
                <c:formatCode>0.00</c:formatCode>
                <c:ptCount val="5"/>
                <c:pt idx="0">
                  <c:v>27.491911317972701</c:v>
                </c:pt>
                <c:pt idx="1">
                  <c:v>66.022348439775101</c:v>
                </c:pt>
                <c:pt idx="2">
                  <c:v>125.80026883004105</c:v>
                </c:pt>
                <c:pt idx="3">
                  <c:v>203.71546786710485</c:v>
                </c:pt>
                <c:pt idx="4">
                  <c:v>596.59908719162729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10-472B-9253-F3F554AD9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88192"/>
        <c:axId val="124888768"/>
      </c:scatterChart>
      <c:valAx>
        <c:axId val="1248881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Частота, МГц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888768"/>
        <c:crosses val="autoZero"/>
        <c:crossBetween val="midCat"/>
      </c:valAx>
      <c:valAx>
        <c:axId val="1248887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latin typeface="Calibri"/>
                  </a:defRPr>
                </a:pPr>
                <a:r>
                  <a:rPr lang="el-GR">
                    <a:latin typeface="Calibri"/>
                  </a:rPr>
                  <a:t>α</a:t>
                </a:r>
                <a:r>
                  <a:rPr lang="en-US" baseline="-25000">
                    <a:latin typeface="Calibri"/>
                  </a:rPr>
                  <a:t>L</a:t>
                </a:r>
                <a:r>
                  <a:rPr lang="ru-RU">
                    <a:latin typeface="Calibri"/>
                  </a:rPr>
                  <a:t>, дБ/м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333333333333334E-2"/>
              <c:y val="3.7981189851268612E-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248881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544715447154469"/>
          <c:y val="0.49519466316710453"/>
          <c:w val="0.17829268292682945"/>
          <c:h val="0.1674343832021000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1496062992126017" footer="0.31496062992126017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400"/>
              <a:t>МСЗ-10-Д16</a:t>
            </a:r>
          </a:p>
        </c:rich>
      </c:tx>
      <c:layout>
        <c:manualLayout>
          <c:xMode val="edge"/>
          <c:yMode val="edge"/>
          <c:x val="0.3824390243902444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769663167104131"/>
          <c:y val="0.10232648002333053"/>
          <c:w val="0.84056714785651698"/>
          <c:h val="0.68352216389617959"/>
        </c:manualLayout>
      </c:layout>
      <c:scatterChart>
        <c:scatterStyle val="smoothMarker"/>
        <c:varyColors val="0"/>
        <c:ser>
          <c:idx val="1"/>
          <c:order val="0"/>
          <c:tx>
            <c:v>Исправл</c:v>
          </c:tx>
          <c:spPr>
            <a:ln w="22225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Обработка!$B$58:$E$58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20</c:v>
                </c:pt>
              </c:numCache>
            </c:numRef>
          </c:xVal>
          <c:yVal>
            <c:numRef>
              <c:f>Обработка!$B$60:$E$60</c:f>
              <c:numCache>
                <c:formatCode>General</c:formatCode>
                <c:ptCount val="4"/>
                <c:pt idx="0">
                  <c:v>5.95</c:v>
                </c:pt>
                <c:pt idx="1">
                  <c:v>50.22</c:v>
                </c:pt>
                <c:pt idx="2">
                  <c:v>114.9</c:v>
                </c:pt>
                <c:pt idx="3">
                  <c:v>181.14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70-4AF4-83AE-DF83797D9335}"/>
            </c:ext>
          </c:extLst>
        </c:ser>
        <c:ser>
          <c:idx val="2"/>
          <c:order val="1"/>
          <c:tx>
            <c:v>Измер</c:v>
          </c:tx>
          <c:spPr>
            <a:ln w="22225">
              <a:solidFill>
                <a:schemeClr val="tx2">
                  <a:lumMod val="75000"/>
                </a:schemeClr>
              </a:solidFill>
            </a:ln>
          </c:spPr>
          <c:marker>
            <c:symbol val="circle"/>
            <c:size val="6"/>
            <c:spPr>
              <a:solidFill>
                <a:schemeClr val="tx2">
                  <a:lumMod val="75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xVal>
            <c:numRef>
              <c:f>Обработка!$B$58:$E$58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20</c:v>
                </c:pt>
              </c:numCache>
            </c:numRef>
          </c:xVal>
          <c:yVal>
            <c:numRef>
              <c:f>Обработка!$B$59:$E$59</c:f>
              <c:numCache>
                <c:formatCode>General</c:formatCode>
                <c:ptCount val="4"/>
                <c:pt idx="0">
                  <c:v>22.56</c:v>
                </c:pt>
                <c:pt idx="1">
                  <c:v>61.35</c:v>
                </c:pt>
                <c:pt idx="2">
                  <c:v>122.9</c:v>
                </c:pt>
                <c:pt idx="3">
                  <c:v>189.2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70-4AF4-83AE-DF83797D9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90496"/>
        <c:axId val="124891072"/>
      </c:scatterChart>
      <c:valAx>
        <c:axId val="1248904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Частота, МГц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891072"/>
        <c:crosses val="autoZero"/>
        <c:crossBetween val="midCat"/>
      </c:valAx>
      <c:valAx>
        <c:axId val="12489107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latin typeface="Calibri"/>
                  </a:defRPr>
                </a:pPr>
                <a:r>
                  <a:rPr lang="el-GR">
                    <a:latin typeface="Calibri"/>
                  </a:rPr>
                  <a:t>α</a:t>
                </a:r>
                <a:r>
                  <a:rPr lang="en-US" baseline="-25000">
                    <a:latin typeface="Calibri"/>
                  </a:rPr>
                  <a:t>L</a:t>
                </a:r>
                <a:r>
                  <a:rPr lang="ru-RU">
                    <a:latin typeface="Calibri"/>
                  </a:rPr>
                  <a:t>, дБ/м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333333333333334E-2"/>
              <c:y val="3.7981189851268612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48904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544715447154469"/>
          <c:y val="0.49519466316710464"/>
          <c:w val="0.17829268292682948"/>
          <c:h val="0.1674343832021000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А среднее испр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trendline>
            <c:spPr>
              <a:ln w="15875"/>
            </c:spPr>
            <c:trendlineType val="poly"/>
            <c:order val="2"/>
            <c:forward val="1"/>
            <c:backward val="5"/>
            <c:intercept val="0"/>
            <c:dispRSqr val="0"/>
            <c:dispEq val="1"/>
            <c:trendlineLbl>
              <c:layout>
                <c:manualLayout>
                  <c:x val="-0.15008146054679822"/>
                  <c:y val="2.6424150259978064E-2"/>
                </c:manualLayout>
              </c:layout>
              <c:numFmt formatCode="General" sourceLinked="0"/>
            </c:trendlineLbl>
          </c:trendline>
          <c:xVal>
            <c:numRef>
              <c:f>'Простая обработка'!$B$12:$B$15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20</c:v>
                </c:pt>
              </c:numCache>
            </c:numRef>
          </c:xVal>
          <c:yVal>
            <c:numRef>
              <c:f>'Простая обработка'!$L$12:$L$15</c:f>
              <c:numCache>
                <c:formatCode>0.0</c:formatCode>
                <c:ptCount val="4"/>
                <c:pt idx="0">
                  <c:v>13.053539328766627</c:v>
                </c:pt>
                <c:pt idx="1">
                  <c:v>56.377838008799777</c:v>
                </c:pt>
                <c:pt idx="2">
                  <c:v>121.4573683135892</c:v>
                </c:pt>
                <c:pt idx="3">
                  <c:v>189.33612313284942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55-436F-9002-24A0C2865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38208"/>
        <c:axId val="100838784"/>
      </c:scatterChart>
      <c:valAx>
        <c:axId val="1008382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0838784"/>
        <c:crosses val="autoZero"/>
        <c:crossBetween val="midCat"/>
      </c:valAx>
      <c:valAx>
        <c:axId val="10083878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008382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869471690318929"/>
          <c:y val="0.66757989013507291"/>
          <c:w val="0.29515035188739602"/>
          <c:h val="0.2130919034131993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400"/>
              <a:t>МСЗ-10-Д16 2017</a:t>
            </a:r>
          </a:p>
        </c:rich>
      </c:tx>
      <c:layout>
        <c:manualLayout>
          <c:xMode val="edge"/>
          <c:yMode val="edge"/>
          <c:x val="0.3824390243902441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769663167104124"/>
          <c:y val="0.10232648002333049"/>
          <c:w val="0.84056714785651732"/>
          <c:h val="0.68352216389617959"/>
        </c:manualLayout>
      </c:layout>
      <c:scatterChart>
        <c:scatterStyle val="smoothMarker"/>
        <c:varyColors val="0"/>
        <c:ser>
          <c:idx val="1"/>
          <c:order val="0"/>
          <c:tx>
            <c:v>Исправл</c:v>
          </c:tx>
          <c:spPr>
            <a:ln w="22225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Обработка!$B$58:$F$58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20</c:v>
                </c:pt>
                <c:pt idx="4">
                  <c:v>32</c:v>
                </c:pt>
              </c:numCache>
            </c:numRef>
          </c:xVal>
          <c:yVal>
            <c:numRef>
              <c:f>Обработка!$B$60:$F$60</c:f>
              <c:numCache>
                <c:formatCode>General</c:formatCode>
                <c:ptCount val="5"/>
                <c:pt idx="0">
                  <c:v>5.95</c:v>
                </c:pt>
                <c:pt idx="1">
                  <c:v>50.22</c:v>
                </c:pt>
                <c:pt idx="2">
                  <c:v>114.9</c:v>
                </c:pt>
                <c:pt idx="3">
                  <c:v>181.14</c:v>
                </c:pt>
                <c:pt idx="4">
                  <c:v>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78-4A26-B913-6424A923F9D3}"/>
            </c:ext>
          </c:extLst>
        </c:ser>
        <c:ser>
          <c:idx val="2"/>
          <c:order val="1"/>
          <c:tx>
            <c:v>Измер</c:v>
          </c:tx>
          <c:spPr>
            <a:ln w="22225">
              <a:solidFill>
                <a:schemeClr val="tx2">
                  <a:lumMod val="75000"/>
                </a:schemeClr>
              </a:solidFill>
            </a:ln>
          </c:spPr>
          <c:marker>
            <c:symbol val="circle"/>
            <c:size val="6"/>
            <c:spPr>
              <a:solidFill>
                <a:schemeClr val="tx2">
                  <a:lumMod val="75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xVal>
            <c:numRef>
              <c:f>Обработка!$B$58:$F$58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20</c:v>
                </c:pt>
                <c:pt idx="4">
                  <c:v>32</c:v>
                </c:pt>
              </c:numCache>
            </c:numRef>
          </c:xVal>
          <c:yVal>
            <c:numRef>
              <c:f>Обработка!$B$59:$F$59</c:f>
              <c:numCache>
                <c:formatCode>General</c:formatCode>
                <c:ptCount val="5"/>
                <c:pt idx="0">
                  <c:v>22.56</c:v>
                </c:pt>
                <c:pt idx="1">
                  <c:v>61.35</c:v>
                </c:pt>
                <c:pt idx="2">
                  <c:v>122.9</c:v>
                </c:pt>
                <c:pt idx="3">
                  <c:v>189.2</c:v>
                </c:pt>
                <c:pt idx="4">
                  <c:v>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78-4A26-B913-6424A923F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40512"/>
        <c:axId val="100841088"/>
      </c:scatterChart>
      <c:valAx>
        <c:axId val="1008405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Частота, МГц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841088"/>
        <c:crosses val="autoZero"/>
        <c:crossBetween val="midCat"/>
      </c:valAx>
      <c:valAx>
        <c:axId val="1008410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latin typeface="Calibri"/>
                  </a:defRPr>
                </a:pPr>
                <a:r>
                  <a:rPr lang="el-GR">
                    <a:latin typeface="Calibri"/>
                  </a:rPr>
                  <a:t>α</a:t>
                </a:r>
                <a:r>
                  <a:rPr lang="en-US" baseline="-25000">
                    <a:latin typeface="Calibri"/>
                  </a:rPr>
                  <a:t>L</a:t>
                </a:r>
                <a:r>
                  <a:rPr lang="ru-RU">
                    <a:latin typeface="Calibri"/>
                  </a:rPr>
                  <a:t>, дБ/м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333333333333334E-2"/>
              <c:y val="3.7981189851268608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0840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544715447154469"/>
          <c:y val="0.49519466316710442"/>
          <c:w val="0.17829268292682937"/>
          <c:h val="0.1674343832020999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400"/>
              <a:t>МСЗ-10-Д16 2017</a:t>
            </a:r>
          </a:p>
        </c:rich>
      </c:tx>
      <c:layout>
        <c:manualLayout>
          <c:xMode val="edge"/>
          <c:yMode val="edge"/>
          <c:x val="0.38243902439024424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769663167104127"/>
          <c:y val="0.1023264800233305"/>
          <c:w val="0.84056714785651721"/>
          <c:h val="0.68352216389617959"/>
        </c:manualLayout>
      </c:layout>
      <c:scatterChart>
        <c:scatterStyle val="smoothMarker"/>
        <c:varyColors val="0"/>
        <c:ser>
          <c:idx val="1"/>
          <c:order val="0"/>
          <c:tx>
            <c:v>Исправл</c:v>
          </c:tx>
          <c:spPr>
            <a:ln w="22225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Обработка!$B$58:$E$58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20</c:v>
                </c:pt>
              </c:numCache>
            </c:numRef>
          </c:xVal>
          <c:yVal>
            <c:numRef>
              <c:f>Обработка!$B$60:$E$60</c:f>
              <c:numCache>
                <c:formatCode>General</c:formatCode>
                <c:ptCount val="4"/>
                <c:pt idx="0">
                  <c:v>5.95</c:v>
                </c:pt>
                <c:pt idx="1">
                  <c:v>50.22</c:v>
                </c:pt>
                <c:pt idx="2">
                  <c:v>114.9</c:v>
                </c:pt>
                <c:pt idx="3">
                  <c:v>181.14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FA-4697-B03C-07046E181337}"/>
            </c:ext>
          </c:extLst>
        </c:ser>
        <c:ser>
          <c:idx val="2"/>
          <c:order val="1"/>
          <c:tx>
            <c:v>Измер</c:v>
          </c:tx>
          <c:spPr>
            <a:ln w="22225">
              <a:solidFill>
                <a:schemeClr val="tx2">
                  <a:lumMod val="75000"/>
                </a:schemeClr>
              </a:solidFill>
            </a:ln>
          </c:spPr>
          <c:marker>
            <c:symbol val="circle"/>
            <c:size val="6"/>
            <c:spPr>
              <a:solidFill>
                <a:schemeClr val="tx2">
                  <a:lumMod val="75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xVal>
            <c:numRef>
              <c:f>Обработка!$B$58:$E$58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20</c:v>
                </c:pt>
              </c:numCache>
            </c:numRef>
          </c:xVal>
          <c:yVal>
            <c:numRef>
              <c:f>Обработка!$B$59:$E$59</c:f>
              <c:numCache>
                <c:formatCode>General</c:formatCode>
                <c:ptCount val="4"/>
                <c:pt idx="0">
                  <c:v>22.56</c:v>
                </c:pt>
                <c:pt idx="1">
                  <c:v>61.35</c:v>
                </c:pt>
                <c:pt idx="2">
                  <c:v>122.9</c:v>
                </c:pt>
                <c:pt idx="3">
                  <c:v>189.2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FA-4697-B03C-07046E181337}"/>
            </c:ext>
          </c:extLst>
        </c:ser>
        <c:ser>
          <c:idx val="0"/>
          <c:order val="2"/>
          <c:tx>
            <c:v>А к 0</c:v>
          </c:tx>
          <c:spPr>
            <a:ln>
              <a:solidFill>
                <a:srgbClr val="00B050"/>
              </a:solidFill>
            </a:ln>
          </c:spPr>
          <c:xVal>
            <c:numRef>
              <c:f>(Обработка!$G$58,Обработка!$B$58)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(Обработка!$G$59,Обработка!$B$59)</c:f>
              <c:numCache>
                <c:formatCode>General</c:formatCode>
                <c:ptCount val="2"/>
                <c:pt idx="0">
                  <c:v>0</c:v>
                </c:pt>
                <c:pt idx="1">
                  <c:v>22.56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FA-4697-B03C-07046E181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42816"/>
        <c:axId val="124256256"/>
      </c:scatterChart>
      <c:valAx>
        <c:axId val="1008428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Частота, МГц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256256"/>
        <c:crosses val="autoZero"/>
        <c:crossBetween val="midCat"/>
      </c:valAx>
      <c:valAx>
        <c:axId val="1242562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latin typeface="Calibri"/>
                  </a:defRPr>
                </a:pPr>
                <a:r>
                  <a:rPr lang="el-GR">
                    <a:latin typeface="Calibri"/>
                  </a:rPr>
                  <a:t>α</a:t>
                </a:r>
                <a:r>
                  <a:rPr lang="en-US" baseline="-25000">
                    <a:latin typeface="Calibri"/>
                  </a:rPr>
                  <a:t>L</a:t>
                </a:r>
                <a:r>
                  <a:rPr lang="ru-RU">
                    <a:latin typeface="Calibri"/>
                  </a:rPr>
                  <a:t>, дБ/м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333333333333334E-2"/>
              <c:y val="3.7981189851268612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0842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544715447154469"/>
          <c:y val="0.49519466316710448"/>
          <c:w val="0.17033009708737873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Д16-МСЗ-10 мм 2019 Усреднение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А среднее изм 2019</c:v>
          </c:tx>
          <c:xVal>
            <c:numRef>
              <c:f>Обработка!$O$60:$O$63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20</c:v>
                </c:pt>
              </c:numCache>
            </c:numRef>
          </c:xVal>
          <c:yVal>
            <c:numRef>
              <c:f>Обработка!$P$60:$P$63</c:f>
              <c:numCache>
                <c:formatCode>0.00</c:formatCode>
                <c:ptCount val="4"/>
                <c:pt idx="0">
                  <c:v>29.029508062835895</c:v>
                </c:pt>
                <c:pt idx="1">
                  <c:v>65.505522709184163</c:v>
                </c:pt>
                <c:pt idx="2">
                  <c:v>128.94279731053763</c:v>
                </c:pt>
                <c:pt idx="3">
                  <c:v>171.75409899920595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75-400E-97F1-C5C3F45D0689}"/>
            </c:ext>
          </c:extLst>
        </c:ser>
        <c:ser>
          <c:idx val="1"/>
          <c:order val="1"/>
          <c:tx>
            <c:v>А от 0</c:v>
          </c:tx>
          <c:spPr>
            <a:ln w="22225"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Обработка!$O$59:$O$60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Обработка!$P$59:$P$60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29.029508062835895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75-400E-97F1-C5C3F45D0689}"/>
            </c:ext>
          </c:extLst>
        </c:ser>
        <c:ser>
          <c:idx val="2"/>
          <c:order val="2"/>
          <c:tx>
            <c:v>А среднее 20 МГц корр</c:v>
          </c:tx>
          <c:trendline>
            <c:trendlineType val="poly"/>
            <c:order val="2"/>
            <c:forward val="1"/>
            <c:backward val="5"/>
            <c:dispRSqr val="0"/>
            <c:dispEq val="1"/>
            <c:trendlineLbl>
              <c:layout>
                <c:manualLayout>
                  <c:x val="-0.22078017000642447"/>
                  <c:y val="6.7852724552468269E-2"/>
                </c:manualLayout>
              </c:layout>
              <c:numFmt formatCode="General" sourceLinked="0"/>
            </c:trendlineLbl>
          </c:trendline>
          <c:xVal>
            <c:numRef>
              <c:f>Обработка!$O$69:$O$72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20</c:v>
                </c:pt>
              </c:numCache>
            </c:numRef>
          </c:xVal>
          <c:yVal>
            <c:numRef>
              <c:f>Обработка!$P$69:$P$72</c:f>
              <c:numCache>
                <c:formatCode>0.00</c:formatCode>
                <c:ptCount val="4"/>
                <c:pt idx="0">
                  <c:v>29.029508062835895</c:v>
                </c:pt>
                <c:pt idx="1">
                  <c:v>65.505522709184163</c:v>
                </c:pt>
                <c:pt idx="2">
                  <c:v>128.94279731053763</c:v>
                </c:pt>
                <c:pt idx="3">
                  <c:v>192.61439344951316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75-400E-97F1-C5C3F45D0689}"/>
            </c:ext>
          </c:extLst>
        </c:ser>
        <c:ser>
          <c:idx val="3"/>
          <c:order val="3"/>
          <c:tx>
            <c:v>А среднее испр</c:v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spPr>
              <a:ln w="15875">
                <a:solidFill>
                  <a:srgbClr val="FF0000"/>
                </a:solidFill>
              </a:ln>
            </c:spPr>
            <c:trendlineType val="power"/>
            <c:forward val="1"/>
            <c:backward val="5"/>
            <c:dispRSqr val="0"/>
            <c:dispEq val="1"/>
            <c:trendlineLbl>
              <c:layout>
                <c:manualLayout>
                  <c:x val="-0.32055063227797631"/>
                  <c:y val="-4.9124086831887044E-3"/>
                </c:manualLayout>
              </c:layout>
              <c:numFmt formatCode="General" sourceLinked="0"/>
            </c:trendlineLbl>
          </c:trendline>
          <c:xVal>
            <c:numRef>
              <c:f>Обработка!$O$69:$O$72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20</c:v>
                </c:pt>
              </c:numCache>
            </c:numRef>
          </c:xVal>
          <c:yVal>
            <c:numRef>
              <c:f>Обработка!$Q$69:$Q$72</c:f>
              <c:numCache>
                <c:formatCode>0.00</c:formatCode>
                <c:ptCount val="4"/>
                <c:pt idx="0">
                  <c:v>14.127648898567786</c:v>
                </c:pt>
                <c:pt idx="1">
                  <c:v>55.914963494827752</c:v>
                </c:pt>
                <c:pt idx="2">
                  <c:v>120.84239870093779</c:v>
                </c:pt>
                <c:pt idx="3">
                  <c:v>185.30020444216217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75-400E-97F1-C5C3F45D0689}"/>
            </c:ext>
          </c:extLst>
        </c:ser>
        <c:ser>
          <c:idx val="4"/>
          <c:order val="4"/>
          <c:tx>
            <c:v>А среднее испр дубль</c:v>
          </c:tx>
          <c:spPr>
            <a:ln w="22225"/>
          </c:spPr>
          <c:trendline>
            <c:spPr>
              <a:ln w="15875">
                <a:solidFill>
                  <a:schemeClr val="accent5">
                    <a:shade val="95000"/>
                    <a:satMod val="105000"/>
                  </a:schemeClr>
                </a:solidFill>
              </a:ln>
            </c:spPr>
            <c:trendlineType val="poly"/>
            <c:order val="2"/>
            <c:forward val="1"/>
            <c:backward val="5"/>
            <c:dispRSqr val="0"/>
            <c:dispEq val="0"/>
          </c:trendline>
          <c:xVal>
            <c:numRef>
              <c:f>Обработка!$O$69:$O$72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20</c:v>
                </c:pt>
              </c:numCache>
            </c:numRef>
          </c:xVal>
          <c:yVal>
            <c:numRef>
              <c:f>Обработка!$Q$69:$Q$72</c:f>
              <c:numCache>
                <c:formatCode>0.00</c:formatCode>
                <c:ptCount val="4"/>
                <c:pt idx="0">
                  <c:v>14.127648898567786</c:v>
                </c:pt>
                <c:pt idx="1">
                  <c:v>55.914963494827752</c:v>
                </c:pt>
                <c:pt idx="2">
                  <c:v>120.84239870093779</c:v>
                </c:pt>
                <c:pt idx="3">
                  <c:v>185.30020444216217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575-400E-97F1-C5C3F45D0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58560"/>
        <c:axId val="124259136"/>
      </c:scatterChart>
      <c:valAx>
        <c:axId val="1242585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4259136"/>
        <c:crosses val="autoZero"/>
        <c:crossBetween val="midCat"/>
      </c:valAx>
      <c:valAx>
        <c:axId val="1242591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4258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Д16-МСЗ-10 мм 2019 Усреднение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А среднее изм 20 МГц корр от 0</c:v>
          </c:tx>
          <c:xVal>
            <c:numRef>
              <c:f>Обработка!$O$68:$O$72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Обработка!$P$68:$P$72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29.029508062835895</c:v>
                </c:pt>
                <c:pt idx="2">
                  <c:v>65.505522709184163</c:v>
                </c:pt>
                <c:pt idx="3">
                  <c:v>128.94279731053763</c:v>
                </c:pt>
                <c:pt idx="4">
                  <c:v>192.61439344951316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1-4CE0-92AA-58B53E312ACC}"/>
            </c:ext>
          </c:extLst>
        </c:ser>
        <c:ser>
          <c:idx val="1"/>
          <c:order val="1"/>
          <c:tx>
            <c:v>А среднее изм 2017</c:v>
          </c:tx>
          <c:xVal>
            <c:numRef>
              <c:f>Обработка!$F$77:$F$81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Обработка!$G$77:$G$81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27.08725467732414</c:v>
                </c:pt>
                <c:pt idx="2">
                  <c:v>59.317371860166112</c:v>
                </c:pt>
                <c:pt idx="3">
                  <c:v>113.78396151965714</c:v>
                </c:pt>
                <c:pt idx="4">
                  <c:v>163.56938061270176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31-4CE0-92AA-58B53E312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61440"/>
        <c:axId val="124262016"/>
      </c:scatterChart>
      <c:valAx>
        <c:axId val="1242614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4262016"/>
        <c:crosses val="autoZero"/>
        <c:crossBetween val="midCat"/>
      </c:valAx>
      <c:valAx>
        <c:axId val="12426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61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217821782178262"/>
          <c:y val="0.63843189812255807"/>
          <c:w val="0.32501650165016521"/>
          <c:h val="0.24728624262264368"/>
        </c:manualLayout>
      </c:layout>
      <c:overlay val="1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Д16-МСЗ-10 мм 2019 доб 32 МГц 2017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Обработка!$S$82:$S$87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20</c:v>
                </c:pt>
                <c:pt idx="5">
                  <c:v>32</c:v>
                </c:pt>
              </c:numCache>
            </c:numRef>
          </c:xVal>
          <c:yVal>
            <c:numRef>
              <c:f>Обработка!$T$82:$T$87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29.029508062835895</c:v>
                </c:pt>
                <c:pt idx="2">
                  <c:v>65.505522709184163</c:v>
                </c:pt>
                <c:pt idx="3">
                  <c:v>128.94279731053763</c:v>
                </c:pt>
                <c:pt idx="4">
                  <c:v>192.61439344951316</c:v>
                </c:pt>
                <c:pt idx="5">
                  <c:v>592.03018601029703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55-42D4-A268-498FA46A9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33376"/>
        <c:axId val="124263744"/>
      </c:scatterChart>
      <c:valAx>
        <c:axId val="1241333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4263744"/>
        <c:crosses val="autoZero"/>
        <c:crossBetween val="midCat"/>
      </c:valAx>
      <c:valAx>
        <c:axId val="12426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133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Д16-МСЗ-10 мм 2019 Усреднение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7174536351272925E-2"/>
          <c:y val="5.4423379948919721E-2"/>
          <c:w val="0.89646682778514042"/>
          <c:h val="0.87780593690728692"/>
        </c:manualLayout>
      </c:layout>
      <c:scatterChart>
        <c:scatterStyle val="smoothMarker"/>
        <c:varyColors val="0"/>
        <c:ser>
          <c:idx val="0"/>
          <c:order val="0"/>
          <c:tx>
            <c:v>А среднее 20 МГц корр от 0</c:v>
          </c:tx>
          <c:xVal>
            <c:numRef>
              <c:f>Обработка!$O$68:$O$72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Обработка!$P$68:$P$72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29.029508062835895</c:v>
                </c:pt>
                <c:pt idx="2">
                  <c:v>65.505522709184163</c:v>
                </c:pt>
                <c:pt idx="3">
                  <c:v>128.94279731053763</c:v>
                </c:pt>
                <c:pt idx="4">
                  <c:v>192.61439344951316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1D-43E2-AE24-97066E24F70B}"/>
            </c:ext>
          </c:extLst>
        </c:ser>
        <c:ser>
          <c:idx val="1"/>
          <c:order val="1"/>
          <c:tx>
            <c:v>Рез 2019</c:v>
          </c:tx>
          <c:xVal>
            <c:numRef>
              <c:f>Обработка!$K$101:$P$101</c:f>
              <c:numCache>
                <c:formatCode>General</c:formatCode>
                <c:ptCount val="6"/>
                <c:pt idx="0">
                  <c:v>1.25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20</c:v>
                </c:pt>
              </c:numCache>
            </c:numRef>
          </c:xVal>
          <c:yVal>
            <c:numRef>
              <c:f>Обработка!$K$100:$P$100</c:f>
              <c:numCache>
                <c:formatCode>0.0</c:formatCode>
                <c:ptCount val="6"/>
                <c:pt idx="0">
                  <c:v>1.3</c:v>
                </c:pt>
                <c:pt idx="1">
                  <c:v>4.2919674681409008</c:v>
                </c:pt>
                <c:pt idx="2">
                  <c:v>36.299999999999997</c:v>
                </c:pt>
                <c:pt idx="3">
                  <c:v>80</c:v>
                </c:pt>
                <c:pt idx="4">
                  <c:v>165.5</c:v>
                </c:pt>
                <c:pt idx="5">
                  <c:v>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1D-43E2-AE24-97066E24F70B}"/>
            </c:ext>
          </c:extLst>
        </c:ser>
        <c:ser>
          <c:idx val="2"/>
          <c:order val="2"/>
          <c:tx>
            <c:v>А среднее 2017</c:v>
          </c:tx>
          <c:spPr>
            <a:ln>
              <a:solidFill>
                <a:srgbClr val="7030A0"/>
              </a:solidFill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Обработка!$F$77:$F$81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Обработка!$G$77:$G$81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27.08725467732414</c:v>
                </c:pt>
                <c:pt idx="2">
                  <c:v>59.317371860166112</c:v>
                </c:pt>
                <c:pt idx="3">
                  <c:v>113.78396151965714</c:v>
                </c:pt>
                <c:pt idx="4">
                  <c:v>163.56938061270176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1D-43E2-AE24-97066E24F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35104"/>
        <c:axId val="124135680"/>
      </c:scatterChart>
      <c:valAx>
        <c:axId val="1241351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4135680"/>
        <c:crosses val="autoZero"/>
        <c:crossBetween val="midCat"/>
      </c:valAx>
      <c:valAx>
        <c:axId val="12413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135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437843784378433"/>
          <c:y val="0.70264819714004612"/>
          <c:w val="0.32501650165016499"/>
          <c:h val="0.18335017469867174"/>
        </c:manualLayout>
      </c:layout>
      <c:overlay val="1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Д16-МСЗ-10 мм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А среднее исп 2019</c:v>
          </c:tx>
          <c:trendline>
            <c:trendlineType val="poly"/>
            <c:order val="2"/>
            <c:forward val="1"/>
            <c:dispRSqr val="0"/>
            <c:dispEq val="1"/>
            <c:trendlineLbl>
              <c:layout>
                <c:manualLayout>
                  <c:x val="-0.35356548741266497"/>
                  <c:y val="-2.9721528124031241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0070C0"/>
                      </a:solidFill>
                    </a:defRPr>
                  </a:pPr>
                  <a:endParaRPr lang="ru-RU"/>
                </a:p>
              </c:txPr>
            </c:trendlineLbl>
          </c:trendline>
          <c:xVal>
            <c:numRef>
              <c:f>Обработка!$O$68:$O$72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Обработка!$Q$68:$Q$72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14.127648898567786</c:v>
                </c:pt>
                <c:pt idx="2">
                  <c:v>55.914963494827752</c:v>
                </c:pt>
                <c:pt idx="3">
                  <c:v>120.84239870093779</c:v>
                </c:pt>
                <c:pt idx="4">
                  <c:v>185.30020444216217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81-49EB-9CA6-E19283B32127}"/>
            </c:ext>
          </c:extLst>
        </c:ser>
        <c:ser>
          <c:idx val="1"/>
          <c:order val="1"/>
          <c:tx>
            <c:v>А среднее исп 2017</c:v>
          </c:tx>
          <c:trendline>
            <c:trendlineType val="poly"/>
            <c:order val="2"/>
            <c:forward val="1"/>
            <c:dispRSqr val="0"/>
            <c:dispEq val="1"/>
            <c:trendlineLbl>
              <c:layout>
                <c:manualLayout>
                  <c:x val="-0.36530257661454291"/>
                  <c:y val="-5.984559770134949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ru-RU"/>
                </a:p>
              </c:txPr>
            </c:trendlineLbl>
          </c:trendline>
          <c:xVal>
            <c:numRef>
              <c:f>Обработка!$F$77:$F$81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Обработка!$I$77:$I$81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12.185395513056029</c:v>
                </c:pt>
                <c:pt idx="2">
                  <c:v>49.726812645809702</c:v>
                </c:pt>
                <c:pt idx="3">
                  <c:v>105.68356291005729</c:v>
                </c:pt>
                <c:pt idx="4">
                  <c:v>156.63015593714363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81-49EB-9CA6-E19283B32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37984"/>
        <c:axId val="124138560"/>
      </c:scatterChart>
      <c:valAx>
        <c:axId val="1241379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4138560"/>
        <c:crosses val="autoZero"/>
        <c:crossBetween val="midCat"/>
      </c:valAx>
      <c:valAx>
        <c:axId val="12413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137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551569258068088"/>
          <c:y val="0.49376237010767265"/>
          <c:w val="0.27072769953051645"/>
          <c:h val="0.3376377580798574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w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image" Target="../media/image32.w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image" Target="../media/image32.w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5.wmf"/><Relationship Id="rId13" Type="http://schemas.openxmlformats.org/officeDocument/2006/relationships/image" Target="../media/image19.wmf"/><Relationship Id="rId18" Type="http://schemas.openxmlformats.org/officeDocument/2006/relationships/image" Target="../media/image23.wmf"/><Relationship Id="rId26" Type="http://schemas.openxmlformats.org/officeDocument/2006/relationships/image" Target="../media/image31.wmf"/><Relationship Id="rId3" Type="http://schemas.openxmlformats.org/officeDocument/2006/relationships/image" Target="../media/image10.wmf"/><Relationship Id="rId21" Type="http://schemas.openxmlformats.org/officeDocument/2006/relationships/image" Target="../media/image26.wmf"/><Relationship Id="rId7" Type="http://schemas.openxmlformats.org/officeDocument/2006/relationships/image" Target="../media/image14.wmf"/><Relationship Id="rId12" Type="http://schemas.openxmlformats.org/officeDocument/2006/relationships/image" Target="../media/image18.wmf"/><Relationship Id="rId17" Type="http://schemas.openxmlformats.org/officeDocument/2006/relationships/image" Target="../media/image22.wmf"/><Relationship Id="rId25" Type="http://schemas.openxmlformats.org/officeDocument/2006/relationships/image" Target="../media/image30.wmf"/><Relationship Id="rId2" Type="http://schemas.openxmlformats.org/officeDocument/2006/relationships/image" Target="../media/image9.wmf"/><Relationship Id="rId16" Type="http://schemas.openxmlformats.org/officeDocument/2006/relationships/image" Target="../media/image21.wmf"/><Relationship Id="rId20" Type="http://schemas.openxmlformats.org/officeDocument/2006/relationships/image" Target="../media/image25.wmf"/><Relationship Id="rId29" Type="http://schemas.openxmlformats.org/officeDocument/2006/relationships/image" Target="../media/image3.wmf"/><Relationship Id="rId1" Type="http://schemas.openxmlformats.org/officeDocument/2006/relationships/image" Target="../media/image8.wmf"/><Relationship Id="rId6" Type="http://schemas.openxmlformats.org/officeDocument/2006/relationships/image" Target="../media/image13.wmf"/><Relationship Id="rId11" Type="http://schemas.openxmlformats.org/officeDocument/2006/relationships/image" Target="../media/image17.wmf"/><Relationship Id="rId24" Type="http://schemas.openxmlformats.org/officeDocument/2006/relationships/image" Target="../media/image29.wmf"/><Relationship Id="rId5" Type="http://schemas.openxmlformats.org/officeDocument/2006/relationships/image" Target="../media/image12.wmf"/><Relationship Id="rId15" Type="http://schemas.openxmlformats.org/officeDocument/2006/relationships/image" Target="../media/image5.wmf"/><Relationship Id="rId23" Type="http://schemas.openxmlformats.org/officeDocument/2006/relationships/image" Target="../media/image28.wmf"/><Relationship Id="rId28" Type="http://schemas.openxmlformats.org/officeDocument/2006/relationships/image" Target="../media/image2.wmf"/><Relationship Id="rId10" Type="http://schemas.openxmlformats.org/officeDocument/2006/relationships/image" Target="../media/image7.wmf"/><Relationship Id="rId19" Type="http://schemas.openxmlformats.org/officeDocument/2006/relationships/image" Target="../media/image24.wmf"/><Relationship Id="rId4" Type="http://schemas.openxmlformats.org/officeDocument/2006/relationships/image" Target="../media/image11.wmf"/><Relationship Id="rId9" Type="http://schemas.openxmlformats.org/officeDocument/2006/relationships/image" Target="../media/image16.wmf"/><Relationship Id="rId14" Type="http://schemas.openxmlformats.org/officeDocument/2006/relationships/image" Target="../media/image20.wmf"/><Relationship Id="rId22" Type="http://schemas.openxmlformats.org/officeDocument/2006/relationships/image" Target="../media/image27.wmf"/><Relationship Id="rId27" Type="http://schemas.openxmlformats.org/officeDocument/2006/relationships/image" Target="../media/image1.wmf"/><Relationship Id="rId30" Type="http://schemas.openxmlformats.org/officeDocument/2006/relationships/image" Target="../media/image4.wmf"/></Relationships>
</file>

<file path=xl/drawings/_rels/vmlDrawing3.vml.rels><?xml version="1.0" encoding="UTF-8" standalone="yes"?>
<Relationships xmlns="http://schemas.openxmlformats.org/package/2006/relationships"><Relationship Id="rId8" Type="http://schemas.openxmlformats.org/officeDocument/2006/relationships/image" Target="../media/image15.wmf"/><Relationship Id="rId13" Type="http://schemas.openxmlformats.org/officeDocument/2006/relationships/image" Target="../media/image19.wmf"/><Relationship Id="rId18" Type="http://schemas.openxmlformats.org/officeDocument/2006/relationships/image" Target="../media/image23.wmf"/><Relationship Id="rId26" Type="http://schemas.openxmlformats.org/officeDocument/2006/relationships/image" Target="../media/image31.wmf"/><Relationship Id="rId3" Type="http://schemas.openxmlformats.org/officeDocument/2006/relationships/image" Target="../media/image10.wmf"/><Relationship Id="rId21" Type="http://schemas.openxmlformats.org/officeDocument/2006/relationships/image" Target="../media/image26.wmf"/><Relationship Id="rId7" Type="http://schemas.openxmlformats.org/officeDocument/2006/relationships/image" Target="../media/image14.wmf"/><Relationship Id="rId12" Type="http://schemas.openxmlformats.org/officeDocument/2006/relationships/image" Target="../media/image18.wmf"/><Relationship Id="rId17" Type="http://schemas.openxmlformats.org/officeDocument/2006/relationships/image" Target="../media/image22.wmf"/><Relationship Id="rId25" Type="http://schemas.openxmlformats.org/officeDocument/2006/relationships/image" Target="../media/image30.wmf"/><Relationship Id="rId2" Type="http://schemas.openxmlformats.org/officeDocument/2006/relationships/image" Target="../media/image9.wmf"/><Relationship Id="rId16" Type="http://schemas.openxmlformats.org/officeDocument/2006/relationships/image" Target="../media/image21.wmf"/><Relationship Id="rId20" Type="http://schemas.openxmlformats.org/officeDocument/2006/relationships/image" Target="../media/image25.wmf"/><Relationship Id="rId29" Type="http://schemas.openxmlformats.org/officeDocument/2006/relationships/image" Target="../media/image3.wmf"/><Relationship Id="rId1" Type="http://schemas.openxmlformats.org/officeDocument/2006/relationships/image" Target="../media/image8.wmf"/><Relationship Id="rId6" Type="http://schemas.openxmlformats.org/officeDocument/2006/relationships/image" Target="../media/image13.wmf"/><Relationship Id="rId11" Type="http://schemas.openxmlformats.org/officeDocument/2006/relationships/image" Target="../media/image17.wmf"/><Relationship Id="rId24" Type="http://schemas.openxmlformats.org/officeDocument/2006/relationships/image" Target="../media/image29.wmf"/><Relationship Id="rId5" Type="http://schemas.openxmlformats.org/officeDocument/2006/relationships/image" Target="../media/image12.wmf"/><Relationship Id="rId15" Type="http://schemas.openxmlformats.org/officeDocument/2006/relationships/image" Target="../media/image5.wmf"/><Relationship Id="rId23" Type="http://schemas.openxmlformats.org/officeDocument/2006/relationships/image" Target="../media/image28.wmf"/><Relationship Id="rId28" Type="http://schemas.openxmlformats.org/officeDocument/2006/relationships/image" Target="../media/image2.wmf"/><Relationship Id="rId10" Type="http://schemas.openxmlformats.org/officeDocument/2006/relationships/image" Target="../media/image7.wmf"/><Relationship Id="rId19" Type="http://schemas.openxmlformats.org/officeDocument/2006/relationships/image" Target="../media/image24.wmf"/><Relationship Id="rId4" Type="http://schemas.openxmlformats.org/officeDocument/2006/relationships/image" Target="../media/image11.wmf"/><Relationship Id="rId9" Type="http://schemas.openxmlformats.org/officeDocument/2006/relationships/image" Target="../media/image16.wmf"/><Relationship Id="rId14" Type="http://schemas.openxmlformats.org/officeDocument/2006/relationships/image" Target="../media/image20.wmf"/><Relationship Id="rId22" Type="http://schemas.openxmlformats.org/officeDocument/2006/relationships/image" Target="../media/image27.wmf"/><Relationship Id="rId27" Type="http://schemas.openxmlformats.org/officeDocument/2006/relationships/image" Target="../media/image1.wmf"/><Relationship Id="rId30" Type="http://schemas.openxmlformats.org/officeDocument/2006/relationships/image" Target="../media/image4.wmf"/></Relationships>
</file>

<file path=xl/drawings/_rels/vmlDrawing4.vml.rels><?xml version="1.0" encoding="UTF-8" standalone="yes"?>
<Relationships xmlns="http://schemas.openxmlformats.org/package/2006/relationships"><Relationship Id="rId8" Type="http://schemas.openxmlformats.org/officeDocument/2006/relationships/image" Target="../media/image15.wmf"/><Relationship Id="rId13" Type="http://schemas.openxmlformats.org/officeDocument/2006/relationships/image" Target="../media/image19.wmf"/><Relationship Id="rId18" Type="http://schemas.openxmlformats.org/officeDocument/2006/relationships/image" Target="../media/image23.wmf"/><Relationship Id="rId26" Type="http://schemas.openxmlformats.org/officeDocument/2006/relationships/image" Target="../media/image31.wmf"/><Relationship Id="rId3" Type="http://schemas.openxmlformats.org/officeDocument/2006/relationships/image" Target="../media/image10.wmf"/><Relationship Id="rId21" Type="http://schemas.openxmlformats.org/officeDocument/2006/relationships/image" Target="../media/image26.wmf"/><Relationship Id="rId7" Type="http://schemas.openxmlformats.org/officeDocument/2006/relationships/image" Target="../media/image14.wmf"/><Relationship Id="rId12" Type="http://schemas.openxmlformats.org/officeDocument/2006/relationships/image" Target="../media/image18.wmf"/><Relationship Id="rId17" Type="http://schemas.openxmlformats.org/officeDocument/2006/relationships/image" Target="../media/image22.wmf"/><Relationship Id="rId25" Type="http://schemas.openxmlformats.org/officeDocument/2006/relationships/image" Target="../media/image30.wmf"/><Relationship Id="rId2" Type="http://schemas.openxmlformats.org/officeDocument/2006/relationships/image" Target="../media/image9.wmf"/><Relationship Id="rId16" Type="http://schemas.openxmlformats.org/officeDocument/2006/relationships/image" Target="../media/image21.wmf"/><Relationship Id="rId20" Type="http://schemas.openxmlformats.org/officeDocument/2006/relationships/image" Target="../media/image25.wmf"/><Relationship Id="rId29" Type="http://schemas.openxmlformats.org/officeDocument/2006/relationships/image" Target="../media/image3.wmf"/><Relationship Id="rId1" Type="http://schemas.openxmlformats.org/officeDocument/2006/relationships/image" Target="../media/image8.wmf"/><Relationship Id="rId6" Type="http://schemas.openxmlformats.org/officeDocument/2006/relationships/image" Target="../media/image13.wmf"/><Relationship Id="rId11" Type="http://schemas.openxmlformats.org/officeDocument/2006/relationships/image" Target="../media/image17.wmf"/><Relationship Id="rId24" Type="http://schemas.openxmlformats.org/officeDocument/2006/relationships/image" Target="../media/image29.wmf"/><Relationship Id="rId5" Type="http://schemas.openxmlformats.org/officeDocument/2006/relationships/image" Target="../media/image12.wmf"/><Relationship Id="rId15" Type="http://schemas.openxmlformats.org/officeDocument/2006/relationships/image" Target="../media/image5.wmf"/><Relationship Id="rId23" Type="http://schemas.openxmlformats.org/officeDocument/2006/relationships/image" Target="../media/image28.wmf"/><Relationship Id="rId28" Type="http://schemas.openxmlformats.org/officeDocument/2006/relationships/image" Target="../media/image2.wmf"/><Relationship Id="rId10" Type="http://schemas.openxmlformats.org/officeDocument/2006/relationships/image" Target="../media/image7.wmf"/><Relationship Id="rId19" Type="http://schemas.openxmlformats.org/officeDocument/2006/relationships/image" Target="../media/image24.wmf"/><Relationship Id="rId4" Type="http://schemas.openxmlformats.org/officeDocument/2006/relationships/image" Target="../media/image11.wmf"/><Relationship Id="rId9" Type="http://schemas.openxmlformats.org/officeDocument/2006/relationships/image" Target="../media/image16.wmf"/><Relationship Id="rId14" Type="http://schemas.openxmlformats.org/officeDocument/2006/relationships/image" Target="../media/image20.wmf"/><Relationship Id="rId22" Type="http://schemas.openxmlformats.org/officeDocument/2006/relationships/image" Target="../media/image27.wmf"/><Relationship Id="rId27" Type="http://schemas.openxmlformats.org/officeDocument/2006/relationships/image" Target="../media/image1.wmf"/><Relationship Id="rId30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17</xdr:row>
      <xdr:rowOff>90487</xdr:rowOff>
    </xdr:from>
    <xdr:to>
      <xdr:col>6</xdr:col>
      <xdr:colOff>19050</xdr:colOff>
      <xdr:row>37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390525</xdr:colOff>
      <xdr:row>18</xdr:row>
      <xdr:rowOff>176212</xdr:rowOff>
    </xdr:from>
    <xdr:to>
      <xdr:col>15</xdr:col>
      <xdr:colOff>0</xdr:colOff>
      <xdr:row>37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61</xdr:row>
      <xdr:rowOff>33337</xdr:rowOff>
    </xdr:from>
    <xdr:to>
      <xdr:col>12</xdr:col>
      <xdr:colOff>638175</xdr:colOff>
      <xdr:row>73</xdr:row>
      <xdr:rowOff>33337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61</xdr:row>
      <xdr:rowOff>119062</xdr:rowOff>
    </xdr:from>
    <xdr:to>
      <xdr:col>6</xdr:col>
      <xdr:colOff>114300</xdr:colOff>
      <xdr:row>73</xdr:row>
      <xdr:rowOff>119062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342900</xdr:colOff>
      <xdr:row>55</xdr:row>
      <xdr:rowOff>166686</xdr:rowOff>
    </xdr:from>
    <xdr:to>
      <xdr:col>27</xdr:col>
      <xdr:colOff>314325</xdr:colOff>
      <xdr:row>76</xdr:row>
      <xdr:rowOff>76199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904875</xdr:colOff>
      <xdr:row>73</xdr:row>
      <xdr:rowOff>204786</xdr:rowOff>
    </xdr:from>
    <xdr:to>
      <xdr:col>17</xdr:col>
      <xdr:colOff>209550</xdr:colOff>
      <xdr:row>90</xdr:row>
      <xdr:rowOff>76199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409574</xdr:colOff>
      <xdr:row>77</xdr:row>
      <xdr:rowOff>4762</xdr:rowOff>
    </xdr:from>
    <xdr:to>
      <xdr:col>31</xdr:col>
      <xdr:colOff>95249</xdr:colOff>
      <xdr:row>91</xdr:row>
      <xdr:rowOff>209550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219075</xdr:colOff>
      <xdr:row>97</xdr:row>
      <xdr:rowOff>190500</xdr:rowOff>
    </xdr:from>
    <xdr:to>
      <xdr:col>23</xdr:col>
      <xdr:colOff>390525</xdr:colOff>
      <xdr:row>114</xdr:row>
      <xdr:rowOff>61913</xdr:rowOff>
    </xdr:to>
    <xdr:graphicFrame macro="">
      <xdr:nvGraphicFramePr>
        <xdr:cNvPr id="44" name="Диаграмма 43">
          <a:extLst>
            <a:ext uri="{FF2B5EF4-FFF2-40B4-BE49-F238E27FC236}">
              <a16:creationId xmlns:a16="http://schemas.microsoft.com/office/drawing/2014/main" id="{00000000-0008-0000-07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5</xdr:row>
          <xdr:rowOff>19050</xdr:rowOff>
        </xdr:from>
        <xdr:to>
          <xdr:col>0</xdr:col>
          <xdr:colOff>190500</xdr:colOff>
          <xdr:row>6</xdr:row>
          <xdr:rowOff>9525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7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314325</xdr:colOff>
          <xdr:row>6</xdr:row>
          <xdr:rowOff>9525</xdr:rowOff>
        </xdr:from>
        <xdr:to>
          <xdr:col>0</xdr:col>
          <xdr:colOff>666750</xdr:colOff>
          <xdr:row>7</xdr:row>
          <xdr:rowOff>19050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7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323850</xdr:colOff>
          <xdr:row>7</xdr:row>
          <xdr:rowOff>0</xdr:rowOff>
        </xdr:from>
        <xdr:to>
          <xdr:col>0</xdr:col>
          <xdr:colOff>742950</xdr:colOff>
          <xdr:row>8</xdr:row>
          <xdr:rowOff>28575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7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8</xdr:row>
          <xdr:rowOff>0</xdr:rowOff>
        </xdr:from>
        <xdr:to>
          <xdr:col>0</xdr:col>
          <xdr:colOff>247650</xdr:colOff>
          <xdr:row>9</xdr:row>
          <xdr:rowOff>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7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304800</xdr:colOff>
          <xdr:row>4</xdr:row>
          <xdr:rowOff>9525</xdr:rowOff>
        </xdr:from>
        <xdr:to>
          <xdr:col>0</xdr:col>
          <xdr:colOff>733425</xdr:colOff>
          <xdr:row>5</xdr:row>
          <xdr:rowOff>19050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7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6</xdr:col>
          <xdr:colOff>723900</xdr:colOff>
          <xdr:row>4</xdr:row>
          <xdr:rowOff>28575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7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5</xdr:row>
          <xdr:rowOff>19050</xdr:rowOff>
        </xdr:from>
        <xdr:to>
          <xdr:col>9</xdr:col>
          <xdr:colOff>190500</xdr:colOff>
          <xdr:row>6</xdr:row>
          <xdr:rowOff>9525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7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314325</xdr:colOff>
          <xdr:row>6</xdr:row>
          <xdr:rowOff>9525</xdr:rowOff>
        </xdr:from>
        <xdr:to>
          <xdr:col>9</xdr:col>
          <xdr:colOff>666750</xdr:colOff>
          <xdr:row>7</xdr:row>
          <xdr:rowOff>19050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7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323850</xdr:colOff>
          <xdr:row>7</xdr:row>
          <xdr:rowOff>0</xdr:rowOff>
        </xdr:from>
        <xdr:to>
          <xdr:col>9</xdr:col>
          <xdr:colOff>742950</xdr:colOff>
          <xdr:row>8</xdr:row>
          <xdr:rowOff>28575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7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57150</xdr:colOff>
          <xdr:row>8</xdr:row>
          <xdr:rowOff>0</xdr:rowOff>
        </xdr:from>
        <xdr:to>
          <xdr:col>9</xdr:col>
          <xdr:colOff>247650</xdr:colOff>
          <xdr:row>9</xdr:row>
          <xdr:rowOff>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7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304800</xdr:colOff>
          <xdr:row>4</xdr:row>
          <xdr:rowOff>9525</xdr:rowOff>
        </xdr:from>
        <xdr:to>
          <xdr:col>9</xdr:col>
          <xdr:colOff>733425</xdr:colOff>
          <xdr:row>5</xdr:row>
          <xdr:rowOff>19050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7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2</xdr:row>
          <xdr:rowOff>0</xdr:rowOff>
        </xdr:from>
        <xdr:to>
          <xdr:col>15</xdr:col>
          <xdr:colOff>723900</xdr:colOff>
          <xdr:row>4</xdr:row>
          <xdr:rowOff>28575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7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38100</xdr:colOff>
          <xdr:row>5</xdr:row>
          <xdr:rowOff>19050</xdr:rowOff>
        </xdr:from>
        <xdr:to>
          <xdr:col>18</xdr:col>
          <xdr:colOff>190500</xdr:colOff>
          <xdr:row>6</xdr:row>
          <xdr:rowOff>9525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7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314325</xdr:colOff>
          <xdr:row>6</xdr:row>
          <xdr:rowOff>9525</xdr:rowOff>
        </xdr:from>
        <xdr:to>
          <xdr:col>18</xdr:col>
          <xdr:colOff>666750</xdr:colOff>
          <xdr:row>7</xdr:row>
          <xdr:rowOff>19050</xdr:rowOff>
        </xdr:to>
        <xdr:sp macro="" textlink="">
          <xdr:nvSpPr>
            <xdr:cNvPr id="1044" name="Object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7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323850</xdr:colOff>
          <xdr:row>7</xdr:row>
          <xdr:rowOff>0</xdr:rowOff>
        </xdr:from>
        <xdr:to>
          <xdr:col>18</xdr:col>
          <xdr:colOff>742950</xdr:colOff>
          <xdr:row>8</xdr:row>
          <xdr:rowOff>28575</xdr:rowOff>
        </xdr:to>
        <xdr:sp macro="" textlink="">
          <xdr:nvSpPr>
            <xdr:cNvPr id="1045" name="Object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7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57150</xdr:colOff>
          <xdr:row>8</xdr:row>
          <xdr:rowOff>0</xdr:rowOff>
        </xdr:from>
        <xdr:to>
          <xdr:col>18</xdr:col>
          <xdr:colOff>247650</xdr:colOff>
          <xdr:row>9</xdr:row>
          <xdr:rowOff>0</xdr:rowOff>
        </xdr:to>
        <xdr:sp macro="" textlink="">
          <xdr:nvSpPr>
            <xdr:cNvPr id="1046" name="Object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7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304800</xdr:colOff>
          <xdr:row>4</xdr:row>
          <xdr:rowOff>9525</xdr:rowOff>
        </xdr:from>
        <xdr:to>
          <xdr:col>18</xdr:col>
          <xdr:colOff>733425</xdr:colOff>
          <xdr:row>5</xdr:row>
          <xdr:rowOff>19050</xdr:rowOff>
        </xdr:to>
        <xdr:sp macro="" textlink="">
          <xdr:nvSpPr>
            <xdr:cNvPr id="1047" name="Object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7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0</xdr:colOff>
          <xdr:row>2</xdr:row>
          <xdr:rowOff>0</xdr:rowOff>
        </xdr:from>
        <xdr:to>
          <xdr:col>24</xdr:col>
          <xdr:colOff>723900</xdr:colOff>
          <xdr:row>4</xdr:row>
          <xdr:rowOff>28575</xdr:rowOff>
        </xdr:to>
        <xdr:sp macro="" textlink="">
          <xdr:nvSpPr>
            <xdr:cNvPr id="1048" name="Object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7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38100</xdr:colOff>
          <xdr:row>5</xdr:row>
          <xdr:rowOff>19050</xdr:rowOff>
        </xdr:from>
        <xdr:to>
          <xdr:col>27</xdr:col>
          <xdr:colOff>190500</xdr:colOff>
          <xdr:row>6</xdr:row>
          <xdr:rowOff>9525</xdr:rowOff>
        </xdr:to>
        <xdr:sp macro="" textlink="">
          <xdr:nvSpPr>
            <xdr:cNvPr id="1055" name="Object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7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314325</xdr:colOff>
          <xdr:row>6</xdr:row>
          <xdr:rowOff>9525</xdr:rowOff>
        </xdr:from>
        <xdr:to>
          <xdr:col>27</xdr:col>
          <xdr:colOff>666750</xdr:colOff>
          <xdr:row>7</xdr:row>
          <xdr:rowOff>19050</xdr:rowOff>
        </xdr:to>
        <xdr:sp macro="" textlink="">
          <xdr:nvSpPr>
            <xdr:cNvPr id="1056" name="Object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7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323850</xdr:colOff>
          <xdr:row>7</xdr:row>
          <xdr:rowOff>0</xdr:rowOff>
        </xdr:from>
        <xdr:to>
          <xdr:col>27</xdr:col>
          <xdr:colOff>742950</xdr:colOff>
          <xdr:row>8</xdr:row>
          <xdr:rowOff>28575</xdr:rowOff>
        </xdr:to>
        <xdr:sp macro="" textlink="">
          <xdr:nvSpPr>
            <xdr:cNvPr id="1057" name="Object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7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57150</xdr:colOff>
          <xdr:row>8</xdr:row>
          <xdr:rowOff>0</xdr:rowOff>
        </xdr:from>
        <xdr:to>
          <xdr:col>27</xdr:col>
          <xdr:colOff>247650</xdr:colOff>
          <xdr:row>9</xdr:row>
          <xdr:rowOff>0</xdr:rowOff>
        </xdr:to>
        <xdr:sp macro="" textlink="">
          <xdr:nvSpPr>
            <xdr:cNvPr id="1058" name="Object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7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304800</xdr:colOff>
          <xdr:row>4</xdr:row>
          <xdr:rowOff>9525</xdr:rowOff>
        </xdr:from>
        <xdr:to>
          <xdr:col>27</xdr:col>
          <xdr:colOff>733425</xdr:colOff>
          <xdr:row>5</xdr:row>
          <xdr:rowOff>19050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7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0</xdr:colOff>
          <xdr:row>2</xdr:row>
          <xdr:rowOff>0</xdr:rowOff>
        </xdr:from>
        <xdr:to>
          <xdr:col>33</xdr:col>
          <xdr:colOff>723900</xdr:colOff>
          <xdr:row>4</xdr:row>
          <xdr:rowOff>28575</xdr:rowOff>
        </xdr:to>
        <xdr:sp macro="" textlink="">
          <xdr:nvSpPr>
            <xdr:cNvPr id="1060" name="Object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7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38100</xdr:colOff>
          <xdr:row>5</xdr:row>
          <xdr:rowOff>19050</xdr:rowOff>
        </xdr:from>
        <xdr:to>
          <xdr:col>47</xdr:col>
          <xdr:colOff>190500</xdr:colOff>
          <xdr:row>6</xdr:row>
          <xdr:rowOff>9525</xdr:rowOff>
        </xdr:to>
        <xdr:sp macro="" textlink="">
          <xdr:nvSpPr>
            <xdr:cNvPr id="1061" name="Object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7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314325</xdr:colOff>
          <xdr:row>6</xdr:row>
          <xdr:rowOff>9525</xdr:rowOff>
        </xdr:from>
        <xdr:to>
          <xdr:col>47</xdr:col>
          <xdr:colOff>666750</xdr:colOff>
          <xdr:row>7</xdr:row>
          <xdr:rowOff>19050</xdr:rowOff>
        </xdr:to>
        <xdr:sp macro="" textlink="">
          <xdr:nvSpPr>
            <xdr:cNvPr id="1062" name="Object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7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323850</xdr:colOff>
          <xdr:row>7</xdr:row>
          <xdr:rowOff>0</xdr:rowOff>
        </xdr:from>
        <xdr:to>
          <xdr:col>47</xdr:col>
          <xdr:colOff>742950</xdr:colOff>
          <xdr:row>8</xdr:row>
          <xdr:rowOff>28575</xdr:rowOff>
        </xdr:to>
        <xdr:sp macro="" textlink="">
          <xdr:nvSpPr>
            <xdr:cNvPr id="1063" name="Object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7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57150</xdr:colOff>
          <xdr:row>8</xdr:row>
          <xdr:rowOff>0</xdr:rowOff>
        </xdr:from>
        <xdr:to>
          <xdr:col>47</xdr:col>
          <xdr:colOff>247650</xdr:colOff>
          <xdr:row>9</xdr:row>
          <xdr:rowOff>0</xdr:rowOff>
        </xdr:to>
        <xdr:sp macro="" textlink="">
          <xdr:nvSpPr>
            <xdr:cNvPr id="1064" name="Object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7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304800</xdr:colOff>
          <xdr:row>4</xdr:row>
          <xdr:rowOff>9525</xdr:rowOff>
        </xdr:from>
        <xdr:to>
          <xdr:col>47</xdr:col>
          <xdr:colOff>733425</xdr:colOff>
          <xdr:row>5</xdr:row>
          <xdr:rowOff>19050</xdr:rowOff>
        </xdr:to>
        <xdr:sp macro="" textlink="">
          <xdr:nvSpPr>
            <xdr:cNvPr id="1065" name="Object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7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0</xdr:colOff>
          <xdr:row>2</xdr:row>
          <xdr:rowOff>0</xdr:rowOff>
        </xdr:from>
        <xdr:to>
          <xdr:col>54</xdr:col>
          <xdr:colOff>0</xdr:colOff>
          <xdr:row>4</xdr:row>
          <xdr:rowOff>28575</xdr:rowOff>
        </xdr:to>
        <xdr:sp macro="" textlink="">
          <xdr:nvSpPr>
            <xdr:cNvPr id="1066" name="Object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7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38100</xdr:colOff>
          <xdr:row>5</xdr:row>
          <xdr:rowOff>19050</xdr:rowOff>
        </xdr:from>
        <xdr:to>
          <xdr:col>37</xdr:col>
          <xdr:colOff>190500</xdr:colOff>
          <xdr:row>6</xdr:row>
          <xdr:rowOff>9525</xdr:rowOff>
        </xdr:to>
        <xdr:sp macro="" textlink="">
          <xdr:nvSpPr>
            <xdr:cNvPr id="1067" name="Object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7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314325</xdr:colOff>
          <xdr:row>6</xdr:row>
          <xdr:rowOff>9525</xdr:rowOff>
        </xdr:from>
        <xdr:to>
          <xdr:col>37</xdr:col>
          <xdr:colOff>666750</xdr:colOff>
          <xdr:row>7</xdr:row>
          <xdr:rowOff>19050</xdr:rowOff>
        </xdr:to>
        <xdr:sp macro="" textlink="">
          <xdr:nvSpPr>
            <xdr:cNvPr id="1068" name="Object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7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323850</xdr:colOff>
          <xdr:row>7</xdr:row>
          <xdr:rowOff>0</xdr:rowOff>
        </xdr:from>
        <xdr:to>
          <xdr:col>37</xdr:col>
          <xdr:colOff>742950</xdr:colOff>
          <xdr:row>8</xdr:row>
          <xdr:rowOff>28575</xdr:rowOff>
        </xdr:to>
        <xdr:sp macro="" textlink="">
          <xdr:nvSpPr>
            <xdr:cNvPr id="1069" name="Object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7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57150</xdr:colOff>
          <xdr:row>8</xdr:row>
          <xdr:rowOff>0</xdr:rowOff>
        </xdr:from>
        <xdr:to>
          <xdr:col>37</xdr:col>
          <xdr:colOff>247650</xdr:colOff>
          <xdr:row>9</xdr:row>
          <xdr:rowOff>0</xdr:rowOff>
        </xdr:to>
        <xdr:sp macro="" textlink="">
          <xdr:nvSpPr>
            <xdr:cNvPr id="1070" name="Object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7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304800</xdr:colOff>
          <xdr:row>4</xdr:row>
          <xdr:rowOff>9525</xdr:rowOff>
        </xdr:from>
        <xdr:to>
          <xdr:col>37</xdr:col>
          <xdr:colOff>733425</xdr:colOff>
          <xdr:row>5</xdr:row>
          <xdr:rowOff>19050</xdr:rowOff>
        </xdr:to>
        <xdr:sp macro="" textlink="">
          <xdr:nvSpPr>
            <xdr:cNvPr id="1071" name="Object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7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0</xdr:colOff>
          <xdr:row>2</xdr:row>
          <xdr:rowOff>0</xdr:rowOff>
        </xdr:from>
        <xdr:to>
          <xdr:col>44</xdr:col>
          <xdr:colOff>0</xdr:colOff>
          <xdr:row>4</xdr:row>
          <xdr:rowOff>28575</xdr:rowOff>
        </xdr:to>
        <xdr:sp macro="" textlink="">
          <xdr:nvSpPr>
            <xdr:cNvPr id="1072" name="Object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7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92</xdr:row>
          <xdr:rowOff>0</xdr:rowOff>
        </xdr:from>
        <xdr:to>
          <xdr:col>9</xdr:col>
          <xdr:colOff>371475</xdr:colOff>
          <xdr:row>93</xdr:row>
          <xdr:rowOff>9525</xdr:rowOff>
        </xdr:to>
        <xdr:sp macro="" textlink="">
          <xdr:nvSpPr>
            <xdr:cNvPr id="1074" name="Object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7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98</xdr:row>
          <xdr:rowOff>0</xdr:rowOff>
        </xdr:from>
        <xdr:to>
          <xdr:col>9</xdr:col>
          <xdr:colOff>371475</xdr:colOff>
          <xdr:row>99</xdr:row>
          <xdr:rowOff>9525</xdr:rowOff>
        </xdr:to>
        <xdr:sp macro="" textlink="">
          <xdr:nvSpPr>
            <xdr:cNvPr id="1075" name="Object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7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19050</xdr:colOff>
          <xdr:row>98</xdr:row>
          <xdr:rowOff>0</xdr:rowOff>
        </xdr:from>
        <xdr:to>
          <xdr:col>27</xdr:col>
          <xdr:colOff>371475</xdr:colOff>
          <xdr:row>99</xdr:row>
          <xdr:rowOff>9525</xdr:rowOff>
        </xdr:to>
        <xdr:sp macro="" textlink="">
          <xdr:nvSpPr>
            <xdr:cNvPr id="1076" name="Object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7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66675</xdr:colOff>
      <xdr:row>82</xdr:row>
      <xdr:rowOff>138111</xdr:rowOff>
    </xdr:from>
    <xdr:to>
      <xdr:col>8</xdr:col>
      <xdr:colOff>180975</xdr:colOff>
      <xdr:row>102</xdr:row>
      <xdr:rowOff>104774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47625</xdr:colOff>
      <xdr:row>115</xdr:row>
      <xdr:rowOff>0</xdr:rowOff>
    </xdr:from>
    <xdr:to>
      <xdr:col>8</xdr:col>
      <xdr:colOff>485775</xdr:colOff>
      <xdr:row>127</xdr:row>
      <xdr:rowOff>152400</xdr:rowOff>
    </xdr:to>
    <xdr:graphicFrame macro="">
      <xdr:nvGraphicFramePr>
        <xdr:cNvPr id="48" name="Диаграмма 47">
          <a:extLst>
            <a:ext uri="{FF2B5EF4-FFF2-40B4-BE49-F238E27FC236}">
              <a16:creationId xmlns:a16="http://schemas.microsoft.com/office/drawing/2014/main" id="{00000000-0008-0000-07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116</xdr:row>
          <xdr:rowOff>19050</xdr:rowOff>
        </xdr:from>
        <xdr:to>
          <xdr:col>0</xdr:col>
          <xdr:colOff>190500</xdr:colOff>
          <xdr:row>117</xdr:row>
          <xdr:rowOff>9525</xdr:rowOff>
        </xdr:to>
        <xdr:sp macro="" textlink="">
          <xdr:nvSpPr>
            <xdr:cNvPr id="1077" name="Object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7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116</xdr:row>
          <xdr:rowOff>19050</xdr:rowOff>
        </xdr:from>
        <xdr:to>
          <xdr:col>0</xdr:col>
          <xdr:colOff>190500</xdr:colOff>
          <xdr:row>117</xdr:row>
          <xdr:rowOff>9525</xdr:rowOff>
        </xdr:to>
        <xdr:sp macro="" textlink="">
          <xdr:nvSpPr>
            <xdr:cNvPr id="1078" name="Object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7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47625</xdr:colOff>
      <xdr:row>115</xdr:row>
      <xdr:rowOff>0</xdr:rowOff>
    </xdr:from>
    <xdr:to>
      <xdr:col>17</xdr:col>
      <xdr:colOff>485775</xdr:colOff>
      <xdr:row>127</xdr:row>
      <xdr:rowOff>152400</xdr:rowOff>
    </xdr:to>
    <xdr:graphicFrame macro="">
      <xdr:nvGraphicFramePr>
        <xdr:cNvPr id="51" name="Диаграмма 50">
          <a:extLst>
            <a:ext uri="{FF2B5EF4-FFF2-40B4-BE49-F238E27FC236}">
              <a16:creationId xmlns:a16="http://schemas.microsoft.com/office/drawing/2014/main" id="{00000000-0008-0000-07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116</xdr:row>
          <xdr:rowOff>19050</xdr:rowOff>
        </xdr:from>
        <xdr:to>
          <xdr:col>9</xdr:col>
          <xdr:colOff>190500</xdr:colOff>
          <xdr:row>117</xdr:row>
          <xdr:rowOff>9525</xdr:rowOff>
        </xdr:to>
        <xdr:sp macro="" textlink="">
          <xdr:nvSpPr>
            <xdr:cNvPr id="1079" name="Object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7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116</xdr:row>
          <xdr:rowOff>19050</xdr:rowOff>
        </xdr:from>
        <xdr:to>
          <xdr:col>9</xdr:col>
          <xdr:colOff>190500</xdr:colOff>
          <xdr:row>117</xdr:row>
          <xdr:rowOff>9525</xdr:rowOff>
        </xdr:to>
        <xdr:sp macro="" textlink="">
          <xdr:nvSpPr>
            <xdr:cNvPr id="1080" name="Object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7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22</xdr:col>
      <xdr:colOff>47625</xdr:colOff>
      <xdr:row>115</xdr:row>
      <xdr:rowOff>0</xdr:rowOff>
    </xdr:from>
    <xdr:to>
      <xdr:col>26</xdr:col>
      <xdr:colOff>485775</xdr:colOff>
      <xdr:row>127</xdr:row>
      <xdr:rowOff>152400</xdr:rowOff>
    </xdr:to>
    <xdr:graphicFrame macro="">
      <xdr:nvGraphicFramePr>
        <xdr:cNvPr id="54" name="Диаграмма 53">
          <a:extLst>
            <a:ext uri="{FF2B5EF4-FFF2-40B4-BE49-F238E27FC236}">
              <a16:creationId xmlns:a16="http://schemas.microsoft.com/office/drawing/2014/main" id="{00000000-0008-0000-07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38100</xdr:colOff>
          <xdr:row>116</xdr:row>
          <xdr:rowOff>19050</xdr:rowOff>
        </xdr:from>
        <xdr:to>
          <xdr:col>18</xdr:col>
          <xdr:colOff>190500</xdr:colOff>
          <xdr:row>117</xdr:row>
          <xdr:rowOff>9525</xdr:rowOff>
        </xdr:to>
        <xdr:sp macro="" textlink="">
          <xdr:nvSpPr>
            <xdr:cNvPr id="1081" name="Object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7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38100</xdr:colOff>
          <xdr:row>116</xdr:row>
          <xdr:rowOff>19050</xdr:rowOff>
        </xdr:from>
        <xdr:to>
          <xdr:col>18</xdr:col>
          <xdr:colOff>190500</xdr:colOff>
          <xdr:row>117</xdr:row>
          <xdr:rowOff>9525</xdr:rowOff>
        </xdr:to>
        <xdr:sp macro="" textlink="">
          <xdr:nvSpPr>
            <xdr:cNvPr id="1082" name="Object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7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31</xdr:col>
      <xdr:colOff>47625</xdr:colOff>
      <xdr:row>115</xdr:row>
      <xdr:rowOff>0</xdr:rowOff>
    </xdr:from>
    <xdr:to>
      <xdr:col>35</xdr:col>
      <xdr:colOff>485775</xdr:colOff>
      <xdr:row>127</xdr:row>
      <xdr:rowOff>152400</xdr:rowOff>
    </xdr:to>
    <xdr:graphicFrame macro="">
      <xdr:nvGraphicFramePr>
        <xdr:cNvPr id="57" name="Диаграмма 56">
          <a:extLst>
            <a:ext uri="{FF2B5EF4-FFF2-40B4-BE49-F238E27FC236}">
              <a16:creationId xmlns:a16="http://schemas.microsoft.com/office/drawing/2014/main" id="{00000000-0008-0000-07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38100</xdr:colOff>
          <xdr:row>116</xdr:row>
          <xdr:rowOff>19050</xdr:rowOff>
        </xdr:from>
        <xdr:to>
          <xdr:col>27</xdr:col>
          <xdr:colOff>190500</xdr:colOff>
          <xdr:row>117</xdr:row>
          <xdr:rowOff>9525</xdr:rowOff>
        </xdr:to>
        <xdr:sp macro="" textlink="">
          <xdr:nvSpPr>
            <xdr:cNvPr id="1083" name="Object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7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38100</xdr:colOff>
          <xdr:row>116</xdr:row>
          <xdr:rowOff>19050</xdr:rowOff>
        </xdr:from>
        <xdr:to>
          <xdr:col>27</xdr:col>
          <xdr:colOff>190500</xdr:colOff>
          <xdr:row>117</xdr:row>
          <xdr:rowOff>9525</xdr:rowOff>
        </xdr:to>
        <xdr:sp macro="" textlink="">
          <xdr:nvSpPr>
            <xdr:cNvPr id="1084" name="Object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7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41</xdr:col>
      <xdr:colOff>47625</xdr:colOff>
      <xdr:row>115</xdr:row>
      <xdr:rowOff>0</xdr:rowOff>
    </xdr:from>
    <xdr:to>
      <xdr:col>45</xdr:col>
      <xdr:colOff>485775</xdr:colOff>
      <xdr:row>127</xdr:row>
      <xdr:rowOff>152400</xdr:rowOff>
    </xdr:to>
    <xdr:graphicFrame macro="">
      <xdr:nvGraphicFramePr>
        <xdr:cNvPr id="60" name="Диаграмма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38100</xdr:colOff>
          <xdr:row>116</xdr:row>
          <xdr:rowOff>19050</xdr:rowOff>
        </xdr:from>
        <xdr:to>
          <xdr:col>37</xdr:col>
          <xdr:colOff>190500</xdr:colOff>
          <xdr:row>117</xdr:row>
          <xdr:rowOff>9525</xdr:rowOff>
        </xdr:to>
        <xdr:sp macro="" textlink="">
          <xdr:nvSpPr>
            <xdr:cNvPr id="1085" name="Object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7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38100</xdr:colOff>
          <xdr:row>116</xdr:row>
          <xdr:rowOff>19050</xdr:rowOff>
        </xdr:from>
        <xdr:to>
          <xdr:col>37</xdr:col>
          <xdr:colOff>190500</xdr:colOff>
          <xdr:row>117</xdr:row>
          <xdr:rowOff>9525</xdr:rowOff>
        </xdr:to>
        <xdr:sp macro="" textlink="">
          <xdr:nvSpPr>
            <xdr:cNvPr id="1086" name="Object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7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11</xdr:col>
      <xdr:colOff>400049</xdr:colOff>
      <xdr:row>160</xdr:row>
      <xdr:rowOff>76200</xdr:rowOff>
    </xdr:from>
    <xdr:to>
      <xdr:col>18</xdr:col>
      <xdr:colOff>1123950</xdr:colOff>
      <xdr:row>184</xdr:row>
      <xdr:rowOff>9525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0.67282</cdr:x>
      <cdr:y>0.83013</cdr:y>
    </cdr:from>
    <cdr:to>
      <cdr:x>0.99139</cdr:x>
      <cdr:y>0.98584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10175" y="3910014"/>
          <a:ext cx="2466975" cy="733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900"/>
            <a:t>Полиномиальный тренд А испр хорошо ложится на график, но уходит в минус на 0.</a:t>
          </a:r>
        </a:p>
        <a:p xmlns:a="http://schemas.openxmlformats.org/drawingml/2006/main">
          <a:r>
            <a:rPr lang="ru-RU" sz="900"/>
            <a:t>Степенной тренд А испр хуже ложится на график, но идет  строго в 0.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32</xdr:row>
      <xdr:rowOff>9525</xdr:rowOff>
    </xdr:from>
    <xdr:to>
      <xdr:col>0</xdr:col>
      <xdr:colOff>295275</xdr:colOff>
      <xdr:row>33</xdr:row>
      <xdr:rowOff>19050</xdr:rowOff>
    </xdr:to>
    <xdr:pic>
      <xdr:nvPicPr>
        <xdr:cNvPr id="2" name="Picture 33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7324725"/>
          <a:ext cx="257175" cy="238125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38</xdr:row>
          <xdr:rowOff>66675</xdr:rowOff>
        </xdr:from>
        <xdr:to>
          <xdr:col>0</xdr:col>
          <xdr:colOff>514350</xdr:colOff>
          <xdr:row>39</xdr:row>
          <xdr:rowOff>0</xdr:rowOff>
        </xdr:to>
        <xdr:sp macro="" textlink="">
          <xdr:nvSpPr>
            <xdr:cNvPr id="14337" name="Object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333375</xdr:colOff>
          <xdr:row>39</xdr:row>
          <xdr:rowOff>47625</xdr:rowOff>
        </xdr:from>
        <xdr:to>
          <xdr:col>0</xdr:col>
          <xdr:colOff>552450</xdr:colOff>
          <xdr:row>40</xdr:row>
          <xdr:rowOff>28575</xdr:rowOff>
        </xdr:to>
        <xdr:sp macro="" textlink="">
          <xdr:nvSpPr>
            <xdr:cNvPr id="14338" name="Object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55</xdr:row>
          <xdr:rowOff>19050</xdr:rowOff>
        </xdr:from>
        <xdr:to>
          <xdr:col>0</xdr:col>
          <xdr:colOff>247650</xdr:colOff>
          <xdr:row>56</xdr:row>
          <xdr:rowOff>28575</xdr:rowOff>
        </xdr:to>
        <xdr:sp macro="" textlink="">
          <xdr:nvSpPr>
            <xdr:cNvPr id="14339" name="Object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56</xdr:row>
          <xdr:rowOff>19050</xdr:rowOff>
        </xdr:from>
        <xdr:to>
          <xdr:col>0</xdr:col>
          <xdr:colOff>733425</xdr:colOff>
          <xdr:row>57</xdr:row>
          <xdr:rowOff>28575</xdr:rowOff>
        </xdr:to>
        <xdr:sp macro="" textlink="">
          <xdr:nvSpPr>
            <xdr:cNvPr id="14340" name="Object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58</xdr:row>
          <xdr:rowOff>9525</xdr:rowOff>
        </xdr:from>
        <xdr:to>
          <xdr:col>0</xdr:col>
          <xdr:colOff>342900</xdr:colOff>
          <xdr:row>59</xdr:row>
          <xdr:rowOff>19050</xdr:rowOff>
        </xdr:to>
        <xdr:sp macro="" textlink="">
          <xdr:nvSpPr>
            <xdr:cNvPr id="14341" name="Object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57</xdr:row>
          <xdr:rowOff>28575</xdr:rowOff>
        </xdr:from>
        <xdr:to>
          <xdr:col>0</xdr:col>
          <xdr:colOff>247650</xdr:colOff>
          <xdr:row>58</xdr:row>
          <xdr:rowOff>19050</xdr:rowOff>
        </xdr:to>
        <xdr:sp macro="" textlink="">
          <xdr:nvSpPr>
            <xdr:cNvPr id="14342" name="Object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66675</xdr:colOff>
          <xdr:row>41</xdr:row>
          <xdr:rowOff>9525</xdr:rowOff>
        </xdr:from>
        <xdr:to>
          <xdr:col>0</xdr:col>
          <xdr:colOff>371475</xdr:colOff>
          <xdr:row>42</xdr:row>
          <xdr:rowOff>19050</xdr:rowOff>
        </xdr:to>
        <xdr:sp macro="" textlink="">
          <xdr:nvSpPr>
            <xdr:cNvPr id="14343" name="Object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42</xdr:row>
          <xdr:rowOff>9525</xdr:rowOff>
        </xdr:from>
        <xdr:to>
          <xdr:col>0</xdr:col>
          <xdr:colOff>609600</xdr:colOff>
          <xdr:row>43</xdr:row>
          <xdr:rowOff>19050</xdr:rowOff>
        </xdr:to>
        <xdr:sp macro="" textlink="">
          <xdr:nvSpPr>
            <xdr:cNvPr id="14344" name="Object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45</xdr:row>
          <xdr:rowOff>28575</xdr:rowOff>
        </xdr:from>
        <xdr:to>
          <xdr:col>0</xdr:col>
          <xdr:colOff>209550</xdr:colOff>
          <xdr:row>46</xdr:row>
          <xdr:rowOff>19050</xdr:rowOff>
        </xdr:to>
        <xdr:sp macro="" textlink="">
          <xdr:nvSpPr>
            <xdr:cNvPr id="14345" name="Object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35</xdr:row>
          <xdr:rowOff>0</xdr:rowOff>
        </xdr:from>
        <xdr:to>
          <xdr:col>0</xdr:col>
          <xdr:colOff>371475</xdr:colOff>
          <xdr:row>36</xdr:row>
          <xdr:rowOff>9525</xdr:rowOff>
        </xdr:to>
        <xdr:sp macro="" textlink="">
          <xdr:nvSpPr>
            <xdr:cNvPr id="14346" name="Object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48</xdr:row>
          <xdr:rowOff>19050</xdr:rowOff>
        </xdr:from>
        <xdr:to>
          <xdr:col>0</xdr:col>
          <xdr:colOff>381000</xdr:colOff>
          <xdr:row>49</xdr:row>
          <xdr:rowOff>9525</xdr:rowOff>
        </xdr:to>
        <xdr:sp macro="" textlink="">
          <xdr:nvSpPr>
            <xdr:cNvPr id="14347" name="Object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43</xdr:row>
          <xdr:rowOff>9525</xdr:rowOff>
        </xdr:from>
        <xdr:to>
          <xdr:col>0</xdr:col>
          <xdr:colOff>438150</xdr:colOff>
          <xdr:row>43</xdr:row>
          <xdr:rowOff>219075</xdr:rowOff>
        </xdr:to>
        <xdr:sp macro="" textlink="">
          <xdr:nvSpPr>
            <xdr:cNvPr id="14348" name="Object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44</xdr:row>
          <xdr:rowOff>9525</xdr:rowOff>
        </xdr:from>
        <xdr:to>
          <xdr:col>0</xdr:col>
          <xdr:colOff>438150</xdr:colOff>
          <xdr:row>45</xdr:row>
          <xdr:rowOff>0</xdr:rowOff>
        </xdr:to>
        <xdr:sp macro="" textlink="">
          <xdr:nvSpPr>
            <xdr:cNvPr id="14349" name="Object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47</xdr:row>
          <xdr:rowOff>0</xdr:rowOff>
        </xdr:from>
        <xdr:to>
          <xdr:col>0</xdr:col>
          <xdr:colOff>590550</xdr:colOff>
          <xdr:row>48</xdr:row>
          <xdr:rowOff>9525</xdr:rowOff>
        </xdr:to>
        <xdr:sp macro="" textlink="">
          <xdr:nvSpPr>
            <xdr:cNvPr id="14350" name="Object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304800</xdr:colOff>
          <xdr:row>8</xdr:row>
          <xdr:rowOff>9525</xdr:rowOff>
        </xdr:from>
        <xdr:to>
          <xdr:col>0</xdr:col>
          <xdr:colOff>733425</xdr:colOff>
          <xdr:row>9</xdr:row>
          <xdr:rowOff>19050</xdr:rowOff>
        </xdr:to>
        <xdr:sp macro="" textlink="">
          <xdr:nvSpPr>
            <xdr:cNvPr id="14351" name="Object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26</xdr:row>
          <xdr:rowOff>9525</xdr:rowOff>
        </xdr:from>
        <xdr:to>
          <xdr:col>0</xdr:col>
          <xdr:colOff>295275</xdr:colOff>
          <xdr:row>27</xdr:row>
          <xdr:rowOff>19050</xdr:rowOff>
        </xdr:to>
        <xdr:sp macro="" textlink="">
          <xdr:nvSpPr>
            <xdr:cNvPr id="14352" name="Object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304800</xdr:colOff>
          <xdr:row>28</xdr:row>
          <xdr:rowOff>9525</xdr:rowOff>
        </xdr:from>
        <xdr:to>
          <xdr:col>0</xdr:col>
          <xdr:colOff>762000</xdr:colOff>
          <xdr:row>29</xdr:row>
          <xdr:rowOff>19050</xdr:rowOff>
        </xdr:to>
        <xdr:sp macro="" textlink="">
          <xdr:nvSpPr>
            <xdr:cNvPr id="14353" name="Object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29</xdr:row>
          <xdr:rowOff>9525</xdr:rowOff>
        </xdr:from>
        <xdr:to>
          <xdr:col>0</xdr:col>
          <xdr:colOff>857250</xdr:colOff>
          <xdr:row>30</xdr:row>
          <xdr:rowOff>19050</xdr:rowOff>
        </xdr:to>
        <xdr:sp macro="" textlink="">
          <xdr:nvSpPr>
            <xdr:cNvPr id="14354" name="Object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295275</xdr:colOff>
          <xdr:row>36</xdr:row>
          <xdr:rowOff>28575</xdr:rowOff>
        </xdr:from>
        <xdr:to>
          <xdr:col>0</xdr:col>
          <xdr:colOff>800100</xdr:colOff>
          <xdr:row>37</xdr:row>
          <xdr:rowOff>9525</xdr:rowOff>
        </xdr:to>
        <xdr:sp macro="" textlink="">
          <xdr:nvSpPr>
            <xdr:cNvPr id="14355" name="Object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333375</xdr:colOff>
          <xdr:row>37</xdr:row>
          <xdr:rowOff>28575</xdr:rowOff>
        </xdr:from>
        <xdr:to>
          <xdr:col>0</xdr:col>
          <xdr:colOff>904875</xdr:colOff>
          <xdr:row>38</xdr:row>
          <xdr:rowOff>0</xdr:rowOff>
        </xdr:to>
        <xdr:sp macro="" textlink="">
          <xdr:nvSpPr>
            <xdr:cNvPr id="14356" name="Object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28575</xdr:colOff>
          <xdr:row>35</xdr:row>
          <xdr:rowOff>9525</xdr:rowOff>
        </xdr:from>
        <xdr:to>
          <xdr:col>11</xdr:col>
          <xdr:colOff>295275</xdr:colOff>
          <xdr:row>36</xdr:row>
          <xdr:rowOff>19050</xdr:rowOff>
        </xdr:to>
        <xdr:sp macro="" textlink="">
          <xdr:nvSpPr>
            <xdr:cNvPr id="14357" name="Object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49</xdr:row>
          <xdr:rowOff>9525</xdr:rowOff>
        </xdr:from>
        <xdr:to>
          <xdr:col>0</xdr:col>
          <xdr:colOff>523875</xdr:colOff>
          <xdr:row>50</xdr:row>
          <xdr:rowOff>0</xdr:rowOff>
        </xdr:to>
        <xdr:sp macro="" textlink="">
          <xdr:nvSpPr>
            <xdr:cNvPr id="14358" name="Object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49</xdr:row>
          <xdr:rowOff>209550</xdr:rowOff>
        </xdr:from>
        <xdr:to>
          <xdr:col>0</xdr:col>
          <xdr:colOff>647700</xdr:colOff>
          <xdr:row>50</xdr:row>
          <xdr:rowOff>219075</xdr:rowOff>
        </xdr:to>
        <xdr:sp macro="" textlink="">
          <xdr:nvSpPr>
            <xdr:cNvPr id="14359" name="Object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51</xdr:row>
          <xdr:rowOff>19050</xdr:rowOff>
        </xdr:from>
        <xdr:to>
          <xdr:col>0</xdr:col>
          <xdr:colOff>523875</xdr:colOff>
          <xdr:row>52</xdr:row>
          <xdr:rowOff>9525</xdr:rowOff>
        </xdr:to>
        <xdr:sp macro="" textlink="">
          <xdr:nvSpPr>
            <xdr:cNvPr id="14360" name="Object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52</xdr:row>
          <xdr:rowOff>9525</xdr:rowOff>
        </xdr:from>
        <xdr:to>
          <xdr:col>0</xdr:col>
          <xdr:colOff>609600</xdr:colOff>
          <xdr:row>53</xdr:row>
          <xdr:rowOff>19050</xdr:rowOff>
        </xdr:to>
        <xdr:sp macro="" textlink="">
          <xdr:nvSpPr>
            <xdr:cNvPr id="14361" name="Object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53</xdr:row>
          <xdr:rowOff>28575</xdr:rowOff>
        </xdr:from>
        <xdr:to>
          <xdr:col>0</xdr:col>
          <xdr:colOff>514350</xdr:colOff>
          <xdr:row>54</xdr:row>
          <xdr:rowOff>28575</xdr:rowOff>
        </xdr:to>
        <xdr:sp macro="" textlink="">
          <xdr:nvSpPr>
            <xdr:cNvPr id="14362" name="Object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54</xdr:row>
          <xdr:rowOff>9525</xdr:rowOff>
        </xdr:from>
        <xdr:to>
          <xdr:col>0</xdr:col>
          <xdr:colOff>590550</xdr:colOff>
          <xdr:row>55</xdr:row>
          <xdr:rowOff>19050</xdr:rowOff>
        </xdr:to>
        <xdr:sp macro="" textlink="">
          <xdr:nvSpPr>
            <xdr:cNvPr id="14363" name="Object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1</xdr:row>
          <xdr:rowOff>19050</xdr:rowOff>
        </xdr:from>
        <xdr:to>
          <xdr:col>0</xdr:col>
          <xdr:colOff>190500</xdr:colOff>
          <xdr:row>2</xdr:row>
          <xdr:rowOff>9525</xdr:rowOff>
        </xdr:to>
        <xdr:sp macro="" textlink="">
          <xdr:nvSpPr>
            <xdr:cNvPr id="14364" name="Object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314325</xdr:colOff>
          <xdr:row>2</xdr:row>
          <xdr:rowOff>9525</xdr:rowOff>
        </xdr:from>
        <xdr:to>
          <xdr:col>0</xdr:col>
          <xdr:colOff>666750</xdr:colOff>
          <xdr:row>3</xdr:row>
          <xdr:rowOff>19050</xdr:rowOff>
        </xdr:to>
        <xdr:sp macro="" textlink="">
          <xdr:nvSpPr>
            <xdr:cNvPr id="14365" name="Object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323850</xdr:colOff>
          <xdr:row>3</xdr:row>
          <xdr:rowOff>0</xdr:rowOff>
        </xdr:from>
        <xdr:to>
          <xdr:col>0</xdr:col>
          <xdr:colOff>742950</xdr:colOff>
          <xdr:row>4</xdr:row>
          <xdr:rowOff>28575</xdr:rowOff>
        </xdr:to>
        <xdr:sp macro="" textlink="">
          <xdr:nvSpPr>
            <xdr:cNvPr id="14366" name="Object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4</xdr:row>
          <xdr:rowOff>0</xdr:rowOff>
        </xdr:from>
        <xdr:to>
          <xdr:col>0</xdr:col>
          <xdr:colOff>247650</xdr:colOff>
          <xdr:row>5</xdr:row>
          <xdr:rowOff>0</xdr:rowOff>
        </xdr:to>
        <xdr:sp macro="" textlink="">
          <xdr:nvSpPr>
            <xdr:cNvPr id="14367" name="Object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47625</xdr:colOff>
          <xdr:row>42</xdr:row>
          <xdr:rowOff>9525</xdr:rowOff>
        </xdr:from>
        <xdr:to>
          <xdr:col>8</xdr:col>
          <xdr:colOff>0</xdr:colOff>
          <xdr:row>43</xdr:row>
          <xdr:rowOff>19050</xdr:rowOff>
        </xdr:to>
        <xdr:sp macro="" textlink="">
          <xdr:nvSpPr>
            <xdr:cNvPr id="14368" name="Object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</xdr:colOff>
          <xdr:row>40</xdr:row>
          <xdr:rowOff>219075</xdr:rowOff>
        </xdr:from>
        <xdr:to>
          <xdr:col>7</xdr:col>
          <xdr:colOff>361950</xdr:colOff>
          <xdr:row>42</xdr:row>
          <xdr:rowOff>0</xdr:rowOff>
        </xdr:to>
        <xdr:sp macro="" textlink="">
          <xdr:nvSpPr>
            <xdr:cNvPr id="14369" name="Object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32</xdr:row>
      <xdr:rowOff>9525</xdr:rowOff>
    </xdr:from>
    <xdr:to>
      <xdr:col>0</xdr:col>
      <xdr:colOff>295275</xdr:colOff>
      <xdr:row>33</xdr:row>
      <xdr:rowOff>19050</xdr:rowOff>
    </xdr:to>
    <xdr:pic>
      <xdr:nvPicPr>
        <xdr:cNvPr id="2" name="Picture 33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8696325"/>
          <a:ext cx="257175" cy="2381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60</xdr:row>
      <xdr:rowOff>0</xdr:rowOff>
    </xdr:from>
    <xdr:to>
      <xdr:col>9</xdr:col>
      <xdr:colOff>38100</xdr:colOff>
      <xdr:row>72</xdr:row>
      <xdr:rowOff>0</xdr:rowOff>
    </xdr:to>
    <xdr:graphicFrame macro="">
      <xdr:nvGraphicFramePr>
        <xdr:cNvPr id="34" name="Диаграмма 33"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72</xdr:row>
      <xdr:rowOff>0</xdr:rowOff>
    </xdr:from>
    <xdr:to>
      <xdr:col>9</xdr:col>
      <xdr:colOff>28575</xdr:colOff>
      <xdr:row>84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38</xdr:row>
          <xdr:rowOff>66675</xdr:rowOff>
        </xdr:from>
        <xdr:to>
          <xdr:col>0</xdr:col>
          <xdr:colOff>514350</xdr:colOff>
          <xdr:row>39</xdr:row>
          <xdr:rowOff>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9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333375</xdr:colOff>
          <xdr:row>39</xdr:row>
          <xdr:rowOff>47625</xdr:rowOff>
        </xdr:from>
        <xdr:to>
          <xdr:col>0</xdr:col>
          <xdr:colOff>552450</xdr:colOff>
          <xdr:row>40</xdr:row>
          <xdr:rowOff>28575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9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55</xdr:row>
          <xdr:rowOff>19050</xdr:rowOff>
        </xdr:from>
        <xdr:to>
          <xdr:col>0</xdr:col>
          <xdr:colOff>247650</xdr:colOff>
          <xdr:row>56</xdr:row>
          <xdr:rowOff>28575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9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56</xdr:row>
          <xdr:rowOff>19050</xdr:rowOff>
        </xdr:from>
        <xdr:to>
          <xdr:col>0</xdr:col>
          <xdr:colOff>733425</xdr:colOff>
          <xdr:row>57</xdr:row>
          <xdr:rowOff>28575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9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58</xdr:row>
          <xdr:rowOff>9525</xdr:rowOff>
        </xdr:from>
        <xdr:to>
          <xdr:col>0</xdr:col>
          <xdr:colOff>342900</xdr:colOff>
          <xdr:row>59</xdr:row>
          <xdr:rowOff>19050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9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57</xdr:row>
          <xdr:rowOff>28575</xdr:rowOff>
        </xdr:from>
        <xdr:to>
          <xdr:col>0</xdr:col>
          <xdr:colOff>247650</xdr:colOff>
          <xdr:row>58</xdr:row>
          <xdr:rowOff>19050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9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66675</xdr:colOff>
          <xdr:row>41</xdr:row>
          <xdr:rowOff>9525</xdr:rowOff>
        </xdr:from>
        <xdr:to>
          <xdr:col>0</xdr:col>
          <xdr:colOff>371475</xdr:colOff>
          <xdr:row>42</xdr:row>
          <xdr:rowOff>19050</xdr:rowOff>
        </xdr:to>
        <xdr:sp macro="" textlink="">
          <xdr:nvSpPr>
            <xdr:cNvPr id="3079" name="Object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9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42</xdr:row>
          <xdr:rowOff>9525</xdr:rowOff>
        </xdr:from>
        <xdr:to>
          <xdr:col>0</xdr:col>
          <xdr:colOff>609600</xdr:colOff>
          <xdr:row>43</xdr:row>
          <xdr:rowOff>19050</xdr:rowOff>
        </xdr:to>
        <xdr:sp macro="" textlink="">
          <xdr:nvSpPr>
            <xdr:cNvPr id="3080" name="Object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9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45</xdr:row>
          <xdr:rowOff>28575</xdr:rowOff>
        </xdr:from>
        <xdr:to>
          <xdr:col>0</xdr:col>
          <xdr:colOff>209550</xdr:colOff>
          <xdr:row>46</xdr:row>
          <xdr:rowOff>19050</xdr:rowOff>
        </xdr:to>
        <xdr:sp macro="" textlink="">
          <xdr:nvSpPr>
            <xdr:cNvPr id="3085" name="Object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9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35</xdr:row>
          <xdr:rowOff>0</xdr:rowOff>
        </xdr:from>
        <xdr:to>
          <xdr:col>0</xdr:col>
          <xdr:colOff>371475</xdr:colOff>
          <xdr:row>36</xdr:row>
          <xdr:rowOff>9525</xdr:rowOff>
        </xdr:to>
        <xdr:sp macro="" textlink="">
          <xdr:nvSpPr>
            <xdr:cNvPr id="3089" name="Object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9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48</xdr:row>
          <xdr:rowOff>19050</xdr:rowOff>
        </xdr:from>
        <xdr:to>
          <xdr:col>0</xdr:col>
          <xdr:colOff>381000</xdr:colOff>
          <xdr:row>49</xdr:row>
          <xdr:rowOff>9525</xdr:rowOff>
        </xdr:to>
        <xdr:sp macro="" textlink="">
          <xdr:nvSpPr>
            <xdr:cNvPr id="3092" name="Object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9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43</xdr:row>
          <xdr:rowOff>9525</xdr:rowOff>
        </xdr:from>
        <xdr:to>
          <xdr:col>0</xdr:col>
          <xdr:colOff>438150</xdr:colOff>
          <xdr:row>43</xdr:row>
          <xdr:rowOff>219075</xdr:rowOff>
        </xdr:to>
        <xdr:sp macro="" textlink="">
          <xdr:nvSpPr>
            <xdr:cNvPr id="3093" name="Object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9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44</xdr:row>
          <xdr:rowOff>9525</xdr:rowOff>
        </xdr:from>
        <xdr:to>
          <xdr:col>0</xdr:col>
          <xdr:colOff>438150</xdr:colOff>
          <xdr:row>45</xdr:row>
          <xdr:rowOff>0</xdr:rowOff>
        </xdr:to>
        <xdr:sp macro="" textlink="">
          <xdr:nvSpPr>
            <xdr:cNvPr id="3094" name="Object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9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47</xdr:row>
          <xdr:rowOff>0</xdr:rowOff>
        </xdr:from>
        <xdr:to>
          <xdr:col>0</xdr:col>
          <xdr:colOff>590550</xdr:colOff>
          <xdr:row>48</xdr:row>
          <xdr:rowOff>9525</xdr:rowOff>
        </xdr:to>
        <xdr:sp macro="" textlink="">
          <xdr:nvSpPr>
            <xdr:cNvPr id="3095" name="Object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9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304800</xdr:colOff>
          <xdr:row>8</xdr:row>
          <xdr:rowOff>9525</xdr:rowOff>
        </xdr:from>
        <xdr:to>
          <xdr:col>0</xdr:col>
          <xdr:colOff>733425</xdr:colOff>
          <xdr:row>9</xdr:row>
          <xdr:rowOff>19050</xdr:rowOff>
        </xdr:to>
        <xdr:sp macro="" textlink="">
          <xdr:nvSpPr>
            <xdr:cNvPr id="3096" name="Object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9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26</xdr:row>
          <xdr:rowOff>9525</xdr:rowOff>
        </xdr:from>
        <xdr:to>
          <xdr:col>0</xdr:col>
          <xdr:colOff>295275</xdr:colOff>
          <xdr:row>27</xdr:row>
          <xdr:rowOff>19050</xdr:rowOff>
        </xdr:to>
        <xdr:sp macro="" textlink="">
          <xdr:nvSpPr>
            <xdr:cNvPr id="3099" name="Object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9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304800</xdr:colOff>
          <xdr:row>28</xdr:row>
          <xdr:rowOff>9525</xdr:rowOff>
        </xdr:from>
        <xdr:to>
          <xdr:col>0</xdr:col>
          <xdr:colOff>762000</xdr:colOff>
          <xdr:row>29</xdr:row>
          <xdr:rowOff>19050</xdr:rowOff>
        </xdr:to>
        <xdr:sp macro="" textlink="">
          <xdr:nvSpPr>
            <xdr:cNvPr id="3100" name="Object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9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29</xdr:row>
          <xdr:rowOff>9525</xdr:rowOff>
        </xdr:from>
        <xdr:to>
          <xdr:col>0</xdr:col>
          <xdr:colOff>857250</xdr:colOff>
          <xdr:row>30</xdr:row>
          <xdr:rowOff>19050</xdr:rowOff>
        </xdr:to>
        <xdr:sp macro="" textlink="">
          <xdr:nvSpPr>
            <xdr:cNvPr id="3101" name="Object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9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295275</xdr:colOff>
          <xdr:row>36</xdr:row>
          <xdr:rowOff>28575</xdr:rowOff>
        </xdr:from>
        <xdr:to>
          <xdr:col>0</xdr:col>
          <xdr:colOff>800100</xdr:colOff>
          <xdr:row>37</xdr:row>
          <xdr:rowOff>9525</xdr:rowOff>
        </xdr:to>
        <xdr:sp macro="" textlink="">
          <xdr:nvSpPr>
            <xdr:cNvPr id="3102" name="Object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9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333375</xdr:colOff>
          <xdr:row>37</xdr:row>
          <xdr:rowOff>28575</xdr:rowOff>
        </xdr:from>
        <xdr:to>
          <xdr:col>0</xdr:col>
          <xdr:colOff>904875</xdr:colOff>
          <xdr:row>38</xdr:row>
          <xdr:rowOff>0</xdr:rowOff>
        </xdr:to>
        <xdr:sp macro="" textlink="">
          <xdr:nvSpPr>
            <xdr:cNvPr id="3103" name="Object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9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28575</xdr:colOff>
          <xdr:row>35</xdr:row>
          <xdr:rowOff>9525</xdr:rowOff>
        </xdr:from>
        <xdr:to>
          <xdr:col>11</xdr:col>
          <xdr:colOff>295275</xdr:colOff>
          <xdr:row>36</xdr:row>
          <xdr:rowOff>19050</xdr:rowOff>
        </xdr:to>
        <xdr:sp macro="" textlink="">
          <xdr:nvSpPr>
            <xdr:cNvPr id="3104" name="Object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9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49</xdr:row>
          <xdr:rowOff>9525</xdr:rowOff>
        </xdr:from>
        <xdr:to>
          <xdr:col>0</xdr:col>
          <xdr:colOff>523875</xdr:colOff>
          <xdr:row>50</xdr:row>
          <xdr:rowOff>0</xdr:rowOff>
        </xdr:to>
        <xdr:sp macro="" textlink="">
          <xdr:nvSpPr>
            <xdr:cNvPr id="3106" name="Object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9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49</xdr:row>
          <xdr:rowOff>209550</xdr:rowOff>
        </xdr:from>
        <xdr:to>
          <xdr:col>0</xdr:col>
          <xdr:colOff>647700</xdr:colOff>
          <xdr:row>50</xdr:row>
          <xdr:rowOff>219075</xdr:rowOff>
        </xdr:to>
        <xdr:sp macro="" textlink="">
          <xdr:nvSpPr>
            <xdr:cNvPr id="3107" name="Object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9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51</xdr:row>
          <xdr:rowOff>19050</xdr:rowOff>
        </xdr:from>
        <xdr:to>
          <xdr:col>0</xdr:col>
          <xdr:colOff>523875</xdr:colOff>
          <xdr:row>52</xdr:row>
          <xdr:rowOff>9525</xdr:rowOff>
        </xdr:to>
        <xdr:sp macro="" textlink="">
          <xdr:nvSpPr>
            <xdr:cNvPr id="3108" name="Object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9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52</xdr:row>
          <xdr:rowOff>9525</xdr:rowOff>
        </xdr:from>
        <xdr:to>
          <xdr:col>0</xdr:col>
          <xdr:colOff>609600</xdr:colOff>
          <xdr:row>53</xdr:row>
          <xdr:rowOff>19050</xdr:rowOff>
        </xdr:to>
        <xdr:sp macro="" textlink="">
          <xdr:nvSpPr>
            <xdr:cNvPr id="3109" name="Object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9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53</xdr:row>
          <xdr:rowOff>28575</xdr:rowOff>
        </xdr:from>
        <xdr:to>
          <xdr:col>0</xdr:col>
          <xdr:colOff>514350</xdr:colOff>
          <xdr:row>54</xdr:row>
          <xdr:rowOff>28575</xdr:rowOff>
        </xdr:to>
        <xdr:sp macro="" textlink="">
          <xdr:nvSpPr>
            <xdr:cNvPr id="3110" name="Object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9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54</xdr:row>
          <xdr:rowOff>9525</xdr:rowOff>
        </xdr:from>
        <xdr:to>
          <xdr:col>0</xdr:col>
          <xdr:colOff>590550</xdr:colOff>
          <xdr:row>55</xdr:row>
          <xdr:rowOff>19050</xdr:rowOff>
        </xdr:to>
        <xdr:sp macro="" textlink="">
          <xdr:nvSpPr>
            <xdr:cNvPr id="3111" name="Object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9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1</xdr:row>
          <xdr:rowOff>19050</xdr:rowOff>
        </xdr:from>
        <xdr:to>
          <xdr:col>0</xdr:col>
          <xdr:colOff>190500</xdr:colOff>
          <xdr:row>2</xdr:row>
          <xdr:rowOff>9525</xdr:rowOff>
        </xdr:to>
        <xdr:sp macro="" textlink="">
          <xdr:nvSpPr>
            <xdr:cNvPr id="3116" name="Object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9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314325</xdr:colOff>
          <xdr:row>2</xdr:row>
          <xdr:rowOff>9525</xdr:rowOff>
        </xdr:from>
        <xdr:to>
          <xdr:col>0</xdr:col>
          <xdr:colOff>666750</xdr:colOff>
          <xdr:row>3</xdr:row>
          <xdr:rowOff>19050</xdr:rowOff>
        </xdr:to>
        <xdr:sp macro="" textlink="">
          <xdr:nvSpPr>
            <xdr:cNvPr id="3117" name="Object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9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323850</xdr:colOff>
          <xdr:row>3</xdr:row>
          <xdr:rowOff>0</xdr:rowOff>
        </xdr:from>
        <xdr:to>
          <xdr:col>0</xdr:col>
          <xdr:colOff>742950</xdr:colOff>
          <xdr:row>4</xdr:row>
          <xdr:rowOff>28575</xdr:rowOff>
        </xdr:to>
        <xdr:sp macro="" textlink="">
          <xdr:nvSpPr>
            <xdr:cNvPr id="3118" name="Object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9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4</xdr:row>
          <xdr:rowOff>0</xdr:rowOff>
        </xdr:from>
        <xdr:to>
          <xdr:col>0</xdr:col>
          <xdr:colOff>247650</xdr:colOff>
          <xdr:row>5</xdr:row>
          <xdr:rowOff>0</xdr:rowOff>
        </xdr:to>
        <xdr:sp macro="" textlink="">
          <xdr:nvSpPr>
            <xdr:cNvPr id="3119" name="Object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9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47625</xdr:colOff>
          <xdr:row>42</xdr:row>
          <xdr:rowOff>9525</xdr:rowOff>
        </xdr:from>
        <xdr:to>
          <xdr:col>8</xdr:col>
          <xdr:colOff>0</xdr:colOff>
          <xdr:row>43</xdr:row>
          <xdr:rowOff>19050</xdr:rowOff>
        </xdr:to>
        <xdr:sp macro="" textlink="">
          <xdr:nvSpPr>
            <xdr:cNvPr id="3120" name="Object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9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38100</xdr:colOff>
          <xdr:row>41</xdr:row>
          <xdr:rowOff>9525</xdr:rowOff>
        </xdr:from>
        <xdr:to>
          <xdr:col>7</xdr:col>
          <xdr:colOff>342900</xdr:colOff>
          <xdr:row>42</xdr:row>
          <xdr:rowOff>19050</xdr:rowOff>
        </xdr:to>
        <xdr:sp macro="" textlink="">
          <xdr:nvSpPr>
            <xdr:cNvPr id="3121" name="Object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9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32</xdr:row>
      <xdr:rowOff>9525</xdr:rowOff>
    </xdr:from>
    <xdr:to>
      <xdr:col>0</xdr:col>
      <xdr:colOff>295275</xdr:colOff>
      <xdr:row>33</xdr:row>
      <xdr:rowOff>19050</xdr:rowOff>
    </xdr:to>
    <xdr:pic>
      <xdr:nvPicPr>
        <xdr:cNvPr id="2" name="Picture 33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7324725"/>
          <a:ext cx="257175" cy="2381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60</xdr:row>
      <xdr:rowOff>0</xdr:rowOff>
    </xdr:from>
    <xdr:to>
      <xdr:col>9</xdr:col>
      <xdr:colOff>19050</xdr:colOff>
      <xdr:row>72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72</xdr:row>
      <xdr:rowOff>0</xdr:rowOff>
    </xdr:from>
    <xdr:to>
      <xdr:col>9</xdr:col>
      <xdr:colOff>28575</xdr:colOff>
      <xdr:row>85</xdr:row>
      <xdr:rowOff>114300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38</xdr:row>
          <xdr:rowOff>66675</xdr:rowOff>
        </xdr:from>
        <xdr:to>
          <xdr:col>0</xdr:col>
          <xdr:colOff>514350</xdr:colOff>
          <xdr:row>39</xdr:row>
          <xdr:rowOff>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A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333375</xdr:colOff>
          <xdr:row>39</xdr:row>
          <xdr:rowOff>47625</xdr:rowOff>
        </xdr:from>
        <xdr:to>
          <xdr:col>0</xdr:col>
          <xdr:colOff>552450</xdr:colOff>
          <xdr:row>40</xdr:row>
          <xdr:rowOff>28575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A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55</xdr:row>
          <xdr:rowOff>19050</xdr:rowOff>
        </xdr:from>
        <xdr:to>
          <xdr:col>0</xdr:col>
          <xdr:colOff>247650</xdr:colOff>
          <xdr:row>56</xdr:row>
          <xdr:rowOff>28575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A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56</xdr:row>
          <xdr:rowOff>19050</xdr:rowOff>
        </xdr:from>
        <xdr:to>
          <xdr:col>0</xdr:col>
          <xdr:colOff>733425</xdr:colOff>
          <xdr:row>57</xdr:row>
          <xdr:rowOff>28575</xdr:rowOff>
        </xdr:to>
        <xdr:sp macro="" textlink="">
          <xdr:nvSpPr>
            <xdr:cNvPr id="5124" name="Object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A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58</xdr:row>
          <xdr:rowOff>9525</xdr:rowOff>
        </xdr:from>
        <xdr:to>
          <xdr:col>0</xdr:col>
          <xdr:colOff>342900</xdr:colOff>
          <xdr:row>59</xdr:row>
          <xdr:rowOff>19050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A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57</xdr:row>
          <xdr:rowOff>28575</xdr:rowOff>
        </xdr:from>
        <xdr:to>
          <xdr:col>0</xdr:col>
          <xdr:colOff>247650</xdr:colOff>
          <xdr:row>58</xdr:row>
          <xdr:rowOff>19050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A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66675</xdr:colOff>
          <xdr:row>41</xdr:row>
          <xdr:rowOff>9525</xdr:rowOff>
        </xdr:from>
        <xdr:to>
          <xdr:col>0</xdr:col>
          <xdr:colOff>371475</xdr:colOff>
          <xdr:row>42</xdr:row>
          <xdr:rowOff>19050</xdr:rowOff>
        </xdr:to>
        <xdr:sp macro="" textlink="">
          <xdr:nvSpPr>
            <xdr:cNvPr id="5127" name="Object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A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42</xdr:row>
          <xdr:rowOff>9525</xdr:rowOff>
        </xdr:from>
        <xdr:to>
          <xdr:col>0</xdr:col>
          <xdr:colOff>609600</xdr:colOff>
          <xdr:row>43</xdr:row>
          <xdr:rowOff>19050</xdr:rowOff>
        </xdr:to>
        <xdr:sp macro="" textlink="">
          <xdr:nvSpPr>
            <xdr:cNvPr id="5128" name="Object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A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45</xdr:row>
          <xdr:rowOff>28575</xdr:rowOff>
        </xdr:from>
        <xdr:to>
          <xdr:col>0</xdr:col>
          <xdr:colOff>209550</xdr:colOff>
          <xdr:row>46</xdr:row>
          <xdr:rowOff>19050</xdr:rowOff>
        </xdr:to>
        <xdr:sp macro="" textlink="">
          <xdr:nvSpPr>
            <xdr:cNvPr id="5129" name="Object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A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35</xdr:row>
          <xdr:rowOff>0</xdr:rowOff>
        </xdr:from>
        <xdr:to>
          <xdr:col>0</xdr:col>
          <xdr:colOff>371475</xdr:colOff>
          <xdr:row>36</xdr:row>
          <xdr:rowOff>9525</xdr:rowOff>
        </xdr:to>
        <xdr:sp macro="" textlink="">
          <xdr:nvSpPr>
            <xdr:cNvPr id="5130" name="Object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A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48</xdr:row>
          <xdr:rowOff>19050</xdr:rowOff>
        </xdr:from>
        <xdr:to>
          <xdr:col>0</xdr:col>
          <xdr:colOff>381000</xdr:colOff>
          <xdr:row>49</xdr:row>
          <xdr:rowOff>9525</xdr:rowOff>
        </xdr:to>
        <xdr:sp macro="" textlink="">
          <xdr:nvSpPr>
            <xdr:cNvPr id="5131" name="Object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A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43</xdr:row>
          <xdr:rowOff>9525</xdr:rowOff>
        </xdr:from>
        <xdr:to>
          <xdr:col>0</xdr:col>
          <xdr:colOff>438150</xdr:colOff>
          <xdr:row>43</xdr:row>
          <xdr:rowOff>219075</xdr:rowOff>
        </xdr:to>
        <xdr:sp macro="" textlink="">
          <xdr:nvSpPr>
            <xdr:cNvPr id="5132" name="Object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A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44</xdr:row>
          <xdr:rowOff>9525</xdr:rowOff>
        </xdr:from>
        <xdr:to>
          <xdr:col>0</xdr:col>
          <xdr:colOff>438150</xdr:colOff>
          <xdr:row>45</xdr:row>
          <xdr:rowOff>0</xdr:rowOff>
        </xdr:to>
        <xdr:sp macro="" textlink="">
          <xdr:nvSpPr>
            <xdr:cNvPr id="5133" name="Object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A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47</xdr:row>
          <xdr:rowOff>0</xdr:rowOff>
        </xdr:from>
        <xdr:to>
          <xdr:col>0</xdr:col>
          <xdr:colOff>590550</xdr:colOff>
          <xdr:row>48</xdr:row>
          <xdr:rowOff>9525</xdr:rowOff>
        </xdr:to>
        <xdr:sp macro="" textlink="">
          <xdr:nvSpPr>
            <xdr:cNvPr id="5134" name="Object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A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304800</xdr:colOff>
          <xdr:row>8</xdr:row>
          <xdr:rowOff>9525</xdr:rowOff>
        </xdr:from>
        <xdr:to>
          <xdr:col>0</xdr:col>
          <xdr:colOff>733425</xdr:colOff>
          <xdr:row>9</xdr:row>
          <xdr:rowOff>19050</xdr:rowOff>
        </xdr:to>
        <xdr:sp macro="" textlink="">
          <xdr:nvSpPr>
            <xdr:cNvPr id="5135" name="Object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A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26</xdr:row>
          <xdr:rowOff>9525</xdr:rowOff>
        </xdr:from>
        <xdr:to>
          <xdr:col>0</xdr:col>
          <xdr:colOff>295275</xdr:colOff>
          <xdr:row>27</xdr:row>
          <xdr:rowOff>19050</xdr:rowOff>
        </xdr:to>
        <xdr:sp macro="" textlink="">
          <xdr:nvSpPr>
            <xdr:cNvPr id="5136" name="Object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A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304800</xdr:colOff>
          <xdr:row>28</xdr:row>
          <xdr:rowOff>9525</xdr:rowOff>
        </xdr:from>
        <xdr:to>
          <xdr:col>0</xdr:col>
          <xdr:colOff>762000</xdr:colOff>
          <xdr:row>29</xdr:row>
          <xdr:rowOff>19050</xdr:rowOff>
        </xdr:to>
        <xdr:sp macro="" textlink="">
          <xdr:nvSpPr>
            <xdr:cNvPr id="5137" name="Object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A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29</xdr:row>
          <xdr:rowOff>9525</xdr:rowOff>
        </xdr:from>
        <xdr:to>
          <xdr:col>0</xdr:col>
          <xdr:colOff>857250</xdr:colOff>
          <xdr:row>30</xdr:row>
          <xdr:rowOff>19050</xdr:rowOff>
        </xdr:to>
        <xdr:sp macro="" textlink="">
          <xdr:nvSpPr>
            <xdr:cNvPr id="5138" name="Object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A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295275</xdr:colOff>
          <xdr:row>36</xdr:row>
          <xdr:rowOff>28575</xdr:rowOff>
        </xdr:from>
        <xdr:to>
          <xdr:col>0</xdr:col>
          <xdr:colOff>800100</xdr:colOff>
          <xdr:row>37</xdr:row>
          <xdr:rowOff>9525</xdr:rowOff>
        </xdr:to>
        <xdr:sp macro="" textlink="">
          <xdr:nvSpPr>
            <xdr:cNvPr id="5139" name="Object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A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333375</xdr:colOff>
          <xdr:row>37</xdr:row>
          <xdr:rowOff>28575</xdr:rowOff>
        </xdr:from>
        <xdr:to>
          <xdr:col>0</xdr:col>
          <xdr:colOff>904875</xdr:colOff>
          <xdr:row>38</xdr:row>
          <xdr:rowOff>0</xdr:rowOff>
        </xdr:to>
        <xdr:sp macro="" textlink="">
          <xdr:nvSpPr>
            <xdr:cNvPr id="5140" name="Object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A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28575</xdr:colOff>
          <xdr:row>35</xdr:row>
          <xdr:rowOff>9525</xdr:rowOff>
        </xdr:from>
        <xdr:to>
          <xdr:col>11</xdr:col>
          <xdr:colOff>295275</xdr:colOff>
          <xdr:row>36</xdr:row>
          <xdr:rowOff>19050</xdr:rowOff>
        </xdr:to>
        <xdr:sp macro="" textlink="">
          <xdr:nvSpPr>
            <xdr:cNvPr id="5141" name="Object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A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49</xdr:row>
          <xdr:rowOff>9525</xdr:rowOff>
        </xdr:from>
        <xdr:to>
          <xdr:col>0</xdr:col>
          <xdr:colOff>523875</xdr:colOff>
          <xdr:row>50</xdr:row>
          <xdr:rowOff>0</xdr:rowOff>
        </xdr:to>
        <xdr:sp macro="" textlink="">
          <xdr:nvSpPr>
            <xdr:cNvPr id="5142" name="Object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A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49</xdr:row>
          <xdr:rowOff>209550</xdr:rowOff>
        </xdr:from>
        <xdr:to>
          <xdr:col>0</xdr:col>
          <xdr:colOff>647700</xdr:colOff>
          <xdr:row>50</xdr:row>
          <xdr:rowOff>219075</xdr:rowOff>
        </xdr:to>
        <xdr:sp macro="" textlink="">
          <xdr:nvSpPr>
            <xdr:cNvPr id="5143" name="Object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A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51</xdr:row>
          <xdr:rowOff>19050</xdr:rowOff>
        </xdr:from>
        <xdr:to>
          <xdr:col>0</xdr:col>
          <xdr:colOff>523875</xdr:colOff>
          <xdr:row>52</xdr:row>
          <xdr:rowOff>9525</xdr:rowOff>
        </xdr:to>
        <xdr:sp macro="" textlink="">
          <xdr:nvSpPr>
            <xdr:cNvPr id="5144" name="Object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A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52</xdr:row>
          <xdr:rowOff>9525</xdr:rowOff>
        </xdr:from>
        <xdr:to>
          <xdr:col>0</xdr:col>
          <xdr:colOff>609600</xdr:colOff>
          <xdr:row>53</xdr:row>
          <xdr:rowOff>19050</xdr:rowOff>
        </xdr:to>
        <xdr:sp macro="" textlink="">
          <xdr:nvSpPr>
            <xdr:cNvPr id="5145" name="Object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A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53</xdr:row>
          <xdr:rowOff>28575</xdr:rowOff>
        </xdr:from>
        <xdr:to>
          <xdr:col>0</xdr:col>
          <xdr:colOff>514350</xdr:colOff>
          <xdr:row>54</xdr:row>
          <xdr:rowOff>28575</xdr:rowOff>
        </xdr:to>
        <xdr:sp macro="" textlink="">
          <xdr:nvSpPr>
            <xdr:cNvPr id="5146" name="Object 26" hidden="1">
              <a:extLst>
                <a:ext uri="{63B3BB69-23CF-44E3-9099-C40C66FF867C}">
                  <a14:compatExt spid="_x0000_s5146"/>
                </a:ext>
                <a:ext uri="{FF2B5EF4-FFF2-40B4-BE49-F238E27FC236}">
                  <a16:creationId xmlns:a16="http://schemas.microsoft.com/office/drawing/2014/main" id="{00000000-0008-0000-0A00-00001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54</xdr:row>
          <xdr:rowOff>9525</xdr:rowOff>
        </xdr:from>
        <xdr:to>
          <xdr:col>0</xdr:col>
          <xdr:colOff>590550</xdr:colOff>
          <xdr:row>55</xdr:row>
          <xdr:rowOff>19050</xdr:rowOff>
        </xdr:to>
        <xdr:sp macro="" textlink="">
          <xdr:nvSpPr>
            <xdr:cNvPr id="5147" name="Object 27" hidden="1">
              <a:extLst>
                <a:ext uri="{63B3BB69-23CF-44E3-9099-C40C66FF867C}">
                  <a14:compatExt spid="_x0000_s5147"/>
                </a:ext>
                <a:ext uri="{FF2B5EF4-FFF2-40B4-BE49-F238E27FC236}">
                  <a16:creationId xmlns:a16="http://schemas.microsoft.com/office/drawing/2014/main" id="{00000000-0008-0000-0A00-00001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1</xdr:row>
          <xdr:rowOff>19050</xdr:rowOff>
        </xdr:from>
        <xdr:to>
          <xdr:col>0</xdr:col>
          <xdr:colOff>190500</xdr:colOff>
          <xdr:row>2</xdr:row>
          <xdr:rowOff>9525</xdr:rowOff>
        </xdr:to>
        <xdr:sp macro="" textlink="">
          <xdr:nvSpPr>
            <xdr:cNvPr id="5148" name="Object 28" hidden="1">
              <a:extLst>
                <a:ext uri="{63B3BB69-23CF-44E3-9099-C40C66FF867C}">
                  <a14:compatExt spid="_x0000_s5148"/>
                </a:ext>
                <a:ext uri="{FF2B5EF4-FFF2-40B4-BE49-F238E27FC236}">
                  <a16:creationId xmlns:a16="http://schemas.microsoft.com/office/drawing/2014/main" id="{00000000-0008-0000-0A00-00001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314325</xdr:colOff>
          <xdr:row>2</xdr:row>
          <xdr:rowOff>9525</xdr:rowOff>
        </xdr:from>
        <xdr:to>
          <xdr:col>0</xdr:col>
          <xdr:colOff>666750</xdr:colOff>
          <xdr:row>3</xdr:row>
          <xdr:rowOff>19050</xdr:rowOff>
        </xdr:to>
        <xdr:sp macro="" textlink="">
          <xdr:nvSpPr>
            <xdr:cNvPr id="5149" name="Object 29" hidden="1">
              <a:extLst>
                <a:ext uri="{63B3BB69-23CF-44E3-9099-C40C66FF867C}">
                  <a14:compatExt spid="_x0000_s5149"/>
                </a:ext>
                <a:ext uri="{FF2B5EF4-FFF2-40B4-BE49-F238E27FC236}">
                  <a16:creationId xmlns:a16="http://schemas.microsoft.com/office/drawing/2014/main" id="{00000000-0008-0000-0A00-00001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323850</xdr:colOff>
          <xdr:row>3</xdr:row>
          <xdr:rowOff>0</xdr:rowOff>
        </xdr:from>
        <xdr:to>
          <xdr:col>0</xdr:col>
          <xdr:colOff>742950</xdr:colOff>
          <xdr:row>4</xdr:row>
          <xdr:rowOff>28575</xdr:rowOff>
        </xdr:to>
        <xdr:sp macro="" textlink="">
          <xdr:nvSpPr>
            <xdr:cNvPr id="5150" name="Object 30" hidden="1">
              <a:extLst>
                <a:ext uri="{63B3BB69-23CF-44E3-9099-C40C66FF867C}">
                  <a14:compatExt spid="_x0000_s5150"/>
                </a:ext>
                <a:ext uri="{FF2B5EF4-FFF2-40B4-BE49-F238E27FC236}">
                  <a16:creationId xmlns:a16="http://schemas.microsoft.com/office/drawing/2014/main" id="{00000000-0008-0000-0A00-00001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4</xdr:row>
          <xdr:rowOff>0</xdr:rowOff>
        </xdr:from>
        <xdr:to>
          <xdr:col>0</xdr:col>
          <xdr:colOff>247650</xdr:colOff>
          <xdr:row>5</xdr:row>
          <xdr:rowOff>0</xdr:rowOff>
        </xdr:to>
        <xdr:sp macro="" textlink="">
          <xdr:nvSpPr>
            <xdr:cNvPr id="5151" name="Object 31" hidden="1">
              <a:extLst>
                <a:ext uri="{63B3BB69-23CF-44E3-9099-C40C66FF867C}">
                  <a14:compatExt spid="_x0000_s5151"/>
                </a:ext>
                <a:ext uri="{FF2B5EF4-FFF2-40B4-BE49-F238E27FC236}">
                  <a16:creationId xmlns:a16="http://schemas.microsoft.com/office/drawing/2014/main" id="{00000000-0008-0000-0A00-00001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oleObject" Target="../embeddings/oleObject94.bin"/><Relationship Id="rId21" Type="http://schemas.openxmlformats.org/officeDocument/2006/relationships/image" Target="../media/image16.wmf"/><Relationship Id="rId34" Type="http://schemas.openxmlformats.org/officeDocument/2006/relationships/oleObject" Target="../embeddings/oleObject98.bin"/><Relationship Id="rId42" Type="http://schemas.openxmlformats.org/officeDocument/2006/relationships/oleObject" Target="../embeddings/oleObject102.bin"/><Relationship Id="rId47" Type="http://schemas.openxmlformats.org/officeDocument/2006/relationships/oleObject" Target="../embeddings/oleObject105.bin"/><Relationship Id="rId50" Type="http://schemas.openxmlformats.org/officeDocument/2006/relationships/image" Target="../media/image28.wmf"/><Relationship Id="rId55" Type="http://schemas.openxmlformats.org/officeDocument/2006/relationships/oleObject" Target="../embeddings/oleObject109.bin"/><Relationship Id="rId63" Type="http://schemas.openxmlformats.org/officeDocument/2006/relationships/oleObject" Target="../embeddings/oleObject113.bin"/><Relationship Id="rId7" Type="http://schemas.openxmlformats.org/officeDocument/2006/relationships/image" Target="../media/image9.wmf"/><Relationship Id="rId2" Type="http://schemas.openxmlformats.org/officeDocument/2006/relationships/drawing" Target="../drawings/drawing5.xml"/><Relationship Id="rId16" Type="http://schemas.openxmlformats.org/officeDocument/2006/relationships/oleObject" Target="../embeddings/oleObject89.bin"/><Relationship Id="rId29" Type="http://schemas.openxmlformats.org/officeDocument/2006/relationships/image" Target="../media/image19.wmf"/><Relationship Id="rId11" Type="http://schemas.openxmlformats.org/officeDocument/2006/relationships/image" Target="../media/image11.wmf"/><Relationship Id="rId24" Type="http://schemas.openxmlformats.org/officeDocument/2006/relationships/oleObject" Target="../embeddings/oleObject93.bin"/><Relationship Id="rId32" Type="http://schemas.openxmlformats.org/officeDocument/2006/relationships/oleObject" Target="../embeddings/oleObject97.bin"/><Relationship Id="rId37" Type="http://schemas.openxmlformats.org/officeDocument/2006/relationships/image" Target="../media/image22.wmf"/><Relationship Id="rId40" Type="http://schemas.openxmlformats.org/officeDocument/2006/relationships/oleObject" Target="../embeddings/oleObject101.bin"/><Relationship Id="rId45" Type="http://schemas.openxmlformats.org/officeDocument/2006/relationships/oleObject" Target="../embeddings/oleObject104.bin"/><Relationship Id="rId53" Type="http://schemas.openxmlformats.org/officeDocument/2006/relationships/oleObject" Target="../embeddings/oleObject108.bin"/><Relationship Id="rId58" Type="http://schemas.openxmlformats.org/officeDocument/2006/relationships/image" Target="../media/image1.wmf"/><Relationship Id="rId66" Type="http://schemas.openxmlformats.org/officeDocument/2006/relationships/oleObject" Target="../embeddings/oleObject115.bin"/><Relationship Id="rId5" Type="http://schemas.openxmlformats.org/officeDocument/2006/relationships/image" Target="../media/image8.wmf"/><Relationship Id="rId61" Type="http://schemas.openxmlformats.org/officeDocument/2006/relationships/oleObject" Target="../embeddings/oleObject112.bin"/><Relationship Id="rId19" Type="http://schemas.openxmlformats.org/officeDocument/2006/relationships/image" Target="../media/image15.wmf"/><Relationship Id="rId14" Type="http://schemas.openxmlformats.org/officeDocument/2006/relationships/oleObject" Target="../embeddings/oleObject88.bin"/><Relationship Id="rId22" Type="http://schemas.openxmlformats.org/officeDocument/2006/relationships/oleObject" Target="../embeddings/oleObject92.bin"/><Relationship Id="rId27" Type="http://schemas.openxmlformats.org/officeDocument/2006/relationships/image" Target="../media/image18.wmf"/><Relationship Id="rId30" Type="http://schemas.openxmlformats.org/officeDocument/2006/relationships/oleObject" Target="../embeddings/oleObject96.bin"/><Relationship Id="rId35" Type="http://schemas.openxmlformats.org/officeDocument/2006/relationships/image" Target="../media/image21.wmf"/><Relationship Id="rId43" Type="http://schemas.openxmlformats.org/officeDocument/2006/relationships/image" Target="../media/image25.wmf"/><Relationship Id="rId48" Type="http://schemas.openxmlformats.org/officeDocument/2006/relationships/image" Target="../media/image27.wmf"/><Relationship Id="rId56" Type="http://schemas.openxmlformats.org/officeDocument/2006/relationships/image" Target="../media/image31.wmf"/><Relationship Id="rId64" Type="http://schemas.openxmlformats.org/officeDocument/2006/relationships/image" Target="../media/image4.wmf"/><Relationship Id="rId8" Type="http://schemas.openxmlformats.org/officeDocument/2006/relationships/oleObject" Target="../embeddings/oleObject85.bin"/><Relationship Id="rId51" Type="http://schemas.openxmlformats.org/officeDocument/2006/relationships/oleObject" Target="../embeddings/oleObject107.bin"/><Relationship Id="rId3" Type="http://schemas.openxmlformats.org/officeDocument/2006/relationships/vmlDrawing" Target="../drawings/vmlDrawing3.vml"/><Relationship Id="rId12" Type="http://schemas.openxmlformats.org/officeDocument/2006/relationships/oleObject" Target="../embeddings/oleObject87.bin"/><Relationship Id="rId17" Type="http://schemas.openxmlformats.org/officeDocument/2006/relationships/image" Target="../media/image14.wmf"/><Relationship Id="rId25" Type="http://schemas.openxmlformats.org/officeDocument/2006/relationships/image" Target="../media/image17.wmf"/><Relationship Id="rId33" Type="http://schemas.openxmlformats.org/officeDocument/2006/relationships/image" Target="../media/image5.wmf"/><Relationship Id="rId38" Type="http://schemas.openxmlformats.org/officeDocument/2006/relationships/oleObject" Target="../embeddings/oleObject100.bin"/><Relationship Id="rId46" Type="http://schemas.openxmlformats.org/officeDocument/2006/relationships/image" Target="../media/image26.wmf"/><Relationship Id="rId59" Type="http://schemas.openxmlformats.org/officeDocument/2006/relationships/oleObject" Target="../embeddings/oleObject111.bin"/><Relationship Id="rId20" Type="http://schemas.openxmlformats.org/officeDocument/2006/relationships/oleObject" Target="../embeddings/oleObject91.bin"/><Relationship Id="rId41" Type="http://schemas.openxmlformats.org/officeDocument/2006/relationships/image" Target="../media/image24.wmf"/><Relationship Id="rId54" Type="http://schemas.openxmlformats.org/officeDocument/2006/relationships/image" Target="../media/image30.wmf"/><Relationship Id="rId62" Type="http://schemas.openxmlformats.org/officeDocument/2006/relationships/image" Target="../media/image3.wmf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84.bin"/><Relationship Id="rId15" Type="http://schemas.openxmlformats.org/officeDocument/2006/relationships/image" Target="../media/image13.wmf"/><Relationship Id="rId23" Type="http://schemas.openxmlformats.org/officeDocument/2006/relationships/image" Target="../media/image7.wmf"/><Relationship Id="rId28" Type="http://schemas.openxmlformats.org/officeDocument/2006/relationships/oleObject" Target="../embeddings/oleObject95.bin"/><Relationship Id="rId36" Type="http://schemas.openxmlformats.org/officeDocument/2006/relationships/oleObject" Target="../embeddings/oleObject99.bin"/><Relationship Id="rId49" Type="http://schemas.openxmlformats.org/officeDocument/2006/relationships/oleObject" Target="../embeddings/oleObject106.bin"/><Relationship Id="rId57" Type="http://schemas.openxmlformats.org/officeDocument/2006/relationships/oleObject" Target="../embeddings/oleObject110.bin"/><Relationship Id="rId10" Type="http://schemas.openxmlformats.org/officeDocument/2006/relationships/oleObject" Target="../embeddings/oleObject86.bin"/><Relationship Id="rId31" Type="http://schemas.openxmlformats.org/officeDocument/2006/relationships/image" Target="../media/image20.wmf"/><Relationship Id="rId44" Type="http://schemas.openxmlformats.org/officeDocument/2006/relationships/oleObject" Target="../embeddings/oleObject103.bin"/><Relationship Id="rId52" Type="http://schemas.openxmlformats.org/officeDocument/2006/relationships/image" Target="../media/image29.wmf"/><Relationship Id="rId60" Type="http://schemas.openxmlformats.org/officeDocument/2006/relationships/image" Target="../media/image2.wmf"/><Relationship Id="rId65" Type="http://schemas.openxmlformats.org/officeDocument/2006/relationships/oleObject" Target="../embeddings/oleObject114.bin"/><Relationship Id="rId4" Type="http://schemas.openxmlformats.org/officeDocument/2006/relationships/oleObject" Target="../embeddings/oleObject83.bin"/><Relationship Id="rId9" Type="http://schemas.openxmlformats.org/officeDocument/2006/relationships/image" Target="../media/image10.wmf"/><Relationship Id="rId13" Type="http://schemas.openxmlformats.org/officeDocument/2006/relationships/image" Target="../media/image12.wmf"/><Relationship Id="rId18" Type="http://schemas.openxmlformats.org/officeDocument/2006/relationships/oleObject" Target="../embeddings/oleObject90.bin"/><Relationship Id="rId39" Type="http://schemas.openxmlformats.org/officeDocument/2006/relationships/image" Target="../media/image23.wmf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121.bin"/><Relationship Id="rId18" Type="http://schemas.openxmlformats.org/officeDocument/2006/relationships/image" Target="../media/image15.wmf"/><Relationship Id="rId26" Type="http://schemas.openxmlformats.org/officeDocument/2006/relationships/image" Target="../media/image18.wmf"/><Relationship Id="rId39" Type="http://schemas.openxmlformats.org/officeDocument/2006/relationships/oleObject" Target="../embeddings/oleObject134.bin"/><Relationship Id="rId21" Type="http://schemas.openxmlformats.org/officeDocument/2006/relationships/oleObject" Target="../embeddings/oleObject125.bin"/><Relationship Id="rId34" Type="http://schemas.openxmlformats.org/officeDocument/2006/relationships/image" Target="../media/image21.wmf"/><Relationship Id="rId42" Type="http://schemas.openxmlformats.org/officeDocument/2006/relationships/image" Target="../media/image25.wmf"/><Relationship Id="rId47" Type="http://schemas.openxmlformats.org/officeDocument/2006/relationships/image" Target="../media/image27.wmf"/><Relationship Id="rId50" Type="http://schemas.openxmlformats.org/officeDocument/2006/relationships/oleObject" Target="../embeddings/oleObject140.bin"/><Relationship Id="rId55" Type="http://schemas.openxmlformats.org/officeDocument/2006/relationships/image" Target="../media/image31.wmf"/><Relationship Id="rId63" Type="http://schemas.openxmlformats.org/officeDocument/2006/relationships/image" Target="../media/image4.wmf"/><Relationship Id="rId7" Type="http://schemas.openxmlformats.org/officeDocument/2006/relationships/oleObject" Target="../embeddings/oleObject118.bin"/><Relationship Id="rId2" Type="http://schemas.openxmlformats.org/officeDocument/2006/relationships/vmlDrawing" Target="../drawings/vmlDrawing4.vml"/><Relationship Id="rId16" Type="http://schemas.openxmlformats.org/officeDocument/2006/relationships/image" Target="../media/image14.wmf"/><Relationship Id="rId29" Type="http://schemas.openxmlformats.org/officeDocument/2006/relationships/oleObject" Target="../embeddings/oleObject129.bin"/><Relationship Id="rId11" Type="http://schemas.openxmlformats.org/officeDocument/2006/relationships/oleObject" Target="../embeddings/oleObject120.bin"/><Relationship Id="rId24" Type="http://schemas.openxmlformats.org/officeDocument/2006/relationships/image" Target="../media/image17.wmf"/><Relationship Id="rId32" Type="http://schemas.openxmlformats.org/officeDocument/2006/relationships/image" Target="../media/image5.wmf"/><Relationship Id="rId37" Type="http://schemas.openxmlformats.org/officeDocument/2006/relationships/oleObject" Target="../embeddings/oleObject133.bin"/><Relationship Id="rId40" Type="http://schemas.openxmlformats.org/officeDocument/2006/relationships/image" Target="../media/image24.wmf"/><Relationship Id="rId45" Type="http://schemas.openxmlformats.org/officeDocument/2006/relationships/image" Target="../media/image26.wmf"/><Relationship Id="rId53" Type="http://schemas.openxmlformats.org/officeDocument/2006/relationships/image" Target="../media/image30.wmf"/><Relationship Id="rId58" Type="http://schemas.openxmlformats.org/officeDocument/2006/relationships/oleObject" Target="../embeddings/oleObject144.bin"/><Relationship Id="rId5" Type="http://schemas.openxmlformats.org/officeDocument/2006/relationships/oleObject" Target="../embeddings/oleObject117.bin"/><Relationship Id="rId61" Type="http://schemas.openxmlformats.org/officeDocument/2006/relationships/image" Target="../media/image3.wmf"/><Relationship Id="rId19" Type="http://schemas.openxmlformats.org/officeDocument/2006/relationships/oleObject" Target="../embeddings/oleObject124.bin"/><Relationship Id="rId14" Type="http://schemas.openxmlformats.org/officeDocument/2006/relationships/image" Target="../media/image13.wmf"/><Relationship Id="rId22" Type="http://schemas.openxmlformats.org/officeDocument/2006/relationships/image" Target="../media/image7.wmf"/><Relationship Id="rId27" Type="http://schemas.openxmlformats.org/officeDocument/2006/relationships/oleObject" Target="../embeddings/oleObject128.bin"/><Relationship Id="rId30" Type="http://schemas.openxmlformats.org/officeDocument/2006/relationships/image" Target="../media/image20.wmf"/><Relationship Id="rId35" Type="http://schemas.openxmlformats.org/officeDocument/2006/relationships/oleObject" Target="../embeddings/oleObject132.bin"/><Relationship Id="rId43" Type="http://schemas.openxmlformats.org/officeDocument/2006/relationships/oleObject" Target="../embeddings/oleObject136.bin"/><Relationship Id="rId48" Type="http://schemas.openxmlformats.org/officeDocument/2006/relationships/oleObject" Target="../embeddings/oleObject139.bin"/><Relationship Id="rId56" Type="http://schemas.openxmlformats.org/officeDocument/2006/relationships/oleObject" Target="../embeddings/oleObject143.bin"/><Relationship Id="rId8" Type="http://schemas.openxmlformats.org/officeDocument/2006/relationships/image" Target="../media/image10.wmf"/><Relationship Id="rId51" Type="http://schemas.openxmlformats.org/officeDocument/2006/relationships/image" Target="../media/image29.wmf"/><Relationship Id="rId3" Type="http://schemas.openxmlformats.org/officeDocument/2006/relationships/oleObject" Target="../embeddings/oleObject116.bin"/><Relationship Id="rId12" Type="http://schemas.openxmlformats.org/officeDocument/2006/relationships/image" Target="../media/image12.wmf"/><Relationship Id="rId17" Type="http://schemas.openxmlformats.org/officeDocument/2006/relationships/oleObject" Target="../embeddings/oleObject123.bin"/><Relationship Id="rId25" Type="http://schemas.openxmlformats.org/officeDocument/2006/relationships/oleObject" Target="../embeddings/oleObject127.bin"/><Relationship Id="rId33" Type="http://schemas.openxmlformats.org/officeDocument/2006/relationships/oleObject" Target="../embeddings/oleObject131.bin"/><Relationship Id="rId38" Type="http://schemas.openxmlformats.org/officeDocument/2006/relationships/image" Target="../media/image23.wmf"/><Relationship Id="rId46" Type="http://schemas.openxmlformats.org/officeDocument/2006/relationships/oleObject" Target="../embeddings/oleObject138.bin"/><Relationship Id="rId59" Type="http://schemas.openxmlformats.org/officeDocument/2006/relationships/image" Target="../media/image2.wmf"/><Relationship Id="rId20" Type="http://schemas.openxmlformats.org/officeDocument/2006/relationships/image" Target="../media/image16.wmf"/><Relationship Id="rId41" Type="http://schemas.openxmlformats.org/officeDocument/2006/relationships/oleObject" Target="../embeddings/oleObject135.bin"/><Relationship Id="rId54" Type="http://schemas.openxmlformats.org/officeDocument/2006/relationships/oleObject" Target="../embeddings/oleObject142.bin"/><Relationship Id="rId62" Type="http://schemas.openxmlformats.org/officeDocument/2006/relationships/oleObject" Target="../embeddings/oleObject146.bin"/><Relationship Id="rId1" Type="http://schemas.openxmlformats.org/officeDocument/2006/relationships/drawing" Target="../drawings/drawing6.xml"/><Relationship Id="rId6" Type="http://schemas.openxmlformats.org/officeDocument/2006/relationships/image" Target="../media/image9.wmf"/><Relationship Id="rId15" Type="http://schemas.openxmlformats.org/officeDocument/2006/relationships/oleObject" Target="../embeddings/oleObject122.bin"/><Relationship Id="rId23" Type="http://schemas.openxmlformats.org/officeDocument/2006/relationships/oleObject" Target="../embeddings/oleObject126.bin"/><Relationship Id="rId28" Type="http://schemas.openxmlformats.org/officeDocument/2006/relationships/image" Target="../media/image19.wmf"/><Relationship Id="rId36" Type="http://schemas.openxmlformats.org/officeDocument/2006/relationships/image" Target="../media/image22.wmf"/><Relationship Id="rId49" Type="http://schemas.openxmlformats.org/officeDocument/2006/relationships/image" Target="../media/image28.wmf"/><Relationship Id="rId57" Type="http://schemas.openxmlformats.org/officeDocument/2006/relationships/image" Target="../media/image1.wmf"/><Relationship Id="rId10" Type="http://schemas.openxmlformats.org/officeDocument/2006/relationships/image" Target="../media/image11.wmf"/><Relationship Id="rId31" Type="http://schemas.openxmlformats.org/officeDocument/2006/relationships/oleObject" Target="../embeddings/oleObject130.bin"/><Relationship Id="rId44" Type="http://schemas.openxmlformats.org/officeDocument/2006/relationships/oleObject" Target="../embeddings/oleObject137.bin"/><Relationship Id="rId52" Type="http://schemas.openxmlformats.org/officeDocument/2006/relationships/oleObject" Target="../embeddings/oleObject141.bin"/><Relationship Id="rId60" Type="http://schemas.openxmlformats.org/officeDocument/2006/relationships/oleObject" Target="../embeddings/oleObject145.bin"/><Relationship Id="rId4" Type="http://schemas.openxmlformats.org/officeDocument/2006/relationships/image" Target="../media/image8.wmf"/><Relationship Id="rId9" Type="http://schemas.openxmlformats.org/officeDocument/2006/relationships/oleObject" Target="../embeddings/oleObject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wmf"/><Relationship Id="rId18" Type="http://schemas.openxmlformats.org/officeDocument/2006/relationships/oleObject" Target="../embeddings/oleObject9.bin"/><Relationship Id="rId26" Type="http://schemas.openxmlformats.org/officeDocument/2006/relationships/oleObject" Target="../embeddings/oleObject17.bin"/><Relationship Id="rId39" Type="http://schemas.openxmlformats.org/officeDocument/2006/relationships/oleObject" Target="../embeddings/oleObject30.bin"/><Relationship Id="rId21" Type="http://schemas.openxmlformats.org/officeDocument/2006/relationships/oleObject" Target="../embeddings/oleObject12.bin"/><Relationship Id="rId34" Type="http://schemas.openxmlformats.org/officeDocument/2006/relationships/oleObject" Target="../embeddings/oleObject25.bin"/><Relationship Id="rId42" Type="http://schemas.openxmlformats.org/officeDocument/2006/relationships/oleObject" Target="../embeddings/oleObject33.bin"/><Relationship Id="rId47" Type="http://schemas.openxmlformats.org/officeDocument/2006/relationships/image" Target="../media/image7.wmf"/><Relationship Id="rId50" Type="http://schemas.openxmlformats.org/officeDocument/2006/relationships/oleObject" Target="../embeddings/oleObject40.bin"/><Relationship Id="rId55" Type="http://schemas.openxmlformats.org/officeDocument/2006/relationships/oleObject" Target="../embeddings/oleObject45.bin"/><Relationship Id="rId7" Type="http://schemas.openxmlformats.org/officeDocument/2006/relationships/image" Target="../media/image2.w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7.bin"/><Relationship Id="rId29" Type="http://schemas.openxmlformats.org/officeDocument/2006/relationships/oleObject" Target="../embeddings/oleObject20.bin"/><Relationship Id="rId11" Type="http://schemas.openxmlformats.org/officeDocument/2006/relationships/image" Target="../media/image4.wmf"/><Relationship Id="rId24" Type="http://schemas.openxmlformats.org/officeDocument/2006/relationships/oleObject" Target="../embeddings/oleObject15.bin"/><Relationship Id="rId32" Type="http://schemas.openxmlformats.org/officeDocument/2006/relationships/oleObject" Target="../embeddings/oleObject23.bin"/><Relationship Id="rId37" Type="http://schemas.openxmlformats.org/officeDocument/2006/relationships/oleObject" Target="../embeddings/oleObject28.bin"/><Relationship Id="rId40" Type="http://schemas.openxmlformats.org/officeDocument/2006/relationships/oleObject" Target="../embeddings/oleObject31.bin"/><Relationship Id="rId45" Type="http://schemas.openxmlformats.org/officeDocument/2006/relationships/oleObject" Target="../embeddings/oleObject36.bin"/><Relationship Id="rId53" Type="http://schemas.openxmlformats.org/officeDocument/2006/relationships/oleObject" Target="../embeddings/oleObject43.bin"/><Relationship Id="rId58" Type="http://schemas.openxmlformats.org/officeDocument/2006/relationships/oleObject" Target="../embeddings/oleObject48.bin"/><Relationship Id="rId5" Type="http://schemas.openxmlformats.org/officeDocument/2006/relationships/image" Target="../media/image1.wmf"/><Relationship Id="rId19" Type="http://schemas.openxmlformats.org/officeDocument/2006/relationships/oleObject" Target="../embeddings/oleObject10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3.bin"/><Relationship Id="rId27" Type="http://schemas.openxmlformats.org/officeDocument/2006/relationships/oleObject" Target="../embeddings/oleObject18.bin"/><Relationship Id="rId30" Type="http://schemas.openxmlformats.org/officeDocument/2006/relationships/oleObject" Target="../embeddings/oleObject21.bin"/><Relationship Id="rId35" Type="http://schemas.openxmlformats.org/officeDocument/2006/relationships/oleObject" Target="../embeddings/oleObject26.bin"/><Relationship Id="rId43" Type="http://schemas.openxmlformats.org/officeDocument/2006/relationships/oleObject" Target="../embeddings/oleObject34.bin"/><Relationship Id="rId48" Type="http://schemas.openxmlformats.org/officeDocument/2006/relationships/oleObject" Target="../embeddings/oleObject38.bin"/><Relationship Id="rId56" Type="http://schemas.openxmlformats.org/officeDocument/2006/relationships/oleObject" Target="../embeddings/oleObject46.bin"/><Relationship Id="rId8" Type="http://schemas.openxmlformats.org/officeDocument/2006/relationships/oleObject" Target="../embeddings/oleObject3.bin"/><Relationship Id="rId51" Type="http://schemas.openxmlformats.org/officeDocument/2006/relationships/oleObject" Target="../embeddings/oleObject41.bin"/><Relationship Id="rId3" Type="http://schemas.openxmlformats.org/officeDocument/2006/relationships/vmlDrawing" Target="../drawings/vmlDrawing1.vml"/><Relationship Id="rId12" Type="http://schemas.openxmlformats.org/officeDocument/2006/relationships/oleObject" Target="../embeddings/oleObject5.bin"/><Relationship Id="rId17" Type="http://schemas.openxmlformats.org/officeDocument/2006/relationships/oleObject" Target="../embeddings/oleObject8.bin"/><Relationship Id="rId25" Type="http://schemas.openxmlformats.org/officeDocument/2006/relationships/oleObject" Target="../embeddings/oleObject16.bin"/><Relationship Id="rId33" Type="http://schemas.openxmlformats.org/officeDocument/2006/relationships/oleObject" Target="../embeddings/oleObject24.bin"/><Relationship Id="rId38" Type="http://schemas.openxmlformats.org/officeDocument/2006/relationships/oleObject" Target="../embeddings/oleObject29.bin"/><Relationship Id="rId46" Type="http://schemas.openxmlformats.org/officeDocument/2006/relationships/oleObject" Target="../embeddings/oleObject37.bin"/><Relationship Id="rId59" Type="http://schemas.openxmlformats.org/officeDocument/2006/relationships/oleObject" Target="../embeddings/oleObject49.bin"/><Relationship Id="rId20" Type="http://schemas.openxmlformats.org/officeDocument/2006/relationships/oleObject" Target="../embeddings/oleObject11.bin"/><Relationship Id="rId41" Type="http://schemas.openxmlformats.org/officeDocument/2006/relationships/oleObject" Target="../embeddings/oleObject32.bin"/><Relationship Id="rId54" Type="http://schemas.openxmlformats.org/officeDocument/2006/relationships/oleObject" Target="../embeddings/oleObject44.bin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15" Type="http://schemas.openxmlformats.org/officeDocument/2006/relationships/image" Target="../media/image6.wmf"/><Relationship Id="rId23" Type="http://schemas.openxmlformats.org/officeDocument/2006/relationships/oleObject" Target="../embeddings/oleObject14.bin"/><Relationship Id="rId28" Type="http://schemas.openxmlformats.org/officeDocument/2006/relationships/oleObject" Target="../embeddings/oleObject19.bin"/><Relationship Id="rId36" Type="http://schemas.openxmlformats.org/officeDocument/2006/relationships/oleObject" Target="../embeddings/oleObject27.bin"/><Relationship Id="rId49" Type="http://schemas.openxmlformats.org/officeDocument/2006/relationships/oleObject" Target="../embeddings/oleObject39.bin"/><Relationship Id="rId57" Type="http://schemas.openxmlformats.org/officeDocument/2006/relationships/oleObject" Target="../embeddings/oleObject47.bin"/><Relationship Id="rId10" Type="http://schemas.openxmlformats.org/officeDocument/2006/relationships/oleObject" Target="../embeddings/oleObject4.bin"/><Relationship Id="rId31" Type="http://schemas.openxmlformats.org/officeDocument/2006/relationships/oleObject" Target="../embeddings/oleObject22.bin"/><Relationship Id="rId44" Type="http://schemas.openxmlformats.org/officeDocument/2006/relationships/oleObject" Target="../embeddings/oleObject35.bin"/><Relationship Id="rId52" Type="http://schemas.openxmlformats.org/officeDocument/2006/relationships/oleObject" Target="../embeddings/oleObject42.bin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8.wmf"/><Relationship Id="rId21" Type="http://schemas.openxmlformats.org/officeDocument/2006/relationships/oleObject" Target="../embeddings/oleObject59.bin"/><Relationship Id="rId34" Type="http://schemas.openxmlformats.org/officeDocument/2006/relationships/image" Target="../media/image21.wmf"/><Relationship Id="rId42" Type="http://schemas.openxmlformats.org/officeDocument/2006/relationships/image" Target="../media/image25.wmf"/><Relationship Id="rId47" Type="http://schemas.openxmlformats.org/officeDocument/2006/relationships/image" Target="../media/image27.wmf"/><Relationship Id="rId50" Type="http://schemas.openxmlformats.org/officeDocument/2006/relationships/oleObject" Target="../embeddings/oleObject74.bin"/><Relationship Id="rId55" Type="http://schemas.openxmlformats.org/officeDocument/2006/relationships/image" Target="../media/image31.wmf"/><Relationship Id="rId63" Type="http://schemas.openxmlformats.org/officeDocument/2006/relationships/image" Target="../media/image4.wmf"/><Relationship Id="rId7" Type="http://schemas.openxmlformats.org/officeDocument/2006/relationships/oleObject" Target="../embeddings/oleObject52.bin"/><Relationship Id="rId2" Type="http://schemas.openxmlformats.org/officeDocument/2006/relationships/vmlDrawing" Target="../drawings/vmlDrawing2.vml"/><Relationship Id="rId16" Type="http://schemas.openxmlformats.org/officeDocument/2006/relationships/image" Target="../media/image14.wmf"/><Relationship Id="rId29" Type="http://schemas.openxmlformats.org/officeDocument/2006/relationships/oleObject" Target="../embeddings/oleObject63.bin"/><Relationship Id="rId11" Type="http://schemas.openxmlformats.org/officeDocument/2006/relationships/oleObject" Target="../embeddings/oleObject54.bin"/><Relationship Id="rId24" Type="http://schemas.openxmlformats.org/officeDocument/2006/relationships/image" Target="../media/image17.wmf"/><Relationship Id="rId32" Type="http://schemas.openxmlformats.org/officeDocument/2006/relationships/image" Target="../media/image5.wmf"/><Relationship Id="rId37" Type="http://schemas.openxmlformats.org/officeDocument/2006/relationships/oleObject" Target="../embeddings/oleObject67.bin"/><Relationship Id="rId40" Type="http://schemas.openxmlformats.org/officeDocument/2006/relationships/image" Target="../media/image24.wmf"/><Relationship Id="rId45" Type="http://schemas.openxmlformats.org/officeDocument/2006/relationships/image" Target="../media/image26.wmf"/><Relationship Id="rId53" Type="http://schemas.openxmlformats.org/officeDocument/2006/relationships/image" Target="../media/image30.wmf"/><Relationship Id="rId58" Type="http://schemas.openxmlformats.org/officeDocument/2006/relationships/oleObject" Target="../embeddings/oleObject78.bin"/><Relationship Id="rId5" Type="http://schemas.openxmlformats.org/officeDocument/2006/relationships/oleObject" Target="../embeddings/oleObject51.bin"/><Relationship Id="rId61" Type="http://schemas.openxmlformats.org/officeDocument/2006/relationships/image" Target="../media/image3.wmf"/><Relationship Id="rId19" Type="http://schemas.openxmlformats.org/officeDocument/2006/relationships/oleObject" Target="../embeddings/oleObject58.bin"/><Relationship Id="rId14" Type="http://schemas.openxmlformats.org/officeDocument/2006/relationships/image" Target="../media/image13.wmf"/><Relationship Id="rId22" Type="http://schemas.openxmlformats.org/officeDocument/2006/relationships/image" Target="../media/image7.wmf"/><Relationship Id="rId27" Type="http://schemas.openxmlformats.org/officeDocument/2006/relationships/oleObject" Target="../embeddings/oleObject62.bin"/><Relationship Id="rId30" Type="http://schemas.openxmlformats.org/officeDocument/2006/relationships/image" Target="../media/image20.wmf"/><Relationship Id="rId35" Type="http://schemas.openxmlformats.org/officeDocument/2006/relationships/oleObject" Target="../embeddings/oleObject66.bin"/><Relationship Id="rId43" Type="http://schemas.openxmlformats.org/officeDocument/2006/relationships/oleObject" Target="../embeddings/oleObject70.bin"/><Relationship Id="rId48" Type="http://schemas.openxmlformats.org/officeDocument/2006/relationships/oleObject" Target="../embeddings/oleObject73.bin"/><Relationship Id="rId56" Type="http://schemas.openxmlformats.org/officeDocument/2006/relationships/oleObject" Target="../embeddings/oleObject77.bin"/><Relationship Id="rId64" Type="http://schemas.openxmlformats.org/officeDocument/2006/relationships/oleObject" Target="../embeddings/oleObject81.bin"/><Relationship Id="rId8" Type="http://schemas.openxmlformats.org/officeDocument/2006/relationships/image" Target="../media/image10.wmf"/><Relationship Id="rId51" Type="http://schemas.openxmlformats.org/officeDocument/2006/relationships/image" Target="../media/image29.wmf"/><Relationship Id="rId3" Type="http://schemas.openxmlformats.org/officeDocument/2006/relationships/oleObject" Target="../embeddings/oleObject50.bin"/><Relationship Id="rId12" Type="http://schemas.openxmlformats.org/officeDocument/2006/relationships/image" Target="../media/image12.wmf"/><Relationship Id="rId17" Type="http://schemas.openxmlformats.org/officeDocument/2006/relationships/oleObject" Target="../embeddings/oleObject57.bin"/><Relationship Id="rId25" Type="http://schemas.openxmlformats.org/officeDocument/2006/relationships/oleObject" Target="../embeddings/oleObject61.bin"/><Relationship Id="rId33" Type="http://schemas.openxmlformats.org/officeDocument/2006/relationships/oleObject" Target="../embeddings/oleObject65.bin"/><Relationship Id="rId38" Type="http://schemas.openxmlformats.org/officeDocument/2006/relationships/image" Target="../media/image23.wmf"/><Relationship Id="rId46" Type="http://schemas.openxmlformats.org/officeDocument/2006/relationships/oleObject" Target="../embeddings/oleObject72.bin"/><Relationship Id="rId59" Type="http://schemas.openxmlformats.org/officeDocument/2006/relationships/image" Target="../media/image2.wmf"/><Relationship Id="rId20" Type="http://schemas.openxmlformats.org/officeDocument/2006/relationships/image" Target="../media/image16.wmf"/><Relationship Id="rId41" Type="http://schemas.openxmlformats.org/officeDocument/2006/relationships/oleObject" Target="../embeddings/oleObject69.bin"/><Relationship Id="rId54" Type="http://schemas.openxmlformats.org/officeDocument/2006/relationships/oleObject" Target="../embeddings/oleObject76.bin"/><Relationship Id="rId62" Type="http://schemas.openxmlformats.org/officeDocument/2006/relationships/oleObject" Target="../embeddings/oleObject80.bin"/><Relationship Id="rId1" Type="http://schemas.openxmlformats.org/officeDocument/2006/relationships/drawing" Target="../drawings/drawing4.xml"/><Relationship Id="rId6" Type="http://schemas.openxmlformats.org/officeDocument/2006/relationships/image" Target="../media/image9.wmf"/><Relationship Id="rId15" Type="http://schemas.openxmlformats.org/officeDocument/2006/relationships/oleObject" Target="../embeddings/oleObject56.bin"/><Relationship Id="rId23" Type="http://schemas.openxmlformats.org/officeDocument/2006/relationships/oleObject" Target="../embeddings/oleObject60.bin"/><Relationship Id="rId28" Type="http://schemas.openxmlformats.org/officeDocument/2006/relationships/image" Target="../media/image19.wmf"/><Relationship Id="rId36" Type="http://schemas.openxmlformats.org/officeDocument/2006/relationships/image" Target="../media/image22.wmf"/><Relationship Id="rId49" Type="http://schemas.openxmlformats.org/officeDocument/2006/relationships/image" Target="../media/image28.wmf"/><Relationship Id="rId57" Type="http://schemas.openxmlformats.org/officeDocument/2006/relationships/image" Target="../media/image1.wmf"/><Relationship Id="rId10" Type="http://schemas.openxmlformats.org/officeDocument/2006/relationships/image" Target="../media/image11.wmf"/><Relationship Id="rId31" Type="http://schemas.openxmlformats.org/officeDocument/2006/relationships/oleObject" Target="../embeddings/oleObject64.bin"/><Relationship Id="rId44" Type="http://schemas.openxmlformats.org/officeDocument/2006/relationships/oleObject" Target="../embeddings/oleObject71.bin"/><Relationship Id="rId52" Type="http://schemas.openxmlformats.org/officeDocument/2006/relationships/oleObject" Target="../embeddings/oleObject75.bin"/><Relationship Id="rId60" Type="http://schemas.openxmlformats.org/officeDocument/2006/relationships/oleObject" Target="../embeddings/oleObject79.bin"/><Relationship Id="rId65" Type="http://schemas.openxmlformats.org/officeDocument/2006/relationships/oleObject" Target="../embeddings/oleObject82.bin"/><Relationship Id="rId4" Type="http://schemas.openxmlformats.org/officeDocument/2006/relationships/image" Target="../media/image8.wmf"/><Relationship Id="rId9" Type="http://schemas.openxmlformats.org/officeDocument/2006/relationships/oleObject" Target="../embeddings/oleObject53.bin"/><Relationship Id="rId13" Type="http://schemas.openxmlformats.org/officeDocument/2006/relationships/oleObject" Target="../embeddings/oleObject55.bin"/><Relationship Id="rId18" Type="http://schemas.openxmlformats.org/officeDocument/2006/relationships/image" Target="../media/image15.wmf"/><Relationship Id="rId39" Type="http://schemas.openxmlformats.org/officeDocument/2006/relationships/oleObject" Target="../embeddings/oleObject6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W76"/>
  <sheetViews>
    <sheetView workbookViewId="0">
      <selection activeCell="T52" sqref="T52"/>
    </sheetView>
  </sheetViews>
  <sheetFormatPr defaultRowHeight="15" x14ac:dyDescent="0.25"/>
  <cols>
    <col min="2" max="2" width="14.140625" customWidth="1"/>
  </cols>
  <sheetData>
    <row r="5" spans="3:22" x14ac:dyDescent="0.25">
      <c r="E5" t="s">
        <v>181</v>
      </c>
      <c r="F5" t="s">
        <v>154</v>
      </c>
    </row>
    <row r="6" spans="3:22" x14ac:dyDescent="0.25">
      <c r="E6" s="286">
        <v>1</v>
      </c>
      <c r="F6" s="286">
        <v>2</v>
      </c>
      <c r="G6" s="286">
        <v>3</v>
      </c>
      <c r="H6" s="286">
        <v>4</v>
      </c>
      <c r="I6" s="286">
        <v>5</v>
      </c>
      <c r="J6" s="286">
        <v>6</v>
      </c>
    </row>
    <row r="7" spans="3:22" x14ac:dyDescent="0.25">
      <c r="D7" s="45"/>
      <c r="E7" s="322">
        <v>50.83</v>
      </c>
      <c r="F7" s="323">
        <v>47.41</v>
      </c>
      <c r="G7" s="291">
        <v>44.78</v>
      </c>
      <c r="H7" s="323">
        <v>42.41</v>
      </c>
      <c r="I7" s="323">
        <v>38.5</v>
      </c>
      <c r="J7" s="324">
        <v>36.450000000000003</v>
      </c>
      <c r="Q7" t="s">
        <v>181</v>
      </c>
      <c r="R7" t="s">
        <v>154</v>
      </c>
    </row>
    <row r="8" spans="3:22" x14ac:dyDescent="0.25">
      <c r="D8" s="45"/>
      <c r="E8" s="325">
        <v>50.65</v>
      </c>
      <c r="F8" s="39">
        <v>47.07</v>
      </c>
      <c r="G8" s="69">
        <v>44.68</v>
      </c>
      <c r="H8" s="39">
        <v>42.13</v>
      </c>
      <c r="I8" s="39">
        <v>38.42</v>
      </c>
      <c r="J8" s="70">
        <v>36.380000000000003</v>
      </c>
      <c r="Q8" s="286">
        <v>1</v>
      </c>
      <c r="R8" s="286">
        <v>2</v>
      </c>
      <c r="S8" s="286">
        <v>3</v>
      </c>
      <c r="T8" s="286">
        <v>4</v>
      </c>
      <c r="U8" s="286">
        <v>5</v>
      </c>
      <c r="V8" s="286">
        <v>6</v>
      </c>
    </row>
    <row r="9" spans="3:22" x14ac:dyDescent="0.25">
      <c r="D9" s="45"/>
      <c r="E9" s="325">
        <v>50.63</v>
      </c>
      <c r="F9" s="39">
        <v>47.32</v>
      </c>
      <c r="G9" s="69">
        <v>44.5</v>
      </c>
      <c r="H9" s="39">
        <v>42.17</v>
      </c>
      <c r="I9" s="39">
        <v>38.39</v>
      </c>
      <c r="J9" s="70">
        <v>36.17</v>
      </c>
      <c r="Q9" s="322">
        <v>50.83</v>
      </c>
      <c r="R9" s="323">
        <v>47.41</v>
      </c>
      <c r="S9" s="291">
        <v>44.78</v>
      </c>
      <c r="T9" s="323">
        <v>42.41</v>
      </c>
      <c r="U9" s="323">
        <v>38.5</v>
      </c>
      <c r="V9" s="324">
        <v>36.450000000000003</v>
      </c>
    </row>
    <row r="10" spans="3:22" x14ac:dyDescent="0.25">
      <c r="D10" s="45"/>
      <c r="E10" s="325">
        <v>50.47</v>
      </c>
      <c r="F10" s="39">
        <v>47.06</v>
      </c>
      <c r="G10" s="69">
        <v>44.49</v>
      </c>
      <c r="H10" s="39">
        <v>42.23</v>
      </c>
      <c r="I10" s="39">
        <v>38.369999999999997</v>
      </c>
      <c r="J10" s="70">
        <v>36.270000000000003</v>
      </c>
      <c r="Q10" s="325">
        <v>50.65</v>
      </c>
      <c r="R10" s="39">
        <v>47.07</v>
      </c>
      <c r="S10" s="69">
        <v>44.68</v>
      </c>
      <c r="T10" s="39">
        <v>42.13</v>
      </c>
      <c r="U10" s="39">
        <v>38.42</v>
      </c>
      <c r="V10" s="70">
        <v>36.380000000000003</v>
      </c>
    </row>
    <row r="11" spans="3:22" x14ac:dyDescent="0.25">
      <c r="D11" s="45"/>
      <c r="E11" s="325">
        <v>50.54</v>
      </c>
      <c r="F11" s="39">
        <v>47</v>
      </c>
      <c r="G11" s="69">
        <v>44.54</v>
      </c>
      <c r="H11" s="39">
        <v>42.06</v>
      </c>
      <c r="I11" s="39">
        <v>38.29</v>
      </c>
      <c r="J11" s="70">
        <v>36.43</v>
      </c>
      <c r="Q11" s="325">
        <v>50.63</v>
      </c>
      <c r="R11" s="39">
        <v>47.32</v>
      </c>
      <c r="S11" s="69">
        <v>44.5</v>
      </c>
      <c r="T11" s="39">
        <v>42.17</v>
      </c>
      <c r="U11" s="39">
        <v>38.39</v>
      </c>
      <c r="V11" s="70">
        <v>36.17</v>
      </c>
    </row>
    <row r="12" spans="3:22" x14ac:dyDescent="0.25">
      <c r="D12" s="45"/>
      <c r="E12" s="325">
        <v>50.52</v>
      </c>
      <c r="F12" s="39">
        <v>47.09</v>
      </c>
      <c r="G12" s="69">
        <v>44.56</v>
      </c>
      <c r="H12" s="39">
        <v>42.17</v>
      </c>
      <c r="I12" s="39">
        <v>38.25</v>
      </c>
      <c r="J12" s="70">
        <v>36.14</v>
      </c>
      <c r="Q12" s="325">
        <v>50.47</v>
      </c>
      <c r="R12" s="39">
        <v>47.06</v>
      </c>
      <c r="S12" s="69">
        <v>44.49</v>
      </c>
      <c r="T12" s="39">
        <v>42.23</v>
      </c>
      <c r="U12" s="39">
        <v>38.369999999999997</v>
      </c>
      <c r="V12" s="70">
        <v>36.270000000000003</v>
      </c>
    </row>
    <row r="13" spans="3:22" x14ac:dyDescent="0.25">
      <c r="E13" s="325">
        <v>50.51</v>
      </c>
      <c r="F13" s="39">
        <v>47.05</v>
      </c>
      <c r="G13" s="69">
        <v>44.52</v>
      </c>
      <c r="H13" s="39">
        <v>42.11</v>
      </c>
      <c r="I13" s="39">
        <v>38.29</v>
      </c>
      <c r="J13" s="70">
        <v>36.15</v>
      </c>
      <c r="Q13" s="325">
        <v>50.54</v>
      </c>
      <c r="R13" s="39">
        <v>47</v>
      </c>
      <c r="S13" s="69">
        <v>44.54</v>
      </c>
      <c r="T13" s="39">
        <v>42.06</v>
      </c>
      <c r="U13" s="39">
        <v>38.29</v>
      </c>
      <c r="V13" s="70">
        <v>36.43</v>
      </c>
    </row>
    <row r="14" spans="3:22" x14ac:dyDescent="0.25">
      <c r="C14" s="1" t="s">
        <v>156</v>
      </c>
      <c r="D14" s="1"/>
      <c r="E14" s="274">
        <f>AVERAGE(E7:E13)</f>
        <v>50.592857142857142</v>
      </c>
      <c r="F14" s="274">
        <f t="shared" ref="F14:J14" si="0">AVERAGE(F7:F13)</f>
        <v>47.142857142857146</v>
      </c>
      <c r="G14" s="274">
        <f t="shared" si="0"/>
        <v>44.581428571428567</v>
      </c>
      <c r="H14" s="274">
        <f t="shared" si="0"/>
        <v>42.182857142857145</v>
      </c>
      <c r="I14" s="274">
        <f t="shared" si="0"/>
        <v>38.35857142857143</v>
      </c>
      <c r="J14" s="249">
        <f t="shared" si="0"/>
        <v>36.284285714285723</v>
      </c>
      <c r="Q14" s="325">
        <v>50.52</v>
      </c>
      <c r="R14" s="39">
        <v>47.09</v>
      </c>
      <c r="S14" s="69">
        <v>44.56</v>
      </c>
      <c r="T14" s="39">
        <v>42.17</v>
      </c>
      <c r="U14" s="39">
        <v>38.25</v>
      </c>
      <c r="V14" s="70">
        <v>36.14</v>
      </c>
    </row>
    <row r="15" spans="3:22" x14ac:dyDescent="0.25">
      <c r="C15" s="93" t="s">
        <v>182</v>
      </c>
      <c r="D15" s="6"/>
      <c r="E15" s="274">
        <v>127.25285714285715</v>
      </c>
      <c r="F15" s="248">
        <v>120.00000000000001</v>
      </c>
      <c r="G15" s="274">
        <v>114.05999999999999</v>
      </c>
      <c r="H15" s="248">
        <v>108.12</v>
      </c>
      <c r="I15" s="274">
        <v>99.429999999999993</v>
      </c>
      <c r="J15" s="249">
        <v>93.088571428571413</v>
      </c>
      <c r="K15" s="326" t="s">
        <v>202</v>
      </c>
      <c r="Q15" s="395">
        <v>50.51</v>
      </c>
      <c r="R15" s="278">
        <v>47.05</v>
      </c>
      <c r="S15" s="72">
        <v>44.52</v>
      </c>
      <c r="T15" s="278">
        <v>42.11</v>
      </c>
      <c r="U15" s="278">
        <v>38.29</v>
      </c>
      <c r="V15" s="73">
        <v>36.15</v>
      </c>
    </row>
    <row r="16" spans="3:22" ht="15.75" thickBot="1" x14ac:dyDescent="0.3">
      <c r="C16" s="41" t="s">
        <v>184</v>
      </c>
      <c r="D16" s="42"/>
      <c r="E16" s="278">
        <f>E15/E14</f>
        <v>2.5152336580544969</v>
      </c>
      <c r="F16" s="72">
        <f t="shared" ref="F16:J16" si="1">F15/F14</f>
        <v>2.5454545454545454</v>
      </c>
      <c r="G16" s="278">
        <f t="shared" si="1"/>
        <v>2.5584644470791811</v>
      </c>
      <c r="H16" s="72">
        <f t="shared" si="1"/>
        <v>2.5631265239772421</v>
      </c>
      <c r="I16" s="278">
        <f t="shared" si="1"/>
        <v>2.5921194741350413</v>
      </c>
      <c r="J16" s="70">
        <f t="shared" si="1"/>
        <v>2.5655340761447292</v>
      </c>
      <c r="K16" s="327">
        <f>AVERAGE(E16:J16)</f>
        <v>2.5566554541408726</v>
      </c>
      <c r="Q16" s="286"/>
      <c r="R16" s="286"/>
      <c r="S16" s="286"/>
      <c r="T16" s="286"/>
      <c r="U16" s="286"/>
      <c r="V16" s="286"/>
    </row>
    <row r="17" spans="2:22" ht="15.75" thickBot="1" x14ac:dyDescent="0.3">
      <c r="B17" t="s">
        <v>185</v>
      </c>
      <c r="C17" s="60" t="s">
        <v>158</v>
      </c>
      <c r="D17" s="1"/>
      <c r="E17" s="328">
        <v>0.50965973776597306</v>
      </c>
      <c r="F17" s="328">
        <v>0.44092280510375642</v>
      </c>
      <c r="G17" s="329">
        <v>0.46473403842453009</v>
      </c>
      <c r="H17" s="328">
        <v>0.72762060604332446</v>
      </c>
      <c r="I17" s="330">
        <v>0.57251016150451028</v>
      </c>
      <c r="J17" s="331">
        <f>AVERAGE(E17:I17)</f>
        <v>0.54308946976841876</v>
      </c>
      <c r="K17" s="332" t="s">
        <v>186</v>
      </c>
      <c r="Q17" t="s">
        <v>195</v>
      </c>
      <c r="R17" t="s">
        <v>154</v>
      </c>
    </row>
    <row r="18" spans="2:22" ht="15.75" thickBot="1" x14ac:dyDescent="0.3">
      <c r="B18" t="s">
        <v>187</v>
      </c>
      <c r="C18" s="60" t="s">
        <v>158</v>
      </c>
      <c r="D18" s="1"/>
      <c r="E18" s="329">
        <v>0.95058254286973021</v>
      </c>
      <c r="F18" s="329">
        <v>0.90565684352828668</v>
      </c>
      <c r="G18" s="329">
        <v>1.1923546444678539</v>
      </c>
      <c r="H18" s="333">
        <v>1.3001307675478342</v>
      </c>
      <c r="I18" s="331">
        <f>AVERAGE(E18:H18)</f>
        <v>1.0871811996034262</v>
      </c>
      <c r="J18" s="334">
        <f>I18/J17</f>
        <v>2.0018454787330273</v>
      </c>
      <c r="K18" s="332" t="s">
        <v>188</v>
      </c>
      <c r="Q18" s="286">
        <v>1</v>
      </c>
      <c r="R18" s="286">
        <v>2</v>
      </c>
      <c r="S18" s="286">
        <v>3</v>
      </c>
      <c r="T18" s="286">
        <v>4</v>
      </c>
      <c r="U18" s="286">
        <v>5</v>
      </c>
      <c r="V18" s="286">
        <v>6</v>
      </c>
    </row>
    <row r="19" spans="2:22" ht="15.75" thickBot="1" x14ac:dyDescent="0.3">
      <c r="B19" t="s">
        <v>189</v>
      </c>
      <c r="C19" s="60" t="s">
        <v>158</v>
      </c>
      <c r="D19" s="1"/>
      <c r="E19" s="329">
        <v>1.4153165812942599</v>
      </c>
      <c r="F19" s="329">
        <v>1.6332774495716111</v>
      </c>
      <c r="G19" s="330">
        <v>1.7648648059723637</v>
      </c>
      <c r="H19" s="331">
        <f>AVERAGE(E19:G19)</f>
        <v>1.6044862789460783</v>
      </c>
      <c r="J19" s="334">
        <f>H19/J17</f>
        <v>2.9543682362875763</v>
      </c>
      <c r="K19" s="332" t="s">
        <v>190</v>
      </c>
      <c r="Q19" s="322">
        <v>21.43</v>
      </c>
      <c r="R19" s="323">
        <v>18.059999999999999</v>
      </c>
      <c r="S19" s="323">
        <v>16.18</v>
      </c>
      <c r="T19" s="291">
        <v>13.73</v>
      </c>
      <c r="U19" s="323">
        <v>11.52</v>
      </c>
      <c r="V19" s="324">
        <v>10.119999999999999</v>
      </c>
    </row>
    <row r="20" spans="2:22" ht="15.75" thickBot="1" x14ac:dyDescent="0.3">
      <c r="B20" t="s">
        <v>191</v>
      </c>
      <c r="C20" s="60" t="s">
        <v>158</v>
      </c>
      <c r="D20" s="1"/>
      <c r="E20" s="329">
        <v>2.1429371873375844</v>
      </c>
      <c r="F20" s="335">
        <v>2.2057876110761212</v>
      </c>
      <c r="G20" s="331">
        <f>AVERAGE(E20:F20)</f>
        <v>2.1743623992068528</v>
      </c>
      <c r="J20" s="334">
        <f>G20/J17</f>
        <v>4.0036909574660555</v>
      </c>
      <c r="K20" s="332" t="s">
        <v>192</v>
      </c>
      <c r="Q20" s="325">
        <v>21.24</v>
      </c>
      <c r="R20" s="39">
        <v>18.27</v>
      </c>
      <c r="S20" s="39">
        <v>15.79</v>
      </c>
      <c r="T20" s="69">
        <v>13.22</v>
      </c>
      <c r="U20" s="39">
        <v>11.43</v>
      </c>
      <c r="V20" s="70">
        <v>10.199999999999999</v>
      </c>
    </row>
    <row r="21" spans="2:22" x14ac:dyDescent="0.25">
      <c r="E21" s="336" t="s">
        <v>193</v>
      </c>
      <c r="J21" s="337" t="s">
        <v>194</v>
      </c>
      <c r="Q21" s="325">
        <v>21.42</v>
      </c>
      <c r="R21" s="39">
        <v>18.36</v>
      </c>
      <c r="S21" s="39">
        <v>15.67</v>
      </c>
      <c r="T21" s="69">
        <v>13.27</v>
      </c>
      <c r="U21" s="39">
        <v>11.56</v>
      </c>
      <c r="V21" s="70">
        <v>9.84</v>
      </c>
    </row>
    <row r="22" spans="2:22" x14ac:dyDescent="0.25">
      <c r="E22" t="s">
        <v>195</v>
      </c>
      <c r="F22" t="s">
        <v>154</v>
      </c>
      <c r="Q22" s="325">
        <v>21.22</v>
      </c>
      <c r="R22" s="39">
        <v>18.14</v>
      </c>
      <c r="S22" s="39">
        <v>15.5</v>
      </c>
      <c r="T22" s="69">
        <v>13.37</v>
      </c>
      <c r="U22" s="39">
        <v>11.43</v>
      </c>
      <c r="V22" s="70">
        <v>10.199999999999999</v>
      </c>
    </row>
    <row r="23" spans="2:22" x14ac:dyDescent="0.25">
      <c r="E23" s="286">
        <v>1</v>
      </c>
      <c r="F23" s="286">
        <v>2</v>
      </c>
      <c r="G23" s="286">
        <v>3</v>
      </c>
      <c r="H23" s="286">
        <v>4</v>
      </c>
      <c r="I23" s="286">
        <v>5</v>
      </c>
      <c r="J23" s="286">
        <v>6</v>
      </c>
      <c r="Q23" s="325">
        <v>21.24</v>
      </c>
      <c r="R23" s="39">
        <v>18.48</v>
      </c>
      <c r="S23" s="39">
        <v>15.48</v>
      </c>
      <c r="T23" s="69">
        <v>13.5</v>
      </c>
      <c r="U23" s="39">
        <v>11.49</v>
      </c>
      <c r="V23" s="70">
        <v>10.220000000000001</v>
      </c>
    </row>
    <row r="24" spans="2:22" x14ac:dyDescent="0.25">
      <c r="E24" s="323">
        <v>21.43</v>
      </c>
      <c r="F24" s="323">
        <v>18.059999999999999</v>
      </c>
      <c r="G24" s="323">
        <v>16.18</v>
      </c>
      <c r="H24" s="323">
        <v>13.73</v>
      </c>
      <c r="I24" s="323">
        <v>11.52</v>
      </c>
      <c r="J24" s="323">
        <v>10.119999999999999</v>
      </c>
      <c r="Q24" s="325">
        <v>21.27</v>
      </c>
      <c r="R24" s="39">
        <v>18.57</v>
      </c>
      <c r="S24" s="39">
        <v>15.32</v>
      </c>
      <c r="T24" s="69">
        <v>13.01</v>
      </c>
      <c r="U24" s="39">
        <v>11.88</v>
      </c>
      <c r="V24" s="70">
        <v>9.9499999999999993</v>
      </c>
    </row>
    <row r="25" spans="2:22" x14ac:dyDescent="0.25">
      <c r="E25" s="39">
        <v>21.24</v>
      </c>
      <c r="F25" s="39">
        <v>18.27</v>
      </c>
      <c r="G25" s="39">
        <v>15.79</v>
      </c>
      <c r="H25" s="39">
        <v>13.22</v>
      </c>
      <c r="I25" s="39">
        <v>11.43</v>
      </c>
      <c r="J25" s="39">
        <v>10.199999999999999</v>
      </c>
      <c r="Q25" s="395">
        <v>21.47</v>
      </c>
      <c r="R25" s="278">
        <v>18.649999999999999</v>
      </c>
      <c r="S25" s="278">
        <v>15.71</v>
      </c>
      <c r="T25" s="72">
        <v>13.44</v>
      </c>
      <c r="U25" s="278">
        <v>11.61</v>
      </c>
      <c r="V25" s="73">
        <v>10.34</v>
      </c>
    </row>
    <row r="26" spans="2:22" x14ac:dyDescent="0.25">
      <c r="E26" s="39">
        <v>21.42</v>
      </c>
      <c r="F26" s="39">
        <v>18.36</v>
      </c>
      <c r="G26" s="39">
        <v>15.67</v>
      </c>
      <c r="H26" s="39">
        <v>13.27</v>
      </c>
      <c r="I26" s="39">
        <v>11.56</v>
      </c>
      <c r="J26" s="39">
        <v>9.84</v>
      </c>
      <c r="V26" s="286"/>
    </row>
    <row r="27" spans="2:22" x14ac:dyDescent="0.25">
      <c r="E27" s="39">
        <v>21.22</v>
      </c>
      <c r="F27" s="39">
        <v>18.14</v>
      </c>
      <c r="G27" s="39">
        <v>15.5</v>
      </c>
      <c r="H27" s="39">
        <v>13.37</v>
      </c>
      <c r="I27" s="39">
        <v>11.43</v>
      </c>
      <c r="J27" s="39">
        <v>10.199999999999999</v>
      </c>
      <c r="Q27" t="s">
        <v>196</v>
      </c>
      <c r="R27" t="s">
        <v>154</v>
      </c>
    </row>
    <row r="28" spans="2:22" x14ac:dyDescent="0.25">
      <c r="E28" s="39">
        <v>21.24</v>
      </c>
      <c r="F28" s="39">
        <v>18.48</v>
      </c>
      <c r="G28" s="39">
        <v>15.48</v>
      </c>
      <c r="H28" s="39">
        <v>13.5</v>
      </c>
      <c r="I28" s="39">
        <v>11.49</v>
      </c>
      <c r="J28" s="39">
        <v>10.220000000000001</v>
      </c>
      <c r="Q28" s="286">
        <v>1</v>
      </c>
      <c r="R28" s="286">
        <v>2</v>
      </c>
      <c r="S28" s="286">
        <v>3</v>
      </c>
      <c r="T28" s="286">
        <v>4</v>
      </c>
      <c r="U28" s="286">
        <v>5</v>
      </c>
      <c r="V28" s="286">
        <v>6</v>
      </c>
    </row>
    <row r="29" spans="2:22" x14ac:dyDescent="0.25">
      <c r="E29" s="39">
        <v>21.27</v>
      </c>
      <c r="F29" s="39">
        <v>18.57</v>
      </c>
      <c r="G29" s="39">
        <v>15.32</v>
      </c>
      <c r="H29" s="39">
        <v>13.01</v>
      </c>
      <c r="I29" s="39">
        <v>11.88</v>
      </c>
      <c r="J29" s="39">
        <v>9.9499999999999993</v>
      </c>
      <c r="Q29" s="323">
        <v>10.01</v>
      </c>
      <c r="R29" s="323">
        <v>7.32</v>
      </c>
      <c r="S29" s="323">
        <v>5.19</v>
      </c>
      <c r="T29" s="323">
        <v>3.72</v>
      </c>
      <c r="U29" s="323">
        <v>3.07</v>
      </c>
      <c r="V29" s="323">
        <v>2.37</v>
      </c>
    </row>
    <row r="30" spans="2:22" x14ac:dyDescent="0.25">
      <c r="E30" s="39">
        <v>21.47</v>
      </c>
      <c r="F30" s="39">
        <v>18.649999999999999</v>
      </c>
      <c r="G30" s="39">
        <v>15.71</v>
      </c>
      <c r="H30" s="39">
        <v>13.44</v>
      </c>
      <c r="I30" s="39">
        <v>11.61</v>
      </c>
      <c r="J30" s="39">
        <v>10.34</v>
      </c>
      <c r="Q30" s="39">
        <v>9.91</v>
      </c>
      <c r="R30" s="39">
        <v>7.56</v>
      </c>
      <c r="S30" s="39">
        <v>5.26</v>
      </c>
      <c r="T30" s="39">
        <v>4.04</v>
      </c>
      <c r="U30" s="39">
        <v>2.89</v>
      </c>
      <c r="V30" s="39">
        <v>2.4900000000000002</v>
      </c>
    </row>
    <row r="31" spans="2:22" x14ac:dyDescent="0.25">
      <c r="C31" s="1" t="s">
        <v>156</v>
      </c>
      <c r="D31" s="1"/>
      <c r="E31" s="249">
        <f>AVERAGE(E24:E30)</f>
        <v>21.327142857142857</v>
      </c>
      <c r="F31" s="249">
        <f t="shared" ref="F31:J31" si="2">AVERAGE(F24:F30)</f>
        <v>18.361428571428572</v>
      </c>
      <c r="G31" s="249">
        <f t="shared" si="2"/>
        <v>15.664285714285715</v>
      </c>
      <c r="H31" s="249">
        <f t="shared" si="2"/>
        <v>13.362857142857143</v>
      </c>
      <c r="I31" s="249">
        <f t="shared" si="2"/>
        <v>11.56</v>
      </c>
      <c r="J31" s="249">
        <f t="shared" si="2"/>
        <v>10.124285714285715</v>
      </c>
      <c r="Q31" s="39">
        <v>9.9</v>
      </c>
      <c r="R31" s="39">
        <v>7.36</v>
      </c>
      <c r="S31" s="39">
        <v>5.38</v>
      </c>
      <c r="T31" s="39">
        <v>3.77</v>
      </c>
      <c r="U31" s="39">
        <v>3.06</v>
      </c>
      <c r="V31" s="39">
        <v>2.39</v>
      </c>
    </row>
    <row r="32" spans="2:22" x14ac:dyDescent="0.25">
      <c r="C32" s="93" t="s">
        <v>182</v>
      </c>
      <c r="D32" s="7"/>
      <c r="E32" s="249">
        <v>49.08142857142856</v>
      </c>
      <c r="F32" s="249">
        <v>42.254285714285722</v>
      </c>
      <c r="G32" s="249">
        <v>36.551428571428573</v>
      </c>
      <c r="H32" s="249">
        <v>31.862857142857141</v>
      </c>
      <c r="I32" s="249">
        <v>28.062857142857144</v>
      </c>
      <c r="J32" s="249">
        <v>24.809999999999995</v>
      </c>
      <c r="K32" s="326" t="s">
        <v>183</v>
      </c>
      <c r="Q32" s="39">
        <v>9.85</v>
      </c>
      <c r="R32" s="39">
        <v>7.65</v>
      </c>
      <c r="S32" s="39">
        <v>5.44</v>
      </c>
      <c r="T32" s="39">
        <v>3.97</v>
      </c>
      <c r="U32" s="39">
        <v>2.92</v>
      </c>
      <c r="V32" s="39">
        <v>2.2799999999999998</v>
      </c>
    </row>
    <row r="33" spans="2:23" ht="15.75" thickBot="1" x14ac:dyDescent="0.3">
      <c r="C33" s="41" t="s">
        <v>184</v>
      </c>
      <c r="D33" s="42"/>
      <c r="E33" s="278">
        <f>E32/E31</f>
        <v>2.3013597695759924</v>
      </c>
      <c r="F33" s="72">
        <f t="shared" ref="F33:J33" si="3">F32/F31</f>
        <v>2.3012526258461063</v>
      </c>
      <c r="G33" s="278">
        <f t="shared" si="3"/>
        <v>2.3334245326037393</v>
      </c>
      <c r="H33" s="72">
        <f t="shared" si="3"/>
        <v>2.3844344665383792</v>
      </c>
      <c r="I33" s="278">
        <f t="shared" si="3"/>
        <v>2.4275827978250124</v>
      </c>
      <c r="J33" s="73">
        <f t="shared" si="3"/>
        <v>2.4505432482009306</v>
      </c>
      <c r="K33" s="327">
        <f>AVERAGE(E33:J33)</f>
        <v>2.3664329067650272</v>
      </c>
      <c r="Q33" s="39">
        <v>10.07</v>
      </c>
      <c r="R33" s="39">
        <v>7.56</v>
      </c>
      <c r="S33" s="39">
        <v>5.31</v>
      </c>
      <c r="T33" s="39">
        <v>3.93</v>
      </c>
      <c r="U33" s="39">
        <v>2.88</v>
      </c>
      <c r="V33" s="39">
        <v>2.06</v>
      </c>
    </row>
    <row r="34" spans="2:23" ht="15.75" thickBot="1" x14ac:dyDescent="0.3">
      <c r="B34" t="s">
        <v>185</v>
      </c>
      <c r="C34" s="60" t="s">
        <v>158</v>
      </c>
      <c r="D34" s="1"/>
      <c r="E34" s="328">
        <v>1.3013568402177189</v>
      </c>
      <c r="F34" s="328">
        <v>1.2588813146759363</v>
      </c>
      <c r="G34" s="329">
        <v>1.1928117881337013</v>
      </c>
      <c r="H34" s="328">
        <v>1.1032771406047284</v>
      </c>
      <c r="I34" s="330">
        <v>1.0700864103793462</v>
      </c>
      <c r="J34" s="331">
        <f>AVERAGE(E34:I34)</f>
        <v>1.1852826988022862</v>
      </c>
      <c r="K34" s="332" t="s">
        <v>186</v>
      </c>
      <c r="Q34" s="39">
        <v>10.02</v>
      </c>
      <c r="R34" s="39">
        <v>7.41</v>
      </c>
      <c r="S34" s="39">
        <v>5.24</v>
      </c>
      <c r="T34" s="39">
        <v>3.88</v>
      </c>
      <c r="U34" s="39">
        <v>2.91</v>
      </c>
      <c r="V34" s="39">
        <v>2.41</v>
      </c>
    </row>
    <row r="35" spans="2:23" ht="15.75" thickBot="1" x14ac:dyDescent="0.3">
      <c r="B35" t="s">
        <v>187</v>
      </c>
      <c r="C35" s="60" t="s">
        <v>158</v>
      </c>
      <c r="D35" s="1"/>
      <c r="E35" s="329">
        <v>2.5602381548936548</v>
      </c>
      <c r="F35" s="329">
        <v>2.4516931028096374</v>
      </c>
      <c r="G35" s="329">
        <v>2.2960889287384303</v>
      </c>
      <c r="H35" s="338">
        <v>2.173363550984075</v>
      </c>
      <c r="I35" s="331">
        <f>AVERAGE(E35:H35)</f>
        <v>2.3703459343564495</v>
      </c>
      <c r="J35" s="334">
        <f>I35/J34</f>
        <v>1.9998148431185703</v>
      </c>
      <c r="K35" s="332" t="s">
        <v>188</v>
      </c>
      <c r="Q35" s="278">
        <v>9.9600000000000009</v>
      </c>
      <c r="R35" s="278">
        <v>7.5</v>
      </c>
      <c r="S35" s="278">
        <v>5.43</v>
      </c>
      <c r="T35" s="278">
        <v>3.93</v>
      </c>
      <c r="U35" s="278">
        <v>3.16</v>
      </c>
      <c r="V35" s="429">
        <v>2.17</v>
      </c>
    </row>
    <row r="36" spans="2:23" ht="15.75" thickBot="1" x14ac:dyDescent="0.3">
      <c r="B36" t="s">
        <v>189</v>
      </c>
      <c r="C36" s="60" t="s">
        <v>158</v>
      </c>
      <c r="D36" s="1"/>
      <c r="E36" s="329">
        <v>3.7530499430273565</v>
      </c>
      <c r="F36" s="329">
        <v>3.5549702434143664</v>
      </c>
      <c r="G36" s="330">
        <v>3.3661753391177762</v>
      </c>
      <c r="H36" s="331">
        <f>AVERAGE(E36:G36)</f>
        <v>3.5580651751864996</v>
      </c>
      <c r="J36" s="334">
        <f>H36/J34</f>
        <v>3.0018705063204596</v>
      </c>
      <c r="K36" s="332" t="s">
        <v>190</v>
      </c>
      <c r="V36" s="286"/>
    </row>
    <row r="37" spans="2:23" ht="15.75" thickBot="1" x14ac:dyDescent="0.3">
      <c r="B37" t="s">
        <v>191</v>
      </c>
      <c r="C37" s="60" t="s">
        <v>158</v>
      </c>
      <c r="D37" s="1"/>
      <c r="E37" s="329">
        <v>4.8563270836320855</v>
      </c>
      <c r="F37" s="335">
        <v>4.6250566537937132</v>
      </c>
      <c r="G37" s="331">
        <f>AVERAGE(E37:F37)</f>
        <v>4.7406918687128989</v>
      </c>
      <c r="J37" s="334">
        <f>G37/J34</f>
        <v>3.9996296862371405</v>
      </c>
      <c r="K37" s="332" t="s">
        <v>192</v>
      </c>
      <c r="Q37" t="s">
        <v>197</v>
      </c>
      <c r="R37" t="s">
        <v>154</v>
      </c>
      <c r="V37" s="286"/>
    </row>
    <row r="38" spans="2:23" x14ac:dyDescent="0.25">
      <c r="J38" s="337" t="s">
        <v>194</v>
      </c>
      <c r="Q38" s="323">
        <v>5.92</v>
      </c>
      <c r="R38" s="323">
        <v>3.61</v>
      </c>
      <c r="S38" s="323">
        <v>2.33</v>
      </c>
      <c r="T38" s="323">
        <v>1.4</v>
      </c>
      <c r="U38" s="339">
        <v>0.98199999999999998</v>
      </c>
      <c r="V38" s="426">
        <v>0.96899999999999997</v>
      </c>
    </row>
    <row r="39" spans="2:23" x14ac:dyDescent="0.25">
      <c r="E39" t="s">
        <v>196</v>
      </c>
      <c r="F39" t="s">
        <v>154</v>
      </c>
      <c r="Q39" s="39">
        <v>5.51</v>
      </c>
      <c r="R39" s="39">
        <v>3.73</v>
      </c>
      <c r="S39" s="39">
        <v>2.08</v>
      </c>
      <c r="T39" s="39">
        <v>1.57</v>
      </c>
      <c r="U39" s="38">
        <v>0.91600000000000004</v>
      </c>
      <c r="V39" s="427">
        <v>0.93400000000000005</v>
      </c>
    </row>
    <row r="40" spans="2:23" x14ac:dyDescent="0.25">
      <c r="E40" s="286">
        <v>1</v>
      </c>
      <c r="F40" s="286">
        <v>2</v>
      </c>
      <c r="G40" s="286">
        <v>3</v>
      </c>
      <c r="H40" s="286">
        <v>4</v>
      </c>
      <c r="I40" s="286">
        <v>5</v>
      </c>
      <c r="J40" s="286">
        <v>6</v>
      </c>
      <c r="Q40" s="39">
        <v>5.69</v>
      </c>
      <c r="R40" s="39">
        <v>3.63</v>
      </c>
      <c r="S40" s="39">
        <v>2.2400000000000002</v>
      </c>
      <c r="T40" s="39">
        <v>1.38</v>
      </c>
      <c r="U40" s="38">
        <v>0.91</v>
      </c>
      <c r="V40" s="427">
        <v>0.73</v>
      </c>
    </row>
    <row r="41" spans="2:23" x14ac:dyDescent="0.25">
      <c r="E41" s="323">
        <v>10.01</v>
      </c>
      <c r="F41" s="323">
        <v>7.32</v>
      </c>
      <c r="G41" s="323">
        <v>5.19</v>
      </c>
      <c r="H41" s="323">
        <v>3.72</v>
      </c>
      <c r="I41" s="323">
        <v>3.07</v>
      </c>
      <c r="J41" s="323">
        <v>2.37</v>
      </c>
      <c r="Q41" s="39">
        <v>5.96</v>
      </c>
      <c r="R41" s="39">
        <v>3.66</v>
      </c>
      <c r="S41" s="39">
        <v>2.42</v>
      </c>
      <c r="T41" s="39">
        <v>1.26</v>
      </c>
      <c r="U41" s="38">
        <v>0.92500000000000004</v>
      </c>
      <c r="V41" s="427">
        <v>0.91600000000000004</v>
      </c>
    </row>
    <row r="42" spans="2:23" x14ac:dyDescent="0.25">
      <c r="E42" s="39">
        <v>9.91</v>
      </c>
      <c r="F42" s="39">
        <v>7.56</v>
      </c>
      <c r="G42" s="39">
        <v>5.26</v>
      </c>
      <c r="H42" s="39">
        <v>4.04</v>
      </c>
      <c r="I42" s="39">
        <v>2.89</v>
      </c>
      <c r="J42" s="39">
        <v>2.4900000000000002</v>
      </c>
      <c r="Q42" s="39">
        <v>5.79</v>
      </c>
      <c r="R42" s="39">
        <v>3.57</v>
      </c>
      <c r="S42" s="39">
        <v>2.06</v>
      </c>
      <c r="T42" s="39">
        <v>1.37</v>
      </c>
      <c r="U42" s="39">
        <v>1.25</v>
      </c>
      <c r="V42" s="427">
        <v>0.83899999999999997</v>
      </c>
    </row>
    <row r="43" spans="2:23" x14ac:dyDescent="0.25">
      <c r="E43" s="39">
        <v>9.9</v>
      </c>
      <c r="F43" s="39">
        <v>7.36</v>
      </c>
      <c r="G43" s="39">
        <v>5.38</v>
      </c>
      <c r="H43" s="39">
        <v>3.77</v>
      </c>
      <c r="I43" s="39">
        <v>3.06</v>
      </c>
      <c r="J43" s="39">
        <v>2.39</v>
      </c>
      <c r="Q43" s="39">
        <v>5.83</v>
      </c>
      <c r="R43" s="39">
        <v>3.68</v>
      </c>
      <c r="S43" s="39">
        <v>2.29</v>
      </c>
      <c r="T43" s="39">
        <v>1.42</v>
      </c>
      <c r="U43" s="39">
        <v>1.08</v>
      </c>
      <c r="V43" s="427">
        <v>0.99199999999999999</v>
      </c>
    </row>
    <row r="44" spans="2:23" x14ac:dyDescent="0.25">
      <c r="E44" s="39">
        <v>9.85</v>
      </c>
      <c r="F44" s="39">
        <v>7.65</v>
      </c>
      <c r="G44" s="39">
        <v>5.44</v>
      </c>
      <c r="H44" s="39">
        <v>3.97</v>
      </c>
      <c r="I44" s="39">
        <v>2.92</v>
      </c>
      <c r="J44" s="39">
        <v>2.2799999999999998</v>
      </c>
      <c r="Q44" s="278">
        <v>5.75</v>
      </c>
      <c r="R44" s="278">
        <v>3.66</v>
      </c>
      <c r="S44" s="278">
        <v>2.4500000000000002</v>
      </c>
      <c r="T44" s="278">
        <v>1.33</v>
      </c>
      <c r="U44" s="278">
        <v>1.03</v>
      </c>
      <c r="V44" s="428">
        <v>0.69799999999999995</v>
      </c>
    </row>
    <row r="45" spans="2:23" x14ac:dyDescent="0.25">
      <c r="E45" s="39">
        <v>10.07</v>
      </c>
      <c r="F45" s="39">
        <v>7.56</v>
      </c>
      <c r="G45" s="39">
        <v>5.31</v>
      </c>
      <c r="H45" s="39">
        <v>3.93</v>
      </c>
      <c r="I45" s="39">
        <v>2.88</v>
      </c>
      <c r="J45" s="39">
        <v>2.06</v>
      </c>
      <c r="U45" s="52">
        <f>AVERAGE(U38:U44)</f>
        <v>1.0132857142857143</v>
      </c>
      <c r="V45" s="450">
        <f>AVERAGE(V38:V44)</f>
        <v>0.86828571428571422</v>
      </c>
      <c r="W45" t="s">
        <v>285</v>
      </c>
    </row>
    <row r="46" spans="2:23" x14ac:dyDescent="0.25">
      <c r="E46" s="39">
        <v>10.02</v>
      </c>
      <c r="F46" s="39">
        <v>7.41</v>
      </c>
      <c r="G46" s="39">
        <v>5.24</v>
      </c>
      <c r="H46" s="39">
        <v>3.88</v>
      </c>
      <c r="I46" s="39">
        <v>2.91</v>
      </c>
      <c r="J46" s="39">
        <v>2.41</v>
      </c>
    </row>
    <row r="47" spans="2:23" x14ac:dyDescent="0.25">
      <c r="E47" s="39">
        <v>9.9600000000000009</v>
      </c>
      <c r="F47" s="39">
        <v>7.5</v>
      </c>
      <c r="G47" s="39">
        <v>5.43</v>
      </c>
      <c r="H47" s="39">
        <v>3.93</v>
      </c>
      <c r="I47" s="39">
        <v>3.16</v>
      </c>
      <c r="J47" s="448">
        <v>2.17</v>
      </c>
      <c r="K47" s="448">
        <v>1.17</v>
      </c>
      <c r="L47" s="449" t="s">
        <v>284</v>
      </c>
    </row>
    <row r="48" spans="2:23" x14ac:dyDescent="0.25">
      <c r="C48" s="1" t="s">
        <v>156</v>
      </c>
      <c r="D48" s="1"/>
      <c r="E48" s="274">
        <f>AVERAGE(E41:E47)</f>
        <v>9.9599999999999991</v>
      </c>
      <c r="F48" s="274">
        <f t="shared" ref="F48:J48" si="4">AVERAGE(F41:F47)</f>
        <v>7.4799999999999995</v>
      </c>
      <c r="G48" s="274">
        <f t="shared" si="4"/>
        <v>5.3214285714285712</v>
      </c>
      <c r="H48" s="274">
        <f t="shared" si="4"/>
        <v>3.891428571428571</v>
      </c>
      <c r="I48" s="274">
        <f t="shared" si="4"/>
        <v>2.9842857142857144</v>
      </c>
      <c r="J48" s="249">
        <f t="shared" si="4"/>
        <v>2.31</v>
      </c>
    </row>
    <row r="49" spans="2:11" x14ac:dyDescent="0.25">
      <c r="C49" s="93" t="s">
        <v>182</v>
      </c>
      <c r="D49" s="7"/>
      <c r="E49" s="249">
        <v>21.102857142857143</v>
      </c>
      <c r="F49" s="249">
        <v>15.972857142857142</v>
      </c>
      <c r="G49" s="249">
        <v>12.05</v>
      </c>
      <c r="H49" s="249">
        <v>9.0728571428571438</v>
      </c>
      <c r="I49" s="249">
        <v>7.1742857142857144</v>
      </c>
      <c r="J49" s="249">
        <v>5.7814285714285711</v>
      </c>
      <c r="K49" s="326" t="s">
        <v>183</v>
      </c>
    </row>
    <row r="50" spans="2:11" ht="15.75" thickBot="1" x14ac:dyDescent="0.3">
      <c r="C50" s="41" t="s">
        <v>184</v>
      </c>
      <c r="D50" s="42"/>
      <c r="E50" s="278">
        <f>E49/E48</f>
        <v>2.1187607573149743</v>
      </c>
      <c r="F50" s="72">
        <f t="shared" ref="F50:J50" si="5">F49/F48</f>
        <v>2.1354087089381206</v>
      </c>
      <c r="G50" s="278">
        <f t="shared" si="5"/>
        <v>2.2644295302013426</v>
      </c>
      <c r="H50" s="72">
        <f t="shared" si="5"/>
        <v>2.3314977973568287</v>
      </c>
      <c r="I50" s="278">
        <f t="shared" si="5"/>
        <v>2.4040210627094303</v>
      </c>
      <c r="J50" s="73">
        <f t="shared" si="5"/>
        <v>2.5027829313543597</v>
      </c>
      <c r="K50" s="327">
        <f>AVERAGE(E50:J50)</f>
        <v>2.2928167979791763</v>
      </c>
    </row>
    <row r="51" spans="2:11" ht="15.75" thickBot="1" x14ac:dyDescent="0.3">
      <c r="B51" t="s">
        <v>185</v>
      </c>
      <c r="C51" s="60" t="s">
        <v>158</v>
      </c>
      <c r="D51" s="1"/>
      <c r="E51" s="328">
        <v>2.4198581523568108</v>
      </c>
      <c r="F51" s="328">
        <v>2.4500654964525617</v>
      </c>
      <c r="G51" s="329">
        <v>2.4637549884628931</v>
      </c>
      <c r="H51" s="328">
        <v>2.0386875487494756</v>
      </c>
      <c r="I51" s="330">
        <v>1.875353245872915</v>
      </c>
      <c r="J51" s="331">
        <f>AVERAGE(E51:I51)</f>
        <v>2.2495438863789312</v>
      </c>
      <c r="K51" s="332" t="s">
        <v>186</v>
      </c>
    </row>
    <row r="52" spans="2:11" ht="15.75" thickBot="1" x14ac:dyDescent="0.3">
      <c r="B52" t="s">
        <v>187</v>
      </c>
      <c r="C52" s="60" t="s">
        <v>158</v>
      </c>
      <c r="D52" s="1"/>
      <c r="E52" s="329">
        <v>4.8699236488093733</v>
      </c>
      <c r="F52" s="329">
        <v>4.9138204849154548</v>
      </c>
      <c r="G52" s="329">
        <v>4.5024425372123691</v>
      </c>
      <c r="H52" s="338">
        <v>3.9140407946223905</v>
      </c>
      <c r="I52" s="331">
        <f>AVERAGE(E52:H52)</f>
        <v>4.5500568663898964</v>
      </c>
      <c r="J52" s="334">
        <f>I52/J51</f>
        <v>2.022657523572069</v>
      </c>
      <c r="K52" s="332" t="s">
        <v>188</v>
      </c>
    </row>
    <row r="53" spans="2:11" ht="15.75" thickBot="1" x14ac:dyDescent="0.3">
      <c r="B53" t="s">
        <v>189</v>
      </c>
      <c r="C53" s="60" t="s">
        <v>158</v>
      </c>
      <c r="D53" s="1"/>
      <c r="E53" s="329">
        <v>7.3336786372722651</v>
      </c>
      <c r="F53" s="329">
        <v>6.9525080336649312</v>
      </c>
      <c r="G53" s="330">
        <v>6.3777957830852836</v>
      </c>
      <c r="H53" s="331">
        <f>AVERAGE(E53:G53)</f>
        <v>6.8879941513408269</v>
      </c>
      <c r="J53" s="334">
        <f>H53/J51</f>
        <v>3.0619514440451141</v>
      </c>
      <c r="K53" s="332" t="s">
        <v>190</v>
      </c>
    </row>
    <row r="54" spans="2:11" ht="15.75" thickBot="1" x14ac:dyDescent="0.3">
      <c r="B54" t="s">
        <v>191</v>
      </c>
      <c r="C54" s="60" t="s">
        <v>158</v>
      </c>
      <c r="D54" s="1"/>
      <c r="E54" s="329">
        <v>9.3723661860217415</v>
      </c>
      <c r="F54" s="335">
        <v>8.8278612795378457</v>
      </c>
      <c r="G54" s="331">
        <f>AVERAGE(E54:F54)</f>
        <v>9.1001137327797927</v>
      </c>
      <c r="J54" s="334">
        <f>G54/J51</f>
        <v>4.0453150471441379</v>
      </c>
      <c r="K54" s="332" t="s">
        <v>192</v>
      </c>
    </row>
    <row r="55" spans="2:11" x14ac:dyDescent="0.25">
      <c r="J55" s="337" t="s">
        <v>194</v>
      </c>
    </row>
    <row r="56" spans="2:11" x14ac:dyDescent="0.25">
      <c r="E56" t="s">
        <v>197</v>
      </c>
      <c r="F56" t="s">
        <v>154</v>
      </c>
      <c r="J56" s="286"/>
    </row>
    <row r="57" spans="2:11" x14ac:dyDescent="0.25">
      <c r="E57" s="323">
        <v>5.92</v>
      </c>
      <c r="F57" s="323">
        <v>3.61</v>
      </c>
      <c r="G57" s="323">
        <v>2.33</v>
      </c>
      <c r="H57" s="323">
        <v>1.4</v>
      </c>
      <c r="I57" s="339">
        <v>0.98199999999999998</v>
      </c>
      <c r="J57" s="339">
        <v>0.96899999999999997</v>
      </c>
    </row>
    <row r="58" spans="2:11" x14ac:dyDescent="0.25">
      <c r="E58" s="39">
        <v>5.51</v>
      </c>
      <c r="F58" s="39">
        <v>3.73</v>
      </c>
      <c r="G58" s="39">
        <v>2.08</v>
      </c>
      <c r="H58" s="39">
        <v>1.57</v>
      </c>
      <c r="I58" s="38">
        <v>0.91600000000000004</v>
      </c>
      <c r="J58" s="38">
        <v>0.93400000000000005</v>
      </c>
    </row>
    <row r="59" spans="2:11" x14ac:dyDescent="0.25">
      <c r="E59" s="39">
        <v>5.69</v>
      </c>
      <c r="F59" s="39">
        <v>3.63</v>
      </c>
      <c r="G59" s="39">
        <v>2.2400000000000002</v>
      </c>
      <c r="H59" s="39">
        <v>1.38</v>
      </c>
      <c r="I59" s="38">
        <v>0.91</v>
      </c>
      <c r="J59" s="38">
        <v>0.73</v>
      </c>
    </row>
    <row r="60" spans="2:11" x14ac:dyDescent="0.25">
      <c r="E60" s="39">
        <v>5.96</v>
      </c>
      <c r="F60" s="39">
        <v>3.66</v>
      </c>
      <c r="G60" s="39">
        <v>2.42</v>
      </c>
      <c r="H60" s="39">
        <v>1.26</v>
      </c>
      <c r="I60" s="38">
        <v>0.92500000000000004</v>
      </c>
      <c r="J60" s="38">
        <v>0.91600000000000004</v>
      </c>
    </row>
    <row r="61" spans="2:11" x14ac:dyDescent="0.25">
      <c r="E61" s="39">
        <v>5.79</v>
      </c>
      <c r="F61" s="39">
        <v>3.57</v>
      </c>
      <c r="G61" s="39">
        <v>2.06</v>
      </c>
      <c r="H61" s="39">
        <v>1.37</v>
      </c>
      <c r="I61" s="39">
        <v>1.25</v>
      </c>
      <c r="J61" s="38">
        <v>0.83899999999999997</v>
      </c>
    </row>
    <row r="62" spans="2:11" x14ac:dyDescent="0.25">
      <c r="E62" s="39">
        <v>5.83</v>
      </c>
      <c r="F62" s="39">
        <v>3.68</v>
      </c>
      <c r="G62" s="39">
        <v>2.29</v>
      </c>
      <c r="H62" s="39">
        <v>1.42</v>
      </c>
      <c r="I62" s="39">
        <v>1.08</v>
      </c>
      <c r="J62" s="38">
        <v>0.99199999999999999</v>
      </c>
    </row>
    <row r="63" spans="2:11" x14ac:dyDescent="0.25">
      <c r="E63" s="39">
        <v>5.75</v>
      </c>
      <c r="F63" s="39">
        <v>3.66</v>
      </c>
      <c r="G63" s="39">
        <v>2.4500000000000002</v>
      </c>
      <c r="H63" s="39">
        <v>1.33</v>
      </c>
      <c r="I63" s="39">
        <v>1.03</v>
      </c>
      <c r="J63" s="38">
        <v>0.69799999999999995</v>
      </c>
    </row>
    <row r="64" spans="2:11" x14ac:dyDescent="0.25">
      <c r="C64" s="1" t="s">
        <v>156</v>
      </c>
      <c r="D64" s="1"/>
      <c r="E64" s="249">
        <f>AVERAGE(E57:E63)</f>
        <v>5.7785714285714294</v>
      </c>
      <c r="F64" s="249">
        <f t="shared" ref="F64:J64" si="6">AVERAGE(F57:F63)</f>
        <v>3.6485714285714286</v>
      </c>
      <c r="G64" s="249">
        <f t="shared" si="6"/>
        <v>2.2671428571428573</v>
      </c>
      <c r="H64" s="249">
        <f t="shared" si="6"/>
        <v>1.39</v>
      </c>
      <c r="I64" s="249">
        <f t="shared" si="6"/>
        <v>1.0132857142857143</v>
      </c>
      <c r="J64" s="249">
        <f t="shared" si="6"/>
        <v>0.86828571428571422</v>
      </c>
    </row>
    <row r="65" spans="2:11" x14ac:dyDescent="0.25">
      <c r="C65" s="93" t="s">
        <v>182</v>
      </c>
      <c r="D65" s="7"/>
      <c r="E65" s="249">
        <v>10.960142857142857</v>
      </c>
      <c r="F65" s="249">
        <v>7.3222857142857141</v>
      </c>
      <c r="G65" s="249">
        <v>4.7382857142857144</v>
      </c>
      <c r="H65" s="249">
        <v>2.9805714285714289</v>
      </c>
      <c r="I65" s="249">
        <v>2.3118571428571428</v>
      </c>
      <c r="J65" s="249">
        <v>1.7254285714285715</v>
      </c>
      <c r="K65" s="326" t="s">
        <v>183</v>
      </c>
    </row>
    <row r="66" spans="2:11" ht="15.75" thickBot="1" x14ac:dyDescent="0.3">
      <c r="C66" s="41" t="s">
        <v>184</v>
      </c>
      <c r="D66" s="42"/>
      <c r="E66" s="278">
        <f>E65/E64</f>
        <v>1.8966872682323854</v>
      </c>
      <c r="F66" s="72">
        <f t="shared" ref="F66:J66" si="7">F65/F64</f>
        <v>2.0068911511354739</v>
      </c>
      <c r="G66" s="278">
        <f t="shared" si="7"/>
        <v>2.0899810964083176</v>
      </c>
      <c r="H66" s="72">
        <f t="shared" si="7"/>
        <v>2.1442959917780064</v>
      </c>
      <c r="I66" s="278">
        <f t="shared" si="7"/>
        <v>2.2815451853940503</v>
      </c>
      <c r="J66" s="73">
        <f t="shared" si="7"/>
        <v>1.9871668311944721</v>
      </c>
      <c r="K66" s="327">
        <f>AVERAGE(E66:J66)</f>
        <v>2.0677612540237842</v>
      </c>
    </row>
    <row r="67" spans="2:11" ht="15.75" thickBot="1" x14ac:dyDescent="0.3">
      <c r="B67" t="s">
        <v>185</v>
      </c>
      <c r="C67" s="60" t="s">
        <v>158</v>
      </c>
      <c r="D67" s="1"/>
      <c r="E67" s="328">
        <v>3.5076693092028322</v>
      </c>
      <c r="F67" s="328">
        <v>3.7833268709890642</v>
      </c>
      <c r="G67" s="329">
        <v>4.0262880978083233</v>
      </c>
      <c r="H67" s="328">
        <v>2.2161705453645664</v>
      </c>
      <c r="I67" s="330">
        <v>2.5470741904189391</v>
      </c>
      <c r="J67" s="331">
        <f>AVERAGE(E67:I67)</f>
        <v>3.2161058027567448</v>
      </c>
      <c r="K67" s="332" t="s">
        <v>186</v>
      </c>
    </row>
    <row r="68" spans="2:11" ht="15.75" thickBot="1" x14ac:dyDescent="0.3">
      <c r="B68" t="s">
        <v>187</v>
      </c>
      <c r="C68" s="60" t="s">
        <v>158</v>
      </c>
      <c r="D68" s="1"/>
      <c r="E68" s="329">
        <v>7.2909961801918959</v>
      </c>
      <c r="F68" s="329">
        <v>7.8096149687973861</v>
      </c>
      <c r="G68" s="329">
        <v>6.2424586431728883</v>
      </c>
      <c r="H68" s="338">
        <v>4.7632447357835046</v>
      </c>
      <c r="I68" s="331">
        <f>AVERAGE(E68:H68)</f>
        <v>6.5265786319864185</v>
      </c>
      <c r="J68" s="334">
        <f>I68/J67</f>
        <v>2.0293420155493767</v>
      </c>
      <c r="K68" s="332" t="s">
        <v>188</v>
      </c>
    </row>
    <row r="69" spans="2:11" ht="15.75" thickBot="1" x14ac:dyDescent="0.3">
      <c r="B69" t="s">
        <v>189</v>
      </c>
      <c r="C69" s="60" t="s">
        <v>158</v>
      </c>
      <c r="D69" s="1"/>
      <c r="E69" s="329">
        <v>11.317284278000219</v>
      </c>
      <c r="F69" s="329">
        <v>10.025785514161953</v>
      </c>
      <c r="G69" s="330">
        <v>8.7895328335918297</v>
      </c>
      <c r="H69" s="331">
        <f>AVERAGE(E69:G69)</f>
        <v>10.044200875251335</v>
      </c>
      <c r="J69" s="334">
        <f>H69/J67</f>
        <v>3.1230940433121823</v>
      </c>
      <c r="K69" s="332" t="s">
        <v>190</v>
      </c>
    </row>
    <row r="70" spans="2:11" ht="15.75" thickBot="1" x14ac:dyDescent="0.3">
      <c r="B70" t="s">
        <v>191</v>
      </c>
      <c r="C70" s="60" t="s">
        <v>158</v>
      </c>
      <c r="D70" s="1"/>
      <c r="E70" s="329">
        <v>13.533454823364783</v>
      </c>
      <c r="F70" s="335">
        <v>12.572859704580891</v>
      </c>
      <c r="G70" s="331">
        <f>AVERAGE(E70:F70)</f>
        <v>13.053157263972837</v>
      </c>
      <c r="J70" s="334">
        <f>G70/J67</f>
        <v>4.0586840310987533</v>
      </c>
      <c r="K70" s="332" t="s">
        <v>192</v>
      </c>
    </row>
    <row r="71" spans="2:11" x14ac:dyDescent="0.25">
      <c r="J71" s="337" t="s">
        <v>194</v>
      </c>
    </row>
    <row r="73" spans="2:11" x14ac:dyDescent="0.25">
      <c r="B73" s="142" t="s">
        <v>198</v>
      </c>
      <c r="C73" s="77" t="s">
        <v>199</v>
      </c>
    </row>
    <row r="74" spans="2:11" x14ac:dyDescent="0.25">
      <c r="C74" s="77" t="s">
        <v>200</v>
      </c>
    </row>
    <row r="75" spans="2:11" x14ac:dyDescent="0.25">
      <c r="C75" s="77" t="s">
        <v>201</v>
      </c>
    </row>
    <row r="76" spans="2:11" x14ac:dyDescent="0.25">
      <c r="C76" s="77" t="s">
        <v>211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K188"/>
  <sheetViews>
    <sheetView topLeftCell="A26" workbookViewId="0">
      <selection activeCell="K25" sqref="K25"/>
    </sheetView>
  </sheetViews>
  <sheetFormatPr defaultRowHeight="15" x14ac:dyDescent="0.25"/>
  <cols>
    <col min="1" max="1" width="19.5703125" customWidth="1"/>
    <col min="10" max="10" width="20" customWidth="1"/>
    <col min="11" max="11" width="16.140625" customWidth="1"/>
    <col min="12" max="12" width="17.7109375" customWidth="1"/>
    <col min="21" max="21" width="9" customWidth="1"/>
    <col min="24" max="24" width="17" customWidth="1"/>
    <col min="25" max="25" width="11.7109375" customWidth="1"/>
    <col min="30" max="30" width="10.5703125" customWidth="1"/>
    <col min="32" max="32" width="4.5703125" customWidth="1"/>
    <col min="33" max="33" width="5" customWidth="1"/>
    <col min="34" max="34" width="6.85546875" customWidth="1"/>
    <col min="35" max="35" width="11" customWidth="1"/>
  </cols>
  <sheetData>
    <row r="1" spans="1:37" ht="18" customHeight="1" x14ac:dyDescent="0.35">
      <c r="A1" s="1" t="s">
        <v>0</v>
      </c>
      <c r="B1" s="2" t="s">
        <v>168</v>
      </c>
      <c r="C1" s="2"/>
      <c r="D1" s="2"/>
      <c r="E1" s="2"/>
      <c r="F1" s="2"/>
      <c r="G1" s="2"/>
      <c r="H1" s="2"/>
      <c r="I1" s="3"/>
      <c r="J1" s="210" t="s">
        <v>290</v>
      </c>
      <c r="K1" s="54"/>
      <c r="L1" s="54"/>
      <c r="M1" s="54"/>
      <c r="N1" s="54"/>
      <c r="O1" s="54"/>
      <c r="S1" s="271" t="s">
        <v>160</v>
      </c>
      <c r="T1" s="269" t="s">
        <v>151</v>
      </c>
      <c r="U1" s="431" t="s">
        <v>140</v>
      </c>
      <c r="V1" s="279" t="s">
        <v>141</v>
      </c>
      <c r="W1" s="270" t="s">
        <v>159</v>
      </c>
      <c r="X1" s="440" t="s">
        <v>282</v>
      </c>
      <c r="Z1" s="269" t="s">
        <v>151</v>
      </c>
      <c r="AA1" s="431" t="s">
        <v>140</v>
      </c>
      <c r="AB1" s="279" t="s">
        <v>141</v>
      </c>
      <c r="AC1" s="270" t="s">
        <v>159</v>
      </c>
      <c r="AD1" t="s">
        <v>279</v>
      </c>
      <c r="AE1" t="s">
        <v>283</v>
      </c>
      <c r="AF1" t="s">
        <v>18</v>
      </c>
      <c r="AG1" t="s">
        <v>277</v>
      </c>
      <c r="AH1" t="s">
        <v>278</v>
      </c>
      <c r="AI1" t="s">
        <v>280</v>
      </c>
      <c r="AJ1" t="s">
        <v>257</v>
      </c>
      <c r="AK1" t="s">
        <v>258</v>
      </c>
    </row>
    <row r="2" spans="1:37" ht="18" customHeight="1" x14ac:dyDescent="0.25">
      <c r="A2" s="18" t="s">
        <v>5</v>
      </c>
      <c r="B2" s="207">
        <v>9.9911600000000007</v>
      </c>
      <c r="C2" s="207">
        <v>9.9911600000000007</v>
      </c>
      <c r="D2" s="207">
        <v>9.9911600000000007</v>
      </c>
      <c r="E2" s="207">
        <v>9.9911600000000007</v>
      </c>
      <c r="F2" s="207">
        <v>9.9911600000000007</v>
      </c>
      <c r="G2" s="208"/>
      <c r="H2" s="209"/>
      <c r="I2" s="4"/>
      <c r="K2" s="500" t="s">
        <v>49</v>
      </c>
      <c r="L2" s="501"/>
      <c r="M2" s="502"/>
      <c r="N2" s="503" t="s">
        <v>50</v>
      </c>
      <c r="O2" s="504"/>
      <c r="P2" s="500" t="s">
        <v>51</v>
      </c>
      <c r="Q2" s="502"/>
      <c r="S2" s="272" t="s">
        <v>14</v>
      </c>
      <c r="T2" s="311">
        <v>1.1007204091938414</v>
      </c>
      <c r="U2" s="398">
        <v>0.96803365718494117</v>
      </c>
      <c r="V2" s="39">
        <v>1.3124671946902164</v>
      </c>
      <c r="W2" s="70">
        <v>1.315414796114323</v>
      </c>
      <c r="X2" s="45">
        <f>AVERAGE(T2:W2)</f>
        <v>1.1741590142958307</v>
      </c>
      <c r="Z2" s="45">
        <v>1.1007204091938414</v>
      </c>
      <c r="AA2" s="45">
        <v>0.96803365718494117</v>
      </c>
      <c r="AB2" s="45">
        <v>1.3124671946902164</v>
      </c>
      <c r="AC2" s="45">
        <v>1.315414796114323</v>
      </c>
      <c r="AD2" s="45">
        <f>STDEV(Z2:AC2)</f>
        <v>0.17025788305251854</v>
      </c>
      <c r="AE2" s="45">
        <f>AD2^2</f>
        <v>2.8987746741525083E-2</v>
      </c>
      <c r="AF2" s="286">
        <v>4</v>
      </c>
      <c r="AG2" s="286">
        <v>7</v>
      </c>
      <c r="AH2">
        <f>AF2*AG2</f>
        <v>28</v>
      </c>
      <c r="AI2" s="45">
        <f>STDEV(X2:X8)</f>
        <v>1.0880462453099052E-2</v>
      </c>
      <c r="AJ2" s="52">
        <f>(AF2*(AF2-1)/AH2/(AH2-1)*SUM(AE2:AE8)+(AG2-1)/AG2/(AH2-1)*AI2^2)^0.5</f>
        <v>5.6350391507534084E-2</v>
      </c>
      <c r="AK2" s="52">
        <f>AJ2/X11</f>
        <v>4.8178268313907771E-2</v>
      </c>
    </row>
    <row r="3" spans="1:37" ht="18" customHeight="1" x14ac:dyDescent="0.25">
      <c r="A3" s="20" t="s">
        <v>6</v>
      </c>
      <c r="B3" s="21">
        <v>2.2000000000000001E-4</v>
      </c>
      <c r="C3" s="21">
        <f>B3</f>
        <v>2.2000000000000001E-4</v>
      </c>
      <c r="D3" s="21">
        <f t="shared" ref="D3:F3" si="0">C3</f>
        <v>2.2000000000000001E-4</v>
      </c>
      <c r="E3" s="21">
        <f t="shared" si="0"/>
        <v>2.2000000000000001E-4</v>
      </c>
      <c r="F3" s="21">
        <f t="shared" si="0"/>
        <v>2.2000000000000001E-4</v>
      </c>
      <c r="G3" s="86"/>
      <c r="H3" s="86"/>
      <c r="I3" s="13"/>
      <c r="J3" s="13"/>
      <c r="K3" s="94" t="s">
        <v>52</v>
      </c>
      <c r="L3" s="95" t="s">
        <v>53</v>
      </c>
      <c r="M3" s="96" t="s">
        <v>54</v>
      </c>
      <c r="N3" s="4" t="s">
        <v>55</v>
      </c>
      <c r="O3" s="8" t="s">
        <v>56</v>
      </c>
      <c r="P3" s="95" t="s">
        <v>52</v>
      </c>
      <c r="Q3" s="96" t="s">
        <v>53</v>
      </c>
      <c r="S3" s="13"/>
      <c r="T3" s="311">
        <v>1.0893257050545559</v>
      </c>
      <c r="U3" s="398">
        <v>0.96305478359502694</v>
      </c>
      <c r="V3" s="39">
        <v>1.3111160783579312</v>
      </c>
      <c r="W3" s="70">
        <v>1.27457528798766</v>
      </c>
      <c r="X3" s="45">
        <f t="shared" ref="X3:X8" si="1">AVERAGE(T3:W3)</f>
        <v>1.1595179637487936</v>
      </c>
      <c r="Z3" s="45">
        <v>1.0893257050545559</v>
      </c>
      <c r="AA3" s="45">
        <v>0.96305478359502694</v>
      </c>
      <c r="AB3" s="45">
        <v>1.3111160783579312</v>
      </c>
      <c r="AC3" s="45">
        <v>1.27457528798766</v>
      </c>
      <c r="AD3" s="45">
        <f t="shared" ref="AD3:AD8" si="2">STDEV(Z3:AC3)</f>
        <v>0.16303875873626097</v>
      </c>
      <c r="AE3" s="45">
        <f t="shared" ref="AE3:AE8" si="3">AD3^2</f>
        <v>2.6581636850260715E-2</v>
      </c>
    </row>
    <row r="4" spans="1:37" ht="18" customHeight="1" x14ac:dyDescent="0.25">
      <c r="A4" s="20" t="s">
        <v>7</v>
      </c>
      <c r="B4" s="23">
        <f t="shared" ref="B4:C4" si="4">B3/B2</f>
        <v>2.2019465207243201E-5</v>
      </c>
      <c r="C4" s="23">
        <f t="shared" si="4"/>
        <v>2.2019465207243201E-5</v>
      </c>
      <c r="D4" s="23">
        <f>D3/D2</f>
        <v>2.2019465207243201E-5</v>
      </c>
      <c r="E4" s="23">
        <f>E3/E2</f>
        <v>2.2019465207243201E-5</v>
      </c>
      <c r="F4" s="23">
        <f>F3/F2</f>
        <v>2.2019465207243201E-5</v>
      </c>
      <c r="G4" s="87"/>
      <c r="H4" s="87"/>
      <c r="I4" s="13"/>
      <c r="K4" s="99">
        <v>4</v>
      </c>
      <c r="L4" s="100">
        <v>2.7759999999999998</v>
      </c>
      <c r="M4" s="100">
        <v>4.6040000000000001</v>
      </c>
      <c r="N4">
        <v>4</v>
      </c>
      <c r="O4" s="41">
        <v>2.7759999999999998</v>
      </c>
      <c r="P4" s="97">
        <v>3</v>
      </c>
      <c r="Q4" s="101">
        <v>3.1819999999999999</v>
      </c>
      <c r="S4" s="13"/>
      <c r="T4" s="311">
        <v>1.1209583281181872</v>
      </c>
      <c r="U4" s="398">
        <v>1.0008226988205851</v>
      </c>
      <c r="V4" s="39">
        <v>1.2828379772705325</v>
      </c>
      <c r="W4" s="70">
        <v>1.3331018450648746</v>
      </c>
      <c r="X4" s="45">
        <f t="shared" si="1"/>
        <v>1.1844302123185448</v>
      </c>
      <c r="Z4" s="45">
        <v>1.1209583281181872</v>
      </c>
      <c r="AA4" s="45">
        <v>1.0008226988205851</v>
      </c>
      <c r="AB4" s="45">
        <v>1.2828379772705325</v>
      </c>
      <c r="AC4" s="45">
        <v>1.3331018450648746</v>
      </c>
      <c r="AD4" s="45">
        <f t="shared" si="2"/>
        <v>0.15223637506977117</v>
      </c>
      <c r="AE4" s="45">
        <f t="shared" si="3"/>
        <v>2.3175913894384045E-2</v>
      </c>
    </row>
    <row r="5" spans="1:37" ht="18" customHeight="1" x14ac:dyDescent="0.25">
      <c r="A5" s="25"/>
      <c r="B5" s="88">
        <v>5</v>
      </c>
      <c r="C5" s="88">
        <f>B5</f>
        <v>5</v>
      </c>
      <c r="D5" s="88">
        <f t="shared" ref="D5:F5" si="5">C5</f>
        <v>5</v>
      </c>
      <c r="E5" s="88">
        <f t="shared" si="5"/>
        <v>5</v>
      </c>
      <c r="F5" s="88">
        <f t="shared" si="5"/>
        <v>5</v>
      </c>
      <c r="G5" s="88"/>
      <c r="H5" s="88"/>
      <c r="I5" s="30"/>
      <c r="K5" s="102">
        <v>9</v>
      </c>
      <c r="L5" s="103">
        <v>2.262</v>
      </c>
      <c r="M5" s="101">
        <v>3.25</v>
      </c>
      <c r="N5" s="4" t="s">
        <v>57</v>
      </c>
      <c r="O5" s="8" t="s">
        <v>58</v>
      </c>
      <c r="P5" s="99">
        <v>4</v>
      </c>
      <c r="Q5" s="104">
        <v>2.7759999999999998</v>
      </c>
      <c r="S5" s="13"/>
      <c r="T5" s="311">
        <v>1.0954179797128276</v>
      </c>
      <c r="U5" s="398">
        <v>0.94061682830189575</v>
      </c>
      <c r="V5" s="39">
        <v>1.285412130994563</v>
      </c>
      <c r="W5" s="70">
        <v>1.3214705168894658</v>
      </c>
      <c r="X5" s="45">
        <f t="shared" si="1"/>
        <v>1.1607293639746881</v>
      </c>
      <c r="Z5" s="45">
        <v>1.0954179797128276</v>
      </c>
      <c r="AA5" s="45">
        <v>0.94061682830189575</v>
      </c>
      <c r="AB5" s="45">
        <v>1.285412130994563</v>
      </c>
      <c r="AC5" s="45">
        <v>1.3214705168894658</v>
      </c>
      <c r="AD5" s="45">
        <f t="shared" si="2"/>
        <v>0.17710506853899921</v>
      </c>
      <c r="AE5" s="45">
        <f t="shared" si="3"/>
        <v>3.1366205302203611E-2</v>
      </c>
    </row>
    <row r="6" spans="1:37" ht="18" customHeight="1" x14ac:dyDescent="0.25">
      <c r="A6" s="1" t="s">
        <v>1</v>
      </c>
      <c r="B6" s="293">
        <v>5</v>
      </c>
      <c r="C6" s="294">
        <v>10</v>
      </c>
      <c r="D6" s="293">
        <v>16</v>
      </c>
      <c r="E6" s="294">
        <v>20</v>
      </c>
      <c r="F6" s="294">
        <v>32</v>
      </c>
      <c r="G6" s="92"/>
      <c r="H6" s="58"/>
      <c r="I6" s="34"/>
      <c r="K6" s="102">
        <v>10</v>
      </c>
      <c r="L6" s="103">
        <v>2.2280000000000002</v>
      </c>
      <c r="M6" s="101">
        <v>3.169</v>
      </c>
      <c r="N6" s="31">
        <v>9</v>
      </c>
      <c r="O6" s="41">
        <v>2.262</v>
      </c>
      <c r="P6" s="97">
        <v>10</v>
      </c>
      <c r="Q6" s="101">
        <v>2.2280000000000002</v>
      </c>
      <c r="S6" s="13"/>
      <c r="T6" s="311">
        <v>1.0977004977175311</v>
      </c>
      <c r="U6" s="398">
        <v>0.96457179170830365</v>
      </c>
      <c r="V6" s="39">
        <v>1.3132969270066353</v>
      </c>
      <c r="W6" s="70">
        <v>1.2482019421677284</v>
      </c>
      <c r="X6" s="45">
        <f t="shared" si="1"/>
        <v>1.1559427896500496</v>
      </c>
      <c r="Z6" s="45">
        <v>1.0977004977175311</v>
      </c>
      <c r="AA6" s="45">
        <v>0.96457179170830365</v>
      </c>
      <c r="AB6" s="45">
        <v>1.3132969270066353</v>
      </c>
      <c r="AC6" s="45">
        <v>1.2482019421677284</v>
      </c>
      <c r="AD6" s="45">
        <f t="shared" si="2"/>
        <v>0.15629789846026673</v>
      </c>
      <c r="AE6" s="45">
        <f t="shared" si="3"/>
        <v>2.4429033063095851E-2</v>
      </c>
    </row>
    <row r="7" spans="1:37" ht="18" customHeight="1" thickBot="1" x14ac:dyDescent="0.4">
      <c r="A7" s="4" t="s">
        <v>2</v>
      </c>
      <c r="B7" s="295">
        <v>6389</v>
      </c>
      <c r="C7" s="295">
        <v>6385</v>
      </c>
      <c r="D7" s="295">
        <v>6382</v>
      </c>
      <c r="E7" s="295">
        <v>6378</v>
      </c>
      <c r="F7" s="295">
        <v>6375</v>
      </c>
      <c r="G7" s="105"/>
      <c r="H7" s="106"/>
      <c r="I7" s="106"/>
      <c r="K7" s="102">
        <v>12</v>
      </c>
      <c r="L7" s="103">
        <v>2.1789999999999998</v>
      </c>
      <c r="M7" s="101">
        <v>3.0550000000000002</v>
      </c>
      <c r="N7" s="4" t="s">
        <v>59</v>
      </c>
      <c r="O7" s="8" t="s">
        <v>60</v>
      </c>
      <c r="P7" s="98">
        <v>11</v>
      </c>
      <c r="Q7" s="101">
        <v>2.2040000000000002</v>
      </c>
      <c r="S7" s="13"/>
      <c r="T7" s="311">
        <v>1.0903631943524135</v>
      </c>
      <c r="U7" s="398">
        <v>0.95850178855718027</v>
      </c>
      <c r="V7" s="39">
        <v>1.3262748535207214</v>
      </c>
      <c r="W7" s="70">
        <v>1.3403090557990089</v>
      </c>
      <c r="X7" s="45">
        <f t="shared" si="1"/>
        <v>1.1788622230573309</v>
      </c>
      <c r="Z7" s="45">
        <v>1.0903631943524135</v>
      </c>
      <c r="AA7" s="45">
        <v>0.95850178855718027</v>
      </c>
      <c r="AB7" s="45">
        <v>1.3262748535207214</v>
      </c>
      <c r="AC7" s="45">
        <v>1.3403090557990089</v>
      </c>
      <c r="AD7" s="45">
        <f t="shared" si="2"/>
        <v>0.18635661386820113</v>
      </c>
      <c r="AE7" s="45">
        <f t="shared" si="3"/>
        <v>3.4728787532421812E-2</v>
      </c>
    </row>
    <row r="8" spans="1:37" ht="18" customHeight="1" thickBot="1" x14ac:dyDescent="0.4">
      <c r="A8" s="13" t="s">
        <v>3</v>
      </c>
      <c r="B8" s="12">
        <f>B7/1000</f>
        <v>6.3890000000000002</v>
      </c>
      <c r="C8" s="12">
        <f t="shared" ref="C8:F8" si="6">C7/1000</f>
        <v>6.3849999999999998</v>
      </c>
      <c r="D8" s="12">
        <f t="shared" si="6"/>
        <v>6.3819999999999997</v>
      </c>
      <c r="E8" s="12">
        <f t="shared" si="6"/>
        <v>6.3780000000000001</v>
      </c>
      <c r="F8" s="12">
        <f t="shared" si="6"/>
        <v>6.375</v>
      </c>
      <c r="G8" s="211"/>
      <c r="H8" s="97"/>
      <c r="I8" s="98"/>
      <c r="K8" s="102">
        <v>14</v>
      </c>
      <c r="L8" s="103">
        <v>2.145</v>
      </c>
      <c r="M8" s="101">
        <v>2.9769999999999999</v>
      </c>
      <c r="N8" s="41">
        <v>8</v>
      </c>
      <c r="O8" s="107">
        <f>O4-(O4-O6)/(N6-N4)*(N8-N4)</f>
        <v>2.3647999999999998</v>
      </c>
      <c r="P8" s="97">
        <v>12</v>
      </c>
      <c r="Q8" s="101">
        <v>2.1789999999999998</v>
      </c>
      <c r="S8" s="13"/>
      <c r="T8" s="311">
        <v>1.0964442569935755</v>
      </c>
      <c r="U8" s="398">
        <v>0.96348772686021278</v>
      </c>
      <c r="V8" s="39">
        <v>1.3093957862996635</v>
      </c>
      <c r="W8" s="70">
        <v>1.3255387957943097</v>
      </c>
      <c r="X8" s="45">
        <f t="shared" si="1"/>
        <v>1.1737166414869404</v>
      </c>
      <c r="Z8" s="45">
        <v>1.0964442569935755</v>
      </c>
      <c r="AA8" s="45">
        <v>0.96348772686021278</v>
      </c>
      <c r="AB8" s="45">
        <v>1.3093957862996635</v>
      </c>
      <c r="AC8" s="45">
        <v>1.3255387957943097</v>
      </c>
      <c r="AD8" s="45">
        <f t="shared" si="2"/>
        <v>0.17476271038760394</v>
      </c>
      <c r="AE8" s="45">
        <f t="shared" si="3"/>
        <v>3.0542004942021528E-2</v>
      </c>
    </row>
    <row r="9" spans="1:37" ht="18" customHeight="1" thickBot="1" x14ac:dyDescent="0.3">
      <c r="A9" s="14" t="s">
        <v>4</v>
      </c>
      <c r="B9" s="15">
        <v>1</v>
      </c>
      <c r="C9" s="15">
        <v>1</v>
      </c>
      <c r="D9" s="15">
        <v>1</v>
      </c>
      <c r="E9" s="15">
        <v>1</v>
      </c>
      <c r="F9" s="15">
        <v>1</v>
      </c>
      <c r="G9" s="15"/>
      <c r="H9" s="31"/>
      <c r="I9" s="31"/>
      <c r="K9" s="102">
        <v>16</v>
      </c>
      <c r="L9" s="108">
        <v>2.12</v>
      </c>
      <c r="M9" s="103">
        <v>2.9209999999999998</v>
      </c>
      <c r="N9" s="505" t="s">
        <v>61</v>
      </c>
      <c r="O9" s="506"/>
      <c r="P9" s="98">
        <v>13</v>
      </c>
      <c r="Q9" s="109">
        <v>2.1619999999999999</v>
      </c>
      <c r="T9" s="446">
        <f>STDEV(T2:T8)/7^0.5</f>
        <v>4.0052164342387004E-3</v>
      </c>
      <c r="U9" s="446">
        <f t="shared" ref="U9:W9" si="7">STDEV(U2:U8)/7^0.5</f>
        <v>6.7842604230892159E-3</v>
      </c>
      <c r="V9" s="446">
        <f t="shared" si="7"/>
        <v>5.9840647841409673E-3</v>
      </c>
      <c r="W9" s="446">
        <f t="shared" si="7"/>
        <v>1.2826744160970412E-2</v>
      </c>
      <c r="X9" s="446">
        <f>STDEV(X2:X8)/7^0.5</f>
        <v>4.1124282571822664E-3</v>
      </c>
      <c r="Y9" s="447" t="s">
        <v>257</v>
      </c>
      <c r="Z9" s="446">
        <f>STDEV(Z2:Z8)/7^0.5</f>
        <v>4.0052164342387004E-3</v>
      </c>
      <c r="AA9" s="446">
        <f t="shared" ref="AA9:AC9" si="8">STDEV(AA2:AA8)/7^0.5</f>
        <v>6.7842604230892159E-3</v>
      </c>
      <c r="AB9" s="446">
        <f t="shared" si="8"/>
        <v>5.9840647841409673E-3</v>
      </c>
      <c r="AC9" s="446">
        <f t="shared" si="8"/>
        <v>1.2826744160970412E-2</v>
      </c>
      <c r="AD9" s="442"/>
    </row>
    <row r="10" spans="1:37" ht="18" customHeight="1" x14ac:dyDescent="0.25">
      <c r="A10" s="110" t="s">
        <v>62</v>
      </c>
      <c r="B10" s="98">
        <v>1</v>
      </c>
      <c r="C10" s="98">
        <v>1</v>
      </c>
      <c r="D10" s="98">
        <v>1</v>
      </c>
      <c r="E10" s="98">
        <v>1</v>
      </c>
      <c r="F10" s="98">
        <v>1</v>
      </c>
      <c r="G10" s="98">
        <v>1</v>
      </c>
      <c r="H10" s="98">
        <v>1</v>
      </c>
      <c r="I10" s="98">
        <v>1</v>
      </c>
      <c r="K10" s="102">
        <v>18</v>
      </c>
      <c r="L10" s="103">
        <v>2.101</v>
      </c>
      <c r="M10" s="103">
        <v>2.8780000000000001</v>
      </c>
      <c r="N10" s="83" t="s">
        <v>63</v>
      </c>
      <c r="O10" s="5" t="s">
        <v>64</v>
      </c>
      <c r="P10" s="97">
        <v>14</v>
      </c>
      <c r="Q10" s="101">
        <v>2.145</v>
      </c>
      <c r="X10" s="219">
        <f>X9/$X$11</f>
        <v>3.5160300877365379E-3</v>
      </c>
      <c r="Y10" t="s">
        <v>258</v>
      </c>
      <c r="Z10" s="219">
        <f>Z9/$X$11</f>
        <v>3.4243664837399677E-3</v>
      </c>
      <c r="AA10" s="219">
        <f t="shared" ref="AA10:AC10" si="9">AA9/$X$11</f>
        <v>5.8003841717997129E-3</v>
      </c>
      <c r="AB10" s="219">
        <f t="shared" si="9"/>
        <v>5.1162355942035278E-3</v>
      </c>
      <c r="AC10" s="219">
        <f t="shared" si="9"/>
        <v>1.0966566606701556E-2</v>
      </c>
      <c r="AD10" s="219"/>
    </row>
    <row r="11" spans="1:37" ht="18" customHeight="1" x14ac:dyDescent="0.25">
      <c r="A11" s="111" t="s">
        <v>65</v>
      </c>
      <c r="B11" s="313">
        <v>1.1007204091938414</v>
      </c>
      <c r="C11" s="314">
        <v>2.9505207637812045</v>
      </c>
      <c r="D11" s="315">
        <v>4.5605796474254294</v>
      </c>
      <c r="E11" s="314">
        <v>8.0993157139380152</v>
      </c>
      <c r="F11" s="314">
        <v>11.494923118503923</v>
      </c>
      <c r="G11" s="113"/>
      <c r="H11" s="112"/>
      <c r="I11" s="311">
        <v>11.494923118503923</v>
      </c>
      <c r="K11" s="102">
        <v>20</v>
      </c>
      <c r="L11" s="103">
        <v>2.0859999999999999</v>
      </c>
      <c r="M11" s="103">
        <v>2.8450000000000002</v>
      </c>
      <c r="N11" s="115">
        <v>1.1000000000000001</v>
      </c>
      <c r="O11" s="116">
        <v>1.4</v>
      </c>
      <c r="P11" s="98">
        <v>15</v>
      </c>
      <c r="Q11" s="109">
        <v>2.133</v>
      </c>
      <c r="R11" s="41"/>
      <c r="S11" s="42"/>
      <c r="T11" s="312">
        <f>AVERAGE(T2:T8)</f>
        <v>1.0987043387347046</v>
      </c>
      <c r="U11" s="312">
        <f t="shared" ref="U11:W11" si="10">AVERAGE(U2:U8)</f>
        <v>0.96558418214687791</v>
      </c>
      <c r="V11" s="312">
        <f t="shared" si="10"/>
        <v>1.3058287068771806</v>
      </c>
      <c r="W11" s="312">
        <f t="shared" si="10"/>
        <v>1.3083731771167673</v>
      </c>
      <c r="X11" s="459">
        <f>AVERAGE(X2:X8)</f>
        <v>1.1696226012188828</v>
      </c>
      <c r="Y11" s="460" t="s">
        <v>286</v>
      </c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</row>
    <row r="12" spans="1:37" ht="18" customHeight="1" x14ac:dyDescent="0.25">
      <c r="A12" s="35"/>
      <c r="B12" s="316">
        <v>1.0893257050545559</v>
      </c>
      <c r="C12" s="317">
        <v>2.806717992260249</v>
      </c>
      <c r="D12" s="318">
        <v>5.2017580279438231</v>
      </c>
      <c r="E12" s="317">
        <v>8.4617652777804686</v>
      </c>
      <c r="F12" s="458">
        <v>12.39150101819806</v>
      </c>
      <c r="G12" s="121"/>
      <c r="H12" s="120"/>
      <c r="I12" s="455">
        <v>14.188803084467594</v>
      </c>
      <c r="J12" t="s">
        <v>288</v>
      </c>
      <c r="K12" s="16">
        <v>22</v>
      </c>
      <c r="L12" s="103">
        <v>2.0739999999999998</v>
      </c>
      <c r="M12" s="103">
        <v>2.819</v>
      </c>
      <c r="N12" s="74"/>
      <c r="O12" s="122"/>
      <c r="P12" s="97">
        <v>16</v>
      </c>
      <c r="Q12" s="123">
        <v>2.12</v>
      </c>
    </row>
    <row r="13" spans="1:37" ht="18" customHeight="1" x14ac:dyDescent="0.25">
      <c r="A13" s="35"/>
      <c r="B13" s="316">
        <v>1.1209583281181872</v>
      </c>
      <c r="C13" s="317">
        <v>2.642223247681597</v>
      </c>
      <c r="D13" s="318">
        <v>4.901216983696183</v>
      </c>
      <c r="E13" s="317">
        <v>8.0972849612181665</v>
      </c>
      <c r="F13" s="317">
        <v>11.80069725325696</v>
      </c>
      <c r="G13" s="121"/>
      <c r="H13" s="120"/>
      <c r="I13" s="311">
        <v>11.80069725325696</v>
      </c>
      <c r="K13" s="97">
        <v>26</v>
      </c>
      <c r="L13" s="108">
        <v>2.056</v>
      </c>
      <c r="M13" s="108">
        <v>2.7789999999999999</v>
      </c>
      <c r="N13" s="74"/>
      <c r="O13" s="122"/>
      <c r="P13" s="98">
        <v>17</v>
      </c>
      <c r="Q13" s="109">
        <v>2.1110000000000002</v>
      </c>
    </row>
    <row r="14" spans="1:37" ht="18" customHeight="1" x14ac:dyDescent="0.25">
      <c r="A14" s="35"/>
      <c r="B14" s="316">
        <v>1.0954179797128276</v>
      </c>
      <c r="C14" s="317">
        <v>2.6457093555001956</v>
      </c>
      <c r="D14" s="318">
        <v>5.4043209649952324</v>
      </c>
      <c r="E14" s="317">
        <v>7.8286178751961044</v>
      </c>
      <c r="F14" s="317">
        <v>11.552198717124366</v>
      </c>
      <c r="G14" s="121"/>
      <c r="H14" s="120"/>
      <c r="I14" s="311">
        <v>11.552198717124366</v>
      </c>
      <c r="K14" s="97">
        <v>28</v>
      </c>
      <c r="L14" s="108">
        <v>2.048</v>
      </c>
      <c r="M14" s="108">
        <v>2.7629999999999999</v>
      </c>
      <c r="N14" s="74"/>
      <c r="O14" s="122"/>
      <c r="P14" s="97">
        <v>18</v>
      </c>
      <c r="Q14" s="101">
        <v>2.101</v>
      </c>
    </row>
    <row r="15" spans="1:37" ht="18" customHeight="1" x14ac:dyDescent="0.25">
      <c r="A15" s="35"/>
      <c r="B15" s="316">
        <v>1.0977004977175311</v>
      </c>
      <c r="C15" s="317">
        <v>2.5890185531717731</v>
      </c>
      <c r="D15" s="318">
        <v>5.3140406664447646</v>
      </c>
      <c r="E15" s="317">
        <v>8.9762268671656553</v>
      </c>
      <c r="F15" s="458">
        <v>12.350522351900281</v>
      </c>
      <c r="G15" s="121"/>
      <c r="H15" s="120"/>
      <c r="I15" s="455">
        <v>9.7554441119050548</v>
      </c>
      <c r="J15" t="s">
        <v>289</v>
      </c>
      <c r="K15" s="97">
        <v>30</v>
      </c>
      <c r="L15" s="108">
        <v>2.0419999999999998</v>
      </c>
      <c r="M15" s="108">
        <v>2.75</v>
      </c>
      <c r="N15" s="74"/>
      <c r="P15" s="98">
        <v>19</v>
      </c>
      <c r="Q15" s="109">
        <v>2.0939999999999999</v>
      </c>
    </row>
    <row r="16" spans="1:37" ht="18" customHeight="1" x14ac:dyDescent="0.25">
      <c r="A16" s="124"/>
      <c r="B16" s="316">
        <v>1.0903631943524135</v>
      </c>
      <c r="C16" s="317">
        <v>2.2088464930282079</v>
      </c>
      <c r="D16" s="318">
        <v>5.1087659599563873</v>
      </c>
      <c r="E16" s="317">
        <v>8.116661448382521</v>
      </c>
      <c r="F16" s="317">
        <v>10.669067884384145</v>
      </c>
      <c r="G16" s="121"/>
      <c r="H16" s="120"/>
      <c r="I16" s="311">
        <v>10.669067884384145</v>
      </c>
      <c r="K16" s="97">
        <v>40</v>
      </c>
      <c r="L16" s="108">
        <v>2.02</v>
      </c>
      <c r="M16" s="108">
        <v>2.7</v>
      </c>
      <c r="N16" s="74"/>
      <c r="O16" s="122"/>
      <c r="P16" s="97">
        <v>20</v>
      </c>
      <c r="Q16" s="101">
        <v>2.0859999999999999</v>
      </c>
    </row>
    <row r="17" spans="1:22" ht="18" customHeight="1" x14ac:dyDescent="0.25">
      <c r="A17" s="35"/>
      <c r="B17" s="316">
        <v>1.0964442569935755</v>
      </c>
      <c r="C17" s="317">
        <v>2.6268793060279911</v>
      </c>
      <c r="D17" s="318">
        <v>4.7022549394088617</v>
      </c>
      <c r="E17" s="317">
        <v>7.4100352065019592</v>
      </c>
      <c r="F17" s="317">
        <v>13.191126760429237</v>
      </c>
      <c r="G17" s="121"/>
      <c r="H17" s="120"/>
      <c r="I17" s="311">
        <v>13.191126760429237</v>
      </c>
      <c r="K17" s="97">
        <v>60</v>
      </c>
      <c r="L17" s="108">
        <v>2</v>
      </c>
      <c r="M17" s="108">
        <v>2.66</v>
      </c>
      <c r="N17" s="74"/>
      <c r="O17" s="122"/>
      <c r="P17" s="98">
        <v>21</v>
      </c>
      <c r="Q17" s="109">
        <v>2.08</v>
      </c>
    </row>
    <row r="18" spans="1:22" ht="18" customHeight="1" x14ac:dyDescent="0.25">
      <c r="A18" s="35"/>
      <c r="B18" s="117"/>
      <c r="C18" s="118"/>
      <c r="D18" s="119"/>
      <c r="E18" s="118"/>
      <c r="F18" s="317"/>
      <c r="G18" s="125"/>
      <c r="H18" s="120"/>
      <c r="I18" s="456">
        <v>12.39150101819806</v>
      </c>
      <c r="J18" t="s">
        <v>287</v>
      </c>
      <c r="K18" s="98">
        <v>120</v>
      </c>
      <c r="L18" s="123">
        <v>1.98</v>
      </c>
      <c r="M18" s="108">
        <v>2.62</v>
      </c>
      <c r="N18" s="74"/>
      <c r="O18" s="122"/>
      <c r="P18" s="98">
        <v>22</v>
      </c>
      <c r="Q18" s="101">
        <v>2.0739999999999998</v>
      </c>
    </row>
    <row r="19" spans="1:22" ht="18" customHeight="1" x14ac:dyDescent="0.25">
      <c r="A19" s="124"/>
      <c r="B19" s="117"/>
      <c r="C19" s="118"/>
      <c r="D19" s="119"/>
      <c r="E19" s="118"/>
      <c r="F19" s="317"/>
      <c r="G19" s="125"/>
      <c r="H19" s="120"/>
      <c r="I19" s="311">
        <v>10.915816683873889</v>
      </c>
      <c r="J19" s="43"/>
      <c r="K19" s="88" t="s">
        <v>66</v>
      </c>
      <c r="L19" s="126">
        <v>1.96</v>
      </c>
      <c r="M19" s="127">
        <v>2.5760000000000001</v>
      </c>
      <c r="N19" s="74"/>
      <c r="O19" s="122"/>
      <c r="P19" s="98">
        <v>23</v>
      </c>
      <c r="Q19" s="109">
        <v>2.0699999999999998</v>
      </c>
    </row>
    <row r="20" spans="1:22" ht="18" customHeight="1" x14ac:dyDescent="0.25">
      <c r="A20" s="35"/>
      <c r="B20" s="117"/>
      <c r="C20" s="118"/>
      <c r="D20" s="119"/>
      <c r="E20" s="118"/>
      <c r="F20" s="317"/>
      <c r="G20" s="125"/>
      <c r="H20" s="120"/>
      <c r="I20" s="311">
        <v>12.255883012388963</v>
      </c>
      <c r="J20" s="43"/>
      <c r="P20" s="98">
        <v>24</v>
      </c>
      <c r="Q20" s="109">
        <v>2.0649999999999999</v>
      </c>
    </row>
    <row r="21" spans="1:22" ht="18" customHeight="1" x14ac:dyDescent="0.25">
      <c r="A21" s="35"/>
      <c r="B21" s="117"/>
      <c r="C21" s="118"/>
      <c r="D21" s="119"/>
      <c r="E21" s="118"/>
      <c r="F21" s="317"/>
      <c r="G21" s="125"/>
      <c r="H21" s="120"/>
      <c r="I21" s="457">
        <v>12.350522351900281</v>
      </c>
      <c r="M21" s="128"/>
      <c r="P21" s="98">
        <v>25</v>
      </c>
      <c r="Q21" s="109">
        <v>2.0609999999999999</v>
      </c>
    </row>
    <row r="22" spans="1:22" ht="18" customHeight="1" x14ac:dyDescent="0.3">
      <c r="A22" s="124"/>
      <c r="B22" s="129"/>
      <c r="C22" s="130"/>
      <c r="D22" s="131"/>
      <c r="E22" s="130"/>
      <c r="F22" s="85"/>
      <c r="G22" s="132"/>
      <c r="H22" s="85"/>
      <c r="I22" s="268">
        <v>11.869634908766587</v>
      </c>
      <c r="J22" t="s">
        <v>203</v>
      </c>
      <c r="N22" s="133"/>
      <c r="P22" s="97">
        <v>26</v>
      </c>
      <c r="Q22" s="123">
        <v>2.056</v>
      </c>
    </row>
    <row r="23" spans="1:22" ht="18" customHeight="1" x14ac:dyDescent="0.25">
      <c r="A23" s="35"/>
      <c r="B23" s="129"/>
      <c r="C23" s="130"/>
      <c r="D23" s="131"/>
      <c r="E23" s="130"/>
      <c r="F23" s="85"/>
      <c r="G23" s="132"/>
      <c r="H23" s="85"/>
      <c r="I23" s="12"/>
      <c r="M23" s="47"/>
      <c r="P23" s="97">
        <v>27</v>
      </c>
      <c r="Q23" s="109">
        <v>2.052</v>
      </c>
    </row>
    <row r="24" spans="1:22" ht="18" customHeight="1" x14ac:dyDescent="0.25">
      <c r="A24" s="35"/>
      <c r="B24" s="129"/>
      <c r="C24" s="130"/>
      <c r="D24" s="131"/>
      <c r="E24" s="130"/>
      <c r="F24" s="85"/>
      <c r="G24" s="132"/>
      <c r="H24" s="85"/>
      <c r="I24" s="12"/>
      <c r="P24" s="98">
        <v>28</v>
      </c>
      <c r="Q24" s="123">
        <v>2.048</v>
      </c>
    </row>
    <row r="25" spans="1:22" ht="18" customHeight="1" x14ac:dyDescent="0.25">
      <c r="A25" s="124"/>
      <c r="B25" s="129"/>
      <c r="C25" s="130"/>
      <c r="D25" s="131"/>
      <c r="E25" s="130"/>
      <c r="F25" s="85"/>
      <c r="G25" s="132"/>
      <c r="H25" s="85"/>
      <c r="I25" s="85"/>
      <c r="J25" s="134"/>
      <c r="P25" s="32">
        <v>29</v>
      </c>
      <c r="Q25" s="135">
        <v>2.0449999999999999</v>
      </c>
    </row>
    <row r="26" spans="1:22" ht="18" customHeight="1" x14ac:dyDescent="0.25">
      <c r="A26" s="41"/>
      <c r="B26" s="251"/>
      <c r="C26" s="252"/>
      <c r="D26" s="253"/>
      <c r="E26" s="252"/>
      <c r="F26" s="254"/>
      <c r="G26" s="255"/>
      <c r="H26" s="254"/>
      <c r="I26" s="254"/>
      <c r="J26" s="134"/>
      <c r="L26" s="52"/>
      <c r="Q26" s="74"/>
      <c r="T26" s="43"/>
    </row>
    <row r="27" spans="1:22" ht="18" customHeight="1" x14ac:dyDescent="0.25">
      <c r="A27" s="124" t="s">
        <v>67</v>
      </c>
      <c r="B27" s="136">
        <f>AVERAGE(B11:B26)</f>
        <v>1.0987043387347046</v>
      </c>
      <c r="C27" s="136">
        <f>AVERAGE(C11:C26)</f>
        <v>2.638559387350174</v>
      </c>
      <c r="D27" s="136">
        <f>AVERAGE(D11:D26)</f>
        <v>5.0275624556958123</v>
      </c>
      <c r="E27" s="136">
        <f>AVERAGE(E11:E26)</f>
        <v>8.1414153357404135</v>
      </c>
      <c r="F27" s="136">
        <f>AVERAGE(F11:F26)</f>
        <v>11.921433871970999</v>
      </c>
      <c r="G27" s="136"/>
      <c r="H27" s="137"/>
      <c r="I27" s="108"/>
      <c r="J27" s="134"/>
      <c r="L27" s="52"/>
      <c r="M27" s="52"/>
      <c r="N27" s="52"/>
      <c r="O27" s="52"/>
      <c r="P27" s="52"/>
      <c r="Q27" s="76"/>
      <c r="T27" s="43"/>
    </row>
    <row r="28" spans="1:22" ht="18" customHeight="1" x14ac:dyDescent="0.35">
      <c r="A28" s="141" t="s">
        <v>69</v>
      </c>
      <c r="B28" s="102">
        <f>DCOUNT(B10:B26,"1",B10:B26)</f>
        <v>7</v>
      </c>
      <c r="C28" s="102">
        <f>DCOUNT(C10:C26,"1",C10:C26)</f>
        <v>7</v>
      </c>
      <c r="D28" s="102">
        <f>DCOUNT(D10:D26,"1",D10:D26)</f>
        <v>7</v>
      </c>
      <c r="E28" s="102">
        <f>DCOUNT(E10:E26,"1",E10:E26)</f>
        <v>7</v>
      </c>
      <c r="F28" s="102">
        <f>DCOUNT(F10:F26,"1",F10:F26)</f>
        <v>7</v>
      </c>
      <c r="G28" s="102"/>
      <c r="H28" s="102"/>
      <c r="I28" s="97"/>
      <c r="J28" s="134"/>
      <c r="L28" s="52"/>
      <c r="M28" s="52"/>
      <c r="N28" s="52"/>
      <c r="O28" s="52"/>
      <c r="P28" s="52"/>
      <c r="Q28" s="76"/>
    </row>
    <row r="29" spans="1:22" ht="18" customHeight="1" x14ac:dyDescent="0.25">
      <c r="A29" s="124" t="s">
        <v>72</v>
      </c>
      <c r="B29" s="143">
        <f>IF(STDEV(B11:B26)/SQRT(B28)&lt;10^(-7),0,STDEV(B11:B26)/SQRT(B28))</f>
        <v>4.0052164342387004E-3</v>
      </c>
      <c r="C29" s="143">
        <f>IF(STDEV(C11:C26)/SQRT(C28)&lt;10^(-7),0,STDEV(C11:C26)/SQRT(C28))</f>
        <v>8.6314162166949912E-2</v>
      </c>
      <c r="D29" s="143">
        <f>IF(STDEV(D11:D26)/SQRT(D28)&lt;10^(-7),0,STDEV(D11:D26)/SQRT(D28))</f>
        <v>0.11960410366089912</v>
      </c>
      <c r="E29" s="143">
        <f>IF(STDEV(E11:E26)/SQRT(E28)&lt;10^(-7),0,STDEV(E11:E26)/SQRT(E28))</f>
        <v>0.18494697735555482</v>
      </c>
      <c r="F29" s="143">
        <f>IF(STDEV(F11:F26)/SQRT(F28)&lt;10^(-7),0,STDEV(F11:F26)/SQRT(F28))</f>
        <v>0.30544440679318324</v>
      </c>
      <c r="G29" s="143"/>
      <c r="H29" s="143"/>
      <c r="I29" s="144"/>
      <c r="J29" s="134"/>
      <c r="L29" s="288"/>
      <c r="M29" s="139" t="s">
        <v>68</v>
      </c>
      <c r="N29" s="6"/>
      <c r="O29" s="6"/>
      <c r="P29" s="139"/>
      <c r="Q29" s="139"/>
      <c r="R29" s="140"/>
      <c r="S29" s="35"/>
      <c r="T29" s="36"/>
      <c r="U29" s="36"/>
    </row>
    <row r="30" spans="1:22" ht="18" customHeight="1" x14ac:dyDescent="0.25">
      <c r="A30" s="145" t="s">
        <v>7</v>
      </c>
      <c r="B30" s="146">
        <f>B29/B27</f>
        <v>3.6453996703528155E-3</v>
      </c>
      <c r="C30" s="146">
        <f t="shared" ref="C30:E30" si="11">C29/C27</f>
        <v>3.2712609229399468E-2</v>
      </c>
      <c r="D30" s="146">
        <f t="shared" si="11"/>
        <v>2.378968033015633E-2</v>
      </c>
      <c r="E30" s="146">
        <f t="shared" si="11"/>
        <v>2.2716809022584401E-2</v>
      </c>
      <c r="F30" s="146">
        <f t="shared" ref="F30" si="12">F29/F27</f>
        <v>2.5621448734562614E-2</v>
      </c>
      <c r="G30" s="146"/>
      <c r="H30" s="146"/>
      <c r="I30" s="147"/>
      <c r="J30" s="134"/>
      <c r="L30" s="83" t="s">
        <v>70</v>
      </c>
      <c r="M30" s="138" t="s">
        <v>71</v>
      </c>
      <c r="N30" s="139"/>
      <c r="O30" s="139"/>
      <c r="P30" s="139"/>
      <c r="Q30" s="6"/>
      <c r="R30" s="231"/>
      <c r="S30" s="36"/>
      <c r="T30" s="36"/>
      <c r="U30" s="225"/>
      <c r="V30" s="226"/>
    </row>
    <row r="31" spans="1:22" ht="18" customHeight="1" x14ac:dyDescent="0.25">
      <c r="A31" s="40" t="s">
        <v>18</v>
      </c>
      <c r="B31" s="296">
        <v>1</v>
      </c>
      <c r="C31" s="296">
        <v>3</v>
      </c>
      <c r="D31" s="296">
        <v>3</v>
      </c>
      <c r="E31" s="296">
        <v>1</v>
      </c>
      <c r="F31" s="296">
        <v>1</v>
      </c>
      <c r="G31" s="106"/>
      <c r="H31" s="106"/>
      <c r="I31" s="106"/>
      <c r="J31" t="s">
        <v>291</v>
      </c>
      <c r="L31" s="1" t="s">
        <v>1</v>
      </c>
      <c r="M31" s="260">
        <v>5</v>
      </c>
      <c r="N31" s="92">
        <v>10</v>
      </c>
      <c r="O31" s="261">
        <v>16</v>
      </c>
      <c r="P31" s="262">
        <v>20</v>
      </c>
      <c r="Q31" s="92">
        <v>32</v>
      </c>
      <c r="R31" s="34"/>
      <c r="S31" s="74"/>
      <c r="T31" s="74"/>
      <c r="U31" s="17"/>
      <c r="V31" s="17"/>
    </row>
    <row r="32" spans="1:22" ht="18" customHeight="1" x14ac:dyDescent="0.25">
      <c r="A32" s="152" t="s">
        <v>19</v>
      </c>
      <c r="B32" s="297">
        <v>3</v>
      </c>
      <c r="C32" s="297">
        <v>5</v>
      </c>
      <c r="D32" s="297">
        <v>5</v>
      </c>
      <c r="E32" s="297">
        <v>3</v>
      </c>
      <c r="F32" s="297">
        <v>2</v>
      </c>
      <c r="G32" s="153"/>
      <c r="H32" s="153"/>
      <c r="I32" s="153"/>
      <c r="L32" s="4" t="s">
        <v>73</v>
      </c>
      <c r="M32" s="148">
        <f>B2</f>
        <v>9.9911600000000007</v>
      </c>
      <c r="N32" s="148">
        <f>M32</f>
        <v>9.9911600000000007</v>
      </c>
      <c r="O32" s="148">
        <f t="shared" ref="O32:Q32" si="13">N32</f>
        <v>9.9911600000000007</v>
      </c>
      <c r="P32" s="148">
        <f t="shared" si="13"/>
        <v>9.9911600000000007</v>
      </c>
      <c r="Q32" s="148">
        <f t="shared" si="13"/>
        <v>9.9911600000000007</v>
      </c>
      <c r="R32" s="232"/>
      <c r="S32" s="214"/>
      <c r="T32" s="214"/>
      <c r="U32" s="227"/>
      <c r="V32" s="227"/>
    </row>
    <row r="33" spans="1:27" ht="18" customHeight="1" x14ac:dyDescent="0.25">
      <c r="A33" s="40" t="s">
        <v>8</v>
      </c>
      <c r="B33" s="136">
        <f>B27/2/(B2/1000)/(B32-B31)</f>
        <v>27.491911317972701</v>
      </c>
      <c r="C33" s="136">
        <f t="shared" ref="C33:E33" si="14">C27/2/(C2/1000)/(C32-C31)</f>
        <v>66.022348439775101</v>
      </c>
      <c r="D33" s="136">
        <f t="shared" si="14"/>
        <v>125.80026883004105</v>
      </c>
      <c r="E33" s="136">
        <f t="shared" si="14"/>
        <v>203.71546786710485</v>
      </c>
      <c r="F33" s="136">
        <f t="shared" ref="F33" si="15">F27/2/(F2/1000)/(F32-F31)</f>
        <v>596.59908719162729</v>
      </c>
      <c r="G33" s="136"/>
      <c r="H33" s="136"/>
      <c r="I33" s="136"/>
      <c r="J33" t="s">
        <v>80</v>
      </c>
      <c r="L33" s="13" t="s">
        <v>74</v>
      </c>
      <c r="M33" s="13">
        <v>98</v>
      </c>
      <c r="N33" s="13">
        <f>M33</f>
        <v>98</v>
      </c>
      <c r="O33" s="13">
        <f t="shared" ref="O33:Q33" si="16">N33</f>
        <v>98</v>
      </c>
      <c r="P33" s="13">
        <f t="shared" si="16"/>
        <v>98</v>
      </c>
      <c r="Q33" s="13">
        <f t="shared" si="16"/>
        <v>98</v>
      </c>
      <c r="R33" s="30"/>
      <c r="S33" s="36"/>
      <c r="T33" s="36"/>
      <c r="U33" s="200"/>
      <c r="V33" s="200"/>
    </row>
    <row r="34" spans="1:27" ht="18" customHeight="1" x14ac:dyDescent="0.25">
      <c r="A34" s="157" t="s">
        <v>9</v>
      </c>
      <c r="B34" s="298">
        <v>0.64700000000000002</v>
      </c>
      <c r="C34" s="299">
        <v>0.41799999999999998</v>
      </c>
      <c r="D34" s="300">
        <v>0.30399999999999999</v>
      </c>
      <c r="E34" s="300">
        <v>0.34799999999999998</v>
      </c>
      <c r="F34" s="300">
        <v>0.15</v>
      </c>
      <c r="G34" s="158"/>
      <c r="H34" s="159"/>
      <c r="I34" s="160"/>
      <c r="J34" t="s">
        <v>172</v>
      </c>
      <c r="L34" s="13" t="s">
        <v>75</v>
      </c>
      <c r="M34" s="29">
        <f>B32-B31</f>
        <v>2</v>
      </c>
      <c r="N34" s="29">
        <f>C32-C31</f>
        <v>2</v>
      </c>
      <c r="O34" s="29">
        <f>D32-D31</f>
        <v>2</v>
      </c>
      <c r="P34" s="29">
        <f>E32-E31</f>
        <v>2</v>
      </c>
      <c r="Q34" s="29">
        <f>F32-F31</f>
        <v>1</v>
      </c>
      <c r="R34" s="233"/>
      <c r="S34" s="75"/>
      <c r="T34" s="75"/>
      <c r="U34" s="222"/>
      <c r="V34" s="222"/>
    </row>
    <row r="35" spans="1:27" ht="18" customHeight="1" x14ac:dyDescent="0.35">
      <c r="A35" s="157" t="s">
        <v>84</v>
      </c>
      <c r="B35" s="161">
        <f>B27-B34</f>
        <v>0.45170433873470461</v>
      </c>
      <c r="C35" s="162">
        <f>C27-C34</f>
        <v>2.2205593873501739</v>
      </c>
      <c r="D35" s="162">
        <f>D27-D34</f>
        <v>4.723562455695812</v>
      </c>
      <c r="E35" s="162">
        <f>E27-E34</f>
        <v>7.7934153357404137</v>
      </c>
      <c r="F35" s="162">
        <f>F27-F34</f>
        <v>11.771433871970999</v>
      </c>
      <c r="G35" s="162"/>
      <c r="H35" s="163"/>
      <c r="I35" s="163"/>
      <c r="L35" s="13" t="s">
        <v>2</v>
      </c>
      <c r="M35" s="13">
        <f>B7</f>
        <v>6389</v>
      </c>
      <c r="N35" s="13">
        <f t="shared" ref="N35:Q35" si="17">C7</f>
        <v>6385</v>
      </c>
      <c r="O35" s="13">
        <f t="shared" si="17"/>
        <v>6382</v>
      </c>
      <c r="P35" s="13">
        <f t="shared" si="17"/>
        <v>6378</v>
      </c>
      <c r="Q35" s="13">
        <f t="shared" si="17"/>
        <v>6375</v>
      </c>
      <c r="R35" s="30"/>
      <c r="S35" s="36"/>
      <c r="T35" s="36"/>
      <c r="U35" s="200"/>
      <c r="V35" s="200"/>
    </row>
    <row r="36" spans="1:27" ht="18" customHeight="1" x14ac:dyDescent="0.25">
      <c r="A36" s="164" t="s">
        <v>10</v>
      </c>
      <c r="B36" s="136">
        <f>(B27-B34)/2/(B2/1000)/(B32-B31)</f>
        <v>11.302599966738212</v>
      </c>
      <c r="C36" s="136">
        <f t="shared" ref="C36:E36" si="18">(C27-C34)/2/(C2/1000)/(C32-C31)</f>
        <v>55.563102466334584</v>
      </c>
      <c r="D36" s="136">
        <f t="shared" si="18"/>
        <v>118.19354448572066</v>
      </c>
      <c r="E36" s="136">
        <f t="shared" si="18"/>
        <v>195.0077702624223</v>
      </c>
      <c r="F36" s="136">
        <f t="shared" ref="F36" si="19">(F27-F34)/2/(F2/1000)/(F32-F31)</f>
        <v>589.09245132552167</v>
      </c>
      <c r="G36" s="136"/>
      <c r="H36" s="165"/>
      <c r="I36" s="166"/>
      <c r="J36" t="s">
        <v>87</v>
      </c>
      <c r="K36" s="149" t="s">
        <v>76</v>
      </c>
      <c r="L36" s="124" t="s">
        <v>67</v>
      </c>
      <c r="M36" s="150">
        <f>B27</f>
        <v>1.0987043387347046</v>
      </c>
      <c r="N36" s="150">
        <f>C27</f>
        <v>2.638559387350174</v>
      </c>
      <c r="O36" s="150">
        <f>D27</f>
        <v>5.0275624556958123</v>
      </c>
      <c r="P36" s="150">
        <f>E27</f>
        <v>8.1414153357404135</v>
      </c>
      <c r="Q36" s="150">
        <f>F27</f>
        <v>11.921433871970999</v>
      </c>
      <c r="R36" s="234"/>
      <c r="S36" s="215"/>
      <c r="T36" s="215"/>
      <c r="U36" s="217"/>
      <c r="V36" s="217"/>
    </row>
    <row r="37" spans="1:27" ht="18" customHeight="1" x14ac:dyDescent="0.25">
      <c r="A37" s="29" t="s">
        <v>94</v>
      </c>
      <c r="B37" s="143">
        <f>B36*(B4^2+B29^2/B35^2)^0.5</f>
        <v>0.10021931347797708</v>
      </c>
      <c r="C37" s="143">
        <f t="shared" ref="C37:E37" si="20">C36*(C4^2+C29^2/C35^2)^0.5</f>
        <v>2.1597636314551836</v>
      </c>
      <c r="D37" s="143">
        <f t="shared" si="20"/>
        <v>2.9927493125348743</v>
      </c>
      <c r="E37" s="143">
        <f t="shared" si="20"/>
        <v>4.6277673706055111</v>
      </c>
      <c r="F37" s="143">
        <f t="shared" ref="F37" si="21">F36*(F4^2+F29^2/F35^2)^0.5</f>
        <v>15.285738431385685</v>
      </c>
      <c r="G37" s="143"/>
      <c r="H37" s="143"/>
      <c r="I37" s="143"/>
      <c r="K37" s="151" t="s">
        <v>77</v>
      </c>
      <c r="L37" s="4" t="s">
        <v>78</v>
      </c>
      <c r="M37" s="13">
        <v>0.02</v>
      </c>
      <c r="N37" s="13">
        <f>M37</f>
        <v>0.02</v>
      </c>
      <c r="O37" s="13">
        <f t="shared" ref="O37:Q37" si="22">N37</f>
        <v>0.02</v>
      </c>
      <c r="P37" s="13">
        <f t="shared" si="22"/>
        <v>0.02</v>
      </c>
      <c r="Q37" s="13">
        <f t="shared" si="22"/>
        <v>0.02</v>
      </c>
      <c r="R37" s="10"/>
      <c r="S37" s="36"/>
      <c r="T37" s="36"/>
      <c r="U37" s="200"/>
      <c r="V37" s="200"/>
    </row>
    <row r="38" spans="1:27" ht="18" customHeight="1" x14ac:dyDescent="0.25">
      <c r="A38" s="14" t="s">
        <v>7</v>
      </c>
      <c r="B38" s="146">
        <f>B37/B36</f>
        <v>8.8669256430296464E-3</v>
      </c>
      <c r="C38" s="146">
        <f>C37/C36</f>
        <v>3.8870465031425737E-2</v>
      </c>
      <c r="D38" s="146">
        <f>D37/D36</f>
        <v>2.5320751023728185E-2</v>
      </c>
      <c r="E38" s="146">
        <f>E37/E36</f>
        <v>2.3731194733306864E-2</v>
      </c>
      <c r="F38" s="146">
        <f>F37/F36</f>
        <v>2.5947944837845269E-2</v>
      </c>
      <c r="G38" s="146"/>
      <c r="H38" s="146"/>
      <c r="I38" s="146"/>
      <c r="K38" s="13" t="s">
        <v>136</v>
      </c>
      <c r="L38" s="154" t="s">
        <v>79</v>
      </c>
      <c r="M38" s="13">
        <v>0.2</v>
      </c>
      <c r="N38" s="13">
        <v>0.2</v>
      </c>
      <c r="O38" s="13">
        <v>0.2</v>
      </c>
      <c r="P38" s="13">
        <v>0.2</v>
      </c>
      <c r="Q38" s="13">
        <v>0.2</v>
      </c>
      <c r="R38" s="30"/>
      <c r="S38" s="36"/>
      <c r="T38" s="36"/>
      <c r="U38" s="200"/>
      <c r="V38" s="200"/>
    </row>
    <row r="39" spans="1:27" ht="18" customHeight="1" x14ac:dyDescent="0.25">
      <c r="A39" s="29" t="s">
        <v>99</v>
      </c>
      <c r="B39" s="143">
        <f>M61</f>
        <v>1.0583907541074282</v>
      </c>
      <c r="C39" s="143">
        <f>N61</f>
        <v>1.6477600800816472</v>
      </c>
      <c r="D39" s="143">
        <f>O61</f>
        <v>3.1606565148462717</v>
      </c>
      <c r="E39" s="143">
        <f>P61</f>
        <v>6.0888980183335022</v>
      </c>
      <c r="F39" s="143">
        <f>Q61</f>
        <v>23.157598349430263</v>
      </c>
      <c r="G39" s="143"/>
      <c r="H39" s="143"/>
      <c r="I39" s="143"/>
      <c r="K39" s="155" t="s">
        <v>137</v>
      </c>
      <c r="L39" s="156" t="s">
        <v>81</v>
      </c>
      <c r="M39" s="155">
        <v>0.1</v>
      </c>
      <c r="N39" s="155">
        <f>M39</f>
        <v>0.1</v>
      </c>
      <c r="O39" s="155">
        <f t="shared" ref="O39:Q39" si="23">N39</f>
        <v>0.1</v>
      </c>
      <c r="P39" s="155">
        <f t="shared" si="23"/>
        <v>0.1</v>
      </c>
      <c r="Q39" s="155">
        <f t="shared" si="23"/>
        <v>0.1</v>
      </c>
      <c r="R39" s="221"/>
      <c r="S39" s="200"/>
      <c r="T39" s="200"/>
      <c r="U39" s="200"/>
      <c r="V39" s="200"/>
    </row>
    <row r="40" spans="1:27" ht="18" customHeight="1" x14ac:dyDescent="0.25">
      <c r="A40" s="172" t="s">
        <v>70</v>
      </c>
      <c r="B40" s="173">
        <f>B39/B36</f>
        <v>9.364135307116124E-2</v>
      </c>
      <c r="C40" s="173">
        <f>C39/C36</f>
        <v>2.9655652887273835E-2</v>
      </c>
      <c r="D40" s="173">
        <f>D39/D36</f>
        <v>2.6741363317250553E-2</v>
      </c>
      <c r="E40" s="173">
        <f>E39/E36</f>
        <v>3.1223873849435136E-2</v>
      </c>
      <c r="F40" s="173">
        <f>F39/F36</f>
        <v>3.9310635023964681E-2</v>
      </c>
      <c r="G40" s="173"/>
      <c r="H40" s="173"/>
      <c r="I40" s="173"/>
      <c r="J40" s="13"/>
      <c r="K40" s="155" t="s">
        <v>82</v>
      </c>
      <c r="L40" s="156" t="s">
        <v>83</v>
      </c>
      <c r="M40" s="13">
        <v>10</v>
      </c>
      <c r="N40">
        <v>10</v>
      </c>
      <c r="O40" s="35">
        <v>10</v>
      </c>
      <c r="P40" s="13">
        <v>10</v>
      </c>
      <c r="Q40" s="13">
        <v>10</v>
      </c>
      <c r="R40" s="30"/>
      <c r="S40" s="36"/>
      <c r="T40" s="36"/>
      <c r="U40" s="200"/>
      <c r="V40" s="200"/>
    </row>
    <row r="41" spans="1:27" ht="18" customHeight="1" x14ac:dyDescent="0.35">
      <c r="A41" s="175" t="s">
        <v>102</v>
      </c>
      <c r="B41" s="176">
        <f t="shared" ref="B41:E41" si="24">B40/B38</f>
        <v>10.560746400842255</v>
      </c>
      <c r="C41" s="176">
        <f t="shared" si="24"/>
        <v>0.76293537685484414</v>
      </c>
      <c r="D41" s="176">
        <f t="shared" si="24"/>
        <v>1.0561046665713472</v>
      </c>
      <c r="E41" s="176">
        <f t="shared" si="24"/>
        <v>1.3157312221458557</v>
      </c>
      <c r="F41" s="176">
        <f t="shared" ref="F41" si="25">F40/F38</f>
        <v>1.5149806764900251</v>
      </c>
      <c r="G41" s="176"/>
      <c r="H41" s="176"/>
      <c r="I41" s="176"/>
      <c r="K41" s="37" t="s">
        <v>85</v>
      </c>
      <c r="L41" s="220" t="s">
        <v>86</v>
      </c>
      <c r="M41" s="13">
        <v>5</v>
      </c>
      <c r="N41" s="13">
        <v>5</v>
      </c>
      <c r="O41" s="13">
        <v>5</v>
      </c>
      <c r="P41" s="13">
        <v>5</v>
      </c>
      <c r="Q41" s="13">
        <v>5</v>
      </c>
      <c r="R41" s="30"/>
      <c r="S41" s="36"/>
      <c r="T41" s="36"/>
      <c r="U41" s="200"/>
      <c r="V41" s="200"/>
    </row>
    <row r="42" spans="1:27" ht="18" customHeight="1" thickBot="1" x14ac:dyDescent="0.3">
      <c r="A42" s="178"/>
      <c r="B42" s="84">
        <f>(B38)^4/((B4)^4/(B5+1)+(B30)^4/(B28+1))-2</f>
        <v>278.02812501223929</v>
      </c>
      <c r="C42" s="84">
        <f t="shared" ref="C42:E42" si="26">(C38)^4/((C4)^4/(C5+1)+(C30)^4/(C28+1))-2</f>
        <v>13.948072064180172</v>
      </c>
      <c r="D42" s="84">
        <f t="shared" si="26"/>
        <v>8.2669605496864396</v>
      </c>
      <c r="E42" s="84">
        <f t="shared" si="26"/>
        <v>7.5275029373914144</v>
      </c>
      <c r="F42" s="84">
        <f t="shared" ref="F42" si="27">(F38)^4/((F4)^4/(F5+1)+(F30)^4/(F28+1))-2</f>
        <v>6.4156394329582547</v>
      </c>
      <c r="G42" s="84"/>
      <c r="H42" s="319"/>
      <c r="I42" s="320">
        <v>6</v>
      </c>
      <c r="K42" s="37" t="s">
        <v>85</v>
      </c>
      <c r="L42" s="154" t="s">
        <v>88</v>
      </c>
      <c r="M42" s="167">
        <f t="shared" ref="M42:P42" si="28">M41/M33/1000</f>
        <v>5.1020408163265308E-5</v>
      </c>
      <c r="N42" s="167">
        <f t="shared" si="28"/>
        <v>5.1020408163265308E-5</v>
      </c>
      <c r="O42" s="167">
        <f t="shared" si="28"/>
        <v>5.1020408163265308E-5</v>
      </c>
      <c r="P42" s="167">
        <f t="shared" si="28"/>
        <v>5.1020408163265308E-5</v>
      </c>
      <c r="Q42" s="167">
        <f t="shared" ref="Q42" si="29">Q41/Q33/1000</f>
        <v>5.1020408163265308E-5</v>
      </c>
      <c r="R42" s="235"/>
      <c r="S42" s="202"/>
      <c r="T42" s="202"/>
      <c r="U42" s="223"/>
      <c r="V42" s="223"/>
    </row>
    <row r="43" spans="1:27" ht="18" customHeight="1" thickBot="1" x14ac:dyDescent="0.3">
      <c r="A43" s="13"/>
      <c r="B43" s="301">
        <v>1.9690000000000001</v>
      </c>
      <c r="C43" s="301">
        <v>2.145</v>
      </c>
      <c r="D43" s="301">
        <v>2.306</v>
      </c>
      <c r="E43" s="301">
        <v>2.306</v>
      </c>
      <c r="F43" s="301">
        <v>2.4470000000000001</v>
      </c>
      <c r="G43" s="28"/>
      <c r="H43" s="24"/>
      <c r="I43" s="321">
        <f>TINV(0.05,I42)</f>
        <v>2.4469118511449697</v>
      </c>
      <c r="K43" s="168" t="s">
        <v>90</v>
      </c>
      <c r="L43" s="169" t="s">
        <v>91</v>
      </c>
      <c r="M43" s="13">
        <v>0.18</v>
      </c>
      <c r="N43" s="13">
        <v>0.5</v>
      </c>
      <c r="O43" s="13">
        <v>0.8</v>
      </c>
      <c r="P43" s="13">
        <v>0.8</v>
      </c>
      <c r="Q43" s="13">
        <v>0.8</v>
      </c>
      <c r="R43" s="30"/>
      <c r="S43" s="36"/>
      <c r="T43" s="36"/>
      <c r="U43" s="200"/>
      <c r="V43" s="200"/>
    </row>
    <row r="44" spans="1:27" ht="18" customHeight="1" x14ac:dyDescent="0.25">
      <c r="A44" s="29" t="s">
        <v>107</v>
      </c>
      <c r="B44" s="136">
        <f>B36*B45</f>
        <v>1.0809761997666445</v>
      </c>
      <c r="C44" s="136">
        <f>C36*C45</f>
        <v>4.8308308016434056</v>
      </c>
      <c r="D44" s="136">
        <f>D36*D45</f>
        <v>7.4015849870544796</v>
      </c>
      <c r="E44" s="136">
        <f>E36*E45</f>
        <v>12.048352753396676</v>
      </c>
      <c r="F44" s="136">
        <f>F36*F45</f>
        <v>43.101552017129897</v>
      </c>
      <c r="G44" s="136"/>
      <c r="H44" s="136"/>
      <c r="I44" s="136"/>
      <c r="J44" t="s">
        <v>108</v>
      </c>
      <c r="K44" s="37" t="s">
        <v>92</v>
      </c>
      <c r="L44" s="154" t="s">
        <v>93</v>
      </c>
      <c r="M44" s="13">
        <v>0.02</v>
      </c>
      <c r="N44" s="13">
        <v>0.02</v>
      </c>
      <c r="O44" s="13">
        <v>0.02</v>
      </c>
      <c r="P44" s="13">
        <v>0.02</v>
      </c>
      <c r="Q44" s="13">
        <v>0.02</v>
      </c>
      <c r="R44" s="30"/>
      <c r="S44" s="36"/>
      <c r="T44" s="36"/>
      <c r="U44" s="200"/>
      <c r="V44" s="200"/>
    </row>
    <row r="45" spans="1:27" ht="18" customHeight="1" x14ac:dyDescent="0.25">
      <c r="A45" s="33"/>
      <c r="B45" s="146">
        <f t="shared" ref="B45:E45" si="30">((B43*B38+B40)/(B38+B40/1.1/3^0.5))*(B38^2+(B40/1.1/3^0.5)^2)^0.5</f>
        <v>9.5639605307432693E-2</v>
      </c>
      <c r="C45" s="146">
        <f t="shared" si="30"/>
        <v>8.6943143690912189E-2</v>
      </c>
      <c r="D45" s="146">
        <f t="shared" si="30"/>
        <v>6.2622582470641522E-2</v>
      </c>
      <c r="E45" s="146">
        <f t="shared" si="30"/>
        <v>6.1783962439974506E-2</v>
      </c>
      <c r="F45" s="146">
        <f t="shared" ref="F45" si="31">((F43*F38+F40)/(F38+F40/1.1/3^0.5))*(F38^2+(F40/1.1/3^0.5)^2)^0.5</f>
        <v>7.3166023295913485E-2</v>
      </c>
      <c r="G45" s="146"/>
      <c r="H45" s="146"/>
      <c r="I45" s="147"/>
      <c r="J45" t="s">
        <v>110</v>
      </c>
      <c r="K45" s="37" t="s">
        <v>95</v>
      </c>
      <c r="L45" s="154" t="s">
        <v>96</v>
      </c>
      <c r="M45" s="13">
        <v>0.1</v>
      </c>
      <c r="N45" s="13">
        <v>0.1</v>
      </c>
      <c r="O45" s="13">
        <v>0.1</v>
      </c>
      <c r="P45" s="13">
        <v>0.1</v>
      </c>
      <c r="Q45" s="13">
        <v>0.1</v>
      </c>
      <c r="R45" s="30"/>
      <c r="S45" s="36"/>
      <c r="T45" s="36"/>
      <c r="U45" s="200"/>
      <c r="V45" s="200"/>
    </row>
    <row r="46" spans="1:27" ht="18" customHeight="1" x14ac:dyDescent="0.25">
      <c r="A46" s="30" t="s">
        <v>112</v>
      </c>
      <c r="B46" s="302">
        <v>0.18</v>
      </c>
      <c r="C46" s="302">
        <v>0.18</v>
      </c>
      <c r="D46" s="302">
        <v>0.8</v>
      </c>
      <c r="E46" s="302">
        <v>0.8</v>
      </c>
      <c r="F46" s="302">
        <v>0.8</v>
      </c>
      <c r="G46" s="302">
        <v>0.8</v>
      </c>
      <c r="H46" s="56"/>
      <c r="I46" s="56"/>
      <c r="K46" s="37" t="s">
        <v>97</v>
      </c>
      <c r="L46" s="170" t="s">
        <v>98</v>
      </c>
      <c r="M46" s="155">
        <v>0.1</v>
      </c>
      <c r="N46" s="13">
        <v>0.1</v>
      </c>
      <c r="O46" s="13">
        <v>0.1</v>
      </c>
      <c r="P46" s="13">
        <v>0.1</v>
      </c>
      <c r="Q46" s="13">
        <v>0.1</v>
      </c>
      <c r="R46" s="221"/>
      <c r="S46" s="200"/>
      <c r="T46" s="200"/>
      <c r="U46" s="200"/>
      <c r="V46" s="200"/>
    </row>
    <row r="47" spans="1:27" ht="18" customHeight="1" x14ac:dyDescent="0.25">
      <c r="A47" s="30" t="s">
        <v>114</v>
      </c>
      <c r="B47" s="302">
        <v>22.1</v>
      </c>
      <c r="C47" s="302">
        <v>22.3</v>
      </c>
      <c r="D47" s="302">
        <v>22.2</v>
      </c>
      <c r="E47" s="302">
        <v>21.8</v>
      </c>
      <c r="F47" s="302">
        <v>21.8</v>
      </c>
      <c r="G47" s="302">
        <v>21.8</v>
      </c>
      <c r="H47" s="57"/>
      <c r="I47" s="57"/>
      <c r="J47" t="s">
        <v>175</v>
      </c>
      <c r="K47" s="37" t="s">
        <v>100</v>
      </c>
      <c r="L47" s="171" t="s">
        <v>101</v>
      </c>
      <c r="M47" s="155">
        <v>1</v>
      </c>
      <c r="N47" s="155">
        <v>1</v>
      </c>
      <c r="O47" s="155">
        <v>1</v>
      </c>
      <c r="P47" s="155">
        <v>1</v>
      </c>
      <c r="Q47" s="155">
        <v>1</v>
      </c>
      <c r="R47" s="221"/>
      <c r="S47" s="200"/>
      <c r="T47" s="200"/>
      <c r="U47" s="200"/>
      <c r="V47" s="200"/>
      <c r="W47" s="54"/>
      <c r="X47" s="54"/>
      <c r="Y47" s="303"/>
      <c r="Z47" s="303"/>
      <c r="AA47" s="303"/>
    </row>
    <row r="48" spans="1:27" ht="18" customHeight="1" x14ac:dyDescent="0.35">
      <c r="A48" s="1" t="s">
        <v>115</v>
      </c>
      <c r="B48" s="160">
        <v>0</v>
      </c>
      <c r="C48" s="160">
        <v>0</v>
      </c>
      <c r="D48" s="160">
        <v>0</v>
      </c>
      <c r="E48" s="160">
        <v>0</v>
      </c>
      <c r="F48" s="160">
        <v>0</v>
      </c>
      <c r="G48" s="160">
        <f t="shared" ref="G48" si="32">(22-G47)*G46</f>
        <v>0.15999999999999945</v>
      </c>
      <c r="H48" s="160"/>
      <c r="I48" s="160"/>
      <c r="J48" t="s">
        <v>176</v>
      </c>
      <c r="K48" s="77" t="s">
        <v>134</v>
      </c>
      <c r="L48" s="174" t="s">
        <v>135</v>
      </c>
      <c r="M48" s="219">
        <f>0.04*(1-10^(M36/20))/5</f>
        <v>-1.0787321633652276E-3</v>
      </c>
      <c r="N48" s="229">
        <f t="shared" ref="N48:P48" si="33">0.04*(1-10^(N36/20))/5</f>
        <v>-2.839717310393139E-3</v>
      </c>
      <c r="O48" s="229">
        <f t="shared" si="33"/>
        <v>-6.2714503112510922E-3</v>
      </c>
      <c r="P48" s="230">
        <f t="shared" si="33"/>
        <v>-1.2424938323358271E-2</v>
      </c>
      <c r="Q48" s="230">
        <f t="shared" ref="Q48" si="34">0.04*(1-10^(Q36/20))/5</f>
        <v>-2.3561793976233945E-2</v>
      </c>
      <c r="R48" s="33"/>
      <c r="S48" s="36"/>
      <c r="T48" s="36" t="s">
        <v>179</v>
      </c>
      <c r="U48" s="219"/>
      <c r="V48" s="219"/>
      <c r="W48" s="54"/>
      <c r="X48" s="212"/>
      <c r="Y48" s="303"/>
      <c r="Z48" s="303"/>
      <c r="AA48" s="303"/>
    </row>
    <row r="49" spans="1:22" ht="18" customHeight="1" x14ac:dyDescent="0.25">
      <c r="A49" s="13" t="s">
        <v>89</v>
      </c>
      <c r="B49" s="181">
        <f>B36+B48</f>
        <v>11.302599966738212</v>
      </c>
      <c r="C49" s="181">
        <f>C36+C48</f>
        <v>55.563102466334584</v>
      </c>
      <c r="D49" s="181">
        <f>D36+D48</f>
        <v>118.19354448572066</v>
      </c>
      <c r="E49" s="181">
        <f>E36+E48</f>
        <v>195.0077702624223</v>
      </c>
      <c r="F49" s="181">
        <f>F36+F48</f>
        <v>589.09245132552167</v>
      </c>
      <c r="G49" s="181"/>
      <c r="H49" s="182"/>
      <c r="I49" s="182"/>
      <c r="J49" t="s">
        <v>173</v>
      </c>
      <c r="K49" s="287" t="s">
        <v>103</v>
      </c>
      <c r="L49" s="177" t="s">
        <v>104</v>
      </c>
      <c r="M49" s="305">
        <f>M37</f>
        <v>0.02</v>
      </c>
      <c r="N49" s="305">
        <f>N37</f>
        <v>0.02</v>
      </c>
      <c r="O49" s="305">
        <f>O37</f>
        <v>0.02</v>
      </c>
      <c r="P49" s="305">
        <f>P37</f>
        <v>0.02</v>
      </c>
      <c r="Q49" s="305">
        <f>Q37</f>
        <v>0.02</v>
      </c>
      <c r="R49" s="4"/>
      <c r="S49" s="304"/>
      <c r="T49" s="303"/>
      <c r="U49" s="303"/>
    </row>
    <row r="50" spans="1:22" ht="18" customHeight="1" x14ac:dyDescent="0.25">
      <c r="A50" s="186" t="s">
        <v>120</v>
      </c>
      <c r="B50" s="187">
        <f t="shared" ref="B50:F51" si="35">B37</f>
        <v>0.10021931347797708</v>
      </c>
      <c r="C50" s="187">
        <f t="shared" si="35"/>
        <v>2.1597636314551836</v>
      </c>
      <c r="D50" s="187">
        <f t="shared" si="35"/>
        <v>2.9927493125348743</v>
      </c>
      <c r="E50" s="187">
        <f t="shared" si="35"/>
        <v>4.6277673706055111</v>
      </c>
      <c r="F50" s="187">
        <f t="shared" si="35"/>
        <v>15.285738431385685</v>
      </c>
      <c r="G50" s="187"/>
      <c r="H50" s="187"/>
      <c r="I50" s="187"/>
      <c r="J50" t="s">
        <v>178</v>
      </c>
      <c r="K50" s="13"/>
      <c r="L50" s="154" t="s">
        <v>105</v>
      </c>
      <c r="M50" s="218">
        <f>0.01/0.2*M38</f>
        <v>0.01</v>
      </c>
      <c r="N50" s="218">
        <f>0.01/0.2*N38</f>
        <v>0.01</v>
      </c>
      <c r="O50" s="218">
        <f>0.01/0.2*O38</f>
        <v>0.01</v>
      </c>
      <c r="P50" s="218">
        <f>0.01/0.2*P38</f>
        <v>0.01</v>
      </c>
      <c r="Q50" s="218">
        <f>0.01/0.2*Q38</f>
        <v>0.01</v>
      </c>
      <c r="R50" s="13"/>
    </row>
    <row r="51" spans="1:22" ht="18" customHeight="1" x14ac:dyDescent="0.25">
      <c r="A51" s="189"/>
      <c r="B51" s="146">
        <f t="shared" si="35"/>
        <v>8.8669256430296464E-3</v>
      </c>
      <c r="C51" s="146">
        <f t="shared" si="35"/>
        <v>3.8870465031425737E-2</v>
      </c>
      <c r="D51" s="146">
        <f t="shared" si="35"/>
        <v>2.5320751023728185E-2</v>
      </c>
      <c r="E51" s="146">
        <f t="shared" si="35"/>
        <v>2.3731194733306864E-2</v>
      </c>
      <c r="F51" s="146">
        <f t="shared" si="35"/>
        <v>2.5947944837845269E-2</v>
      </c>
      <c r="G51" s="146"/>
      <c r="H51" s="147"/>
      <c r="I51" s="147"/>
      <c r="K51" s="13"/>
      <c r="L51" s="169" t="s">
        <v>106</v>
      </c>
      <c r="M51" s="218">
        <f>0.01/0.04*M39</f>
        <v>2.5000000000000001E-2</v>
      </c>
      <c r="N51" s="218">
        <f>0.01/0.04*N39</f>
        <v>2.5000000000000001E-2</v>
      </c>
      <c r="O51" s="218">
        <f>0.01/0.04*O39</f>
        <v>2.5000000000000001E-2</v>
      </c>
      <c r="P51" s="218">
        <f>0.01/0.04*P39</f>
        <v>2.5000000000000001E-2</v>
      </c>
      <c r="Q51" s="218">
        <f>0.01/0.04*Q39</f>
        <v>2.5000000000000001E-2</v>
      </c>
      <c r="R51" s="13"/>
    </row>
    <row r="52" spans="1:22" ht="18" customHeight="1" x14ac:dyDescent="0.25">
      <c r="A52" s="190" t="s">
        <v>123</v>
      </c>
      <c r="B52" s="143">
        <f t="shared" ref="B52:F53" si="36">B39/(1.1*3^0.5)</f>
        <v>0.55551107890157703</v>
      </c>
      <c r="C52" s="143">
        <f t="shared" si="36"/>
        <v>0.86484975072278025</v>
      </c>
      <c r="D52" s="143">
        <f t="shared" si="36"/>
        <v>1.6589144451476721</v>
      </c>
      <c r="E52" s="143">
        <f t="shared" si="36"/>
        <v>3.195842645411842</v>
      </c>
      <c r="F52" s="143">
        <f t="shared" si="36"/>
        <v>12.154586946207996</v>
      </c>
      <c r="G52" s="143"/>
      <c r="H52" s="143"/>
      <c r="I52" s="143"/>
      <c r="K52" s="13"/>
      <c r="L52" s="154" t="s">
        <v>109</v>
      </c>
      <c r="M52" s="38">
        <f>4.34*(2*PI()*M31/M35*M40*M42*1000)^2*(B32^2-B31^2)</f>
        <v>2.1852520831719028E-4</v>
      </c>
      <c r="N52" s="38">
        <f>4.34*(2*PI()*N31/N35*N40*N42*1000)^2*(C32^2-C31^2)</f>
        <v>1.7503927384410302E-3</v>
      </c>
      <c r="O52" s="38">
        <f>4.34*(2*PI()*O31/O35*O40*O42*1000)^2*(D32^2-D31^2)</f>
        <v>4.4852191916138354E-3</v>
      </c>
      <c r="P52" s="38">
        <f>4.34*(2*PI()*P31/P35*P40*P42*1000)^2*(E32^2-E31^2)</f>
        <v>3.5084740770730117E-3</v>
      </c>
      <c r="Q52" s="38">
        <f>4.34*(2*PI()*Q31/Q35*Q40*Q42*1000)^2*(F32^2-F31^2)</f>
        <v>3.3713058693937343E-3</v>
      </c>
      <c r="R52" s="13"/>
    </row>
    <row r="53" spans="1:22" ht="18" customHeight="1" x14ac:dyDescent="0.25">
      <c r="A53" s="189"/>
      <c r="B53" s="146">
        <f t="shared" si="36"/>
        <v>4.9148964002650661E-2</v>
      </c>
      <c r="C53" s="146">
        <f t="shared" si="36"/>
        <v>1.5565181070419683E-2</v>
      </c>
      <c r="D53" s="146">
        <f t="shared" si="36"/>
        <v>1.4035575736101992E-2</v>
      </c>
      <c r="E53" s="146">
        <f t="shared" si="36"/>
        <v>1.6388283611012994E-2</v>
      </c>
      <c r="F53" s="146">
        <f t="shared" si="36"/>
        <v>2.063273246645558E-2</v>
      </c>
      <c r="G53" s="146"/>
      <c r="H53" s="147"/>
      <c r="I53" s="147"/>
      <c r="K53" s="13"/>
      <c r="L53" s="154" t="s">
        <v>111</v>
      </c>
      <c r="M53" s="38">
        <f>(M43*M45+M44*M45)*2*M32/1000*(B32-B31)</f>
        <v>7.992927999999999E-4</v>
      </c>
      <c r="N53" s="38">
        <f>(N43*N45+N44*N45)*2*N32/1000*(C32-C31)</f>
        <v>2.0781612800000004E-3</v>
      </c>
      <c r="O53" s="38">
        <f>(O43*O45+O44*O45)*2*O32/1000*(D32-D31)</f>
        <v>3.2771004800000009E-3</v>
      </c>
      <c r="P53" s="38">
        <f>(P43*P45+P44*P45)*2*P32/1000*(E32-E31)</f>
        <v>3.2771004800000009E-3</v>
      </c>
      <c r="Q53" s="38">
        <f>(Q43*Q45+Q44*Q45)*2*Q32/1000*(F32-F31)</f>
        <v>1.6385502400000005E-3</v>
      </c>
      <c r="R53" s="13"/>
    </row>
    <row r="54" spans="1:22" ht="18" customHeight="1" x14ac:dyDescent="0.25">
      <c r="A54" s="190" t="s">
        <v>123</v>
      </c>
      <c r="B54" s="143">
        <f>B36*(B51^2+B53^2)^0.5</f>
        <v>0.56447893634429891</v>
      </c>
      <c r="C54" s="143">
        <f>C36*(C51^2+C53^2)^0.5</f>
        <v>2.3264874887008822</v>
      </c>
      <c r="D54" s="143">
        <f>D36*(D51^2+D53^2)^0.5</f>
        <v>3.4217752094486822</v>
      </c>
      <c r="E54" s="143">
        <f>E36*(E51^2+E53^2)^0.5</f>
        <v>5.6240235641997458</v>
      </c>
      <c r="F54" s="143">
        <f>F36*(F51^2+F53^2)^0.5</f>
        <v>19.529152137910931</v>
      </c>
      <c r="G54" s="143"/>
      <c r="H54" s="143"/>
      <c r="I54" s="143"/>
      <c r="K54" s="13"/>
      <c r="L54" s="154" t="s">
        <v>113</v>
      </c>
      <c r="M54" s="38">
        <f>2/1000*M31*M46</f>
        <v>1E-3</v>
      </c>
      <c r="N54" s="38">
        <f>2/1000*N31*N46</f>
        <v>2E-3</v>
      </c>
      <c r="O54" s="38">
        <f>2/1000*O31*O46</f>
        <v>3.2000000000000002E-3</v>
      </c>
      <c r="P54" s="38">
        <f>2/1000*P31*P46</f>
        <v>4.0000000000000001E-3</v>
      </c>
      <c r="Q54" s="38">
        <f>2/1000*Q31*Q46</f>
        <v>6.4000000000000003E-3</v>
      </c>
      <c r="R54" s="237"/>
      <c r="S54" s="78"/>
      <c r="T54" s="78"/>
      <c r="U54" s="78"/>
      <c r="V54" s="78"/>
    </row>
    <row r="55" spans="1:22" ht="18" customHeight="1" x14ac:dyDescent="0.25">
      <c r="A55" s="189"/>
      <c r="B55" s="146">
        <f t="shared" ref="B55:E55" si="37">(B51^2+B53^2)^0.5</f>
        <v>4.994239714804314E-2</v>
      </c>
      <c r="C55" s="146">
        <f t="shared" si="37"/>
        <v>4.1871086844196465E-2</v>
      </c>
      <c r="D55" s="146">
        <f t="shared" si="37"/>
        <v>2.8950609987519898E-2</v>
      </c>
      <c r="E55" s="146">
        <f t="shared" si="37"/>
        <v>2.8839997281295444E-2</v>
      </c>
      <c r="F55" s="146">
        <f t="shared" ref="F55" si="38">(F51^2+F53^2)^0.5</f>
        <v>3.3151251716039186E-2</v>
      </c>
      <c r="G55" s="146"/>
      <c r="H55" s="147"/>
      <c r="I55" s="147"/>
      <c r="K55" s="13"/>
      <c r="L55" s="154" t="s">
        <v>170</v>
      </c>
      <c r="M55" s="218">
        <f>20*LOG10((1+2*M48))</f>
        <v>-1.8759741060634706E-2</v>
      </c>
      <c r="N55" s="218">
        <f t="shared" ref="N55:P55" si="39">20*LOG10((1+2*N48))</f>
        <v>-4.9471560929149068E-2</v>
      </c>
      <c r="O55" s="218">
        <f t="shared" si="39"/>
        <v>-0.10963526913576603</v>
      </c>
      <c r="P55" s="218">
        <f t="shared" si="39"/>
        <v>-0.21857039936022532</v>
      </c>
      <c r="Q55" s="218">
        <f t="shared" ref="Q55" si="40">20*LOG10((1+2*Q48))</f>
        <v>-0.41926847299136161</v>
      </c>
      <c r="R55" s="228"/>
      <c r="S55" s="219"/>
      <c r="T55" s="219" t="s">
        <v>180</v>
      </c>
      <c r="U55" s="219"/>
      <c r="V55" s="219"/>
    </row>
    <row r="56" spans="1:22" ht="18" customHeight="1" x14ac:dyDescent="0.25">
      <c r="A56" s="191"/>
      <c r="B56" s="192">
        <f>B55^4/(B4^4/(B5-1)+B30^4/(B28-1))</f>
        <v>211372.35456401503</v>
      </c>
      <c r="C56" s="192">
        <f>C55^4/(C4^4/(C5-1)+C30^4/(C28-1))</f>
        <v>16.104507321449905</v>
      </c>
      <c r="D56" s="192">
        <f>D55^4/(D4^4/(D5-1)+D30^4/(D28-1))</f>
        <v>13.159145835148161</v>
      </c>
      <c r="E56" s="192">
        <f>E55^4/(E4^4/(E5-1)+E30^4/(E28-1))</f>
        <v>15.586291807562136</v>
      </c>
      <c r="F56" s="192">
        <f>F55^4/(F4^4/(F5-1)+F30^4/(F28-1))</f>
        <v>16.816524463053771</v>
      </c>
      <c r="G56" s="192"/>
      <c r="H56" s="192"/>
      <c r="I56" s="192"/>
      <c r="K56" s="31"/>
      <c r="L56" s="179" t="s">
        <v>116</v>
      </c>
      <c r="M56" s="180">
        <f>M36*M47/M32/1000</f>
        <v>1.0996764527189081E-4</v>
      </c>
      <c r="N56" s="180">
        <f>N36*N47/N32/1000</f>
        <v>2.6408939375910048E-4</v>
      </c>
      <c r="O56" s="180">
        <f>O36*O47/O32/1000</f>
        <v>5.0320107532016427E-4</v>
      </c>
      <c r="P56" s="180">
        <f>P36*P47/P32/1000</f>
        <v>8.148618714684194E-4</v>
      </c>
      <c r="Q56" s="180">
        <f>Q36*Q47/Q32/1000</f>
        <v>1.1931981743832547E-3</v>
      </c>
      <c r="R56" s="238"/>
      <c r="S56" s="216"/>
      <c r="T56" s="216"/>
      <c r="U56" s="216"/>
      <c r="V56" s="216"/>
    </row>
    <row r="57" spans="1:22" ht="18" customHeight="1" x14ac:dyDescent="0.25">
      <c r="A57" s="191"/>
      <c r="B57" s="193">
        <v>2</v>
      </c>
      <c r="C57" s="193">
        <v>2</v>
      </c>
      <c r="D57" s="193">
        <v>2</v>
      </c>
      <c r="E57" s="193">
        <v>2</v>
      </c>
      <c r="F57" s="193">
        <v>2</v>
      </c>
      <c r="G57" s="193"/>
      <c r="H57" s="193"/>
      <c r="I57" s="193"/>
      <c r="L57" s="183" t="s">
        <v>117</v>
      </c>
      <c r="M57" s="184">
        <f>(SUMSQ(M49:M56))^0.5</f>
        <v>3.8452914061119899E-2</v>
      </c>
      <c r="N57" s="184">
        <f t="shared" ref="N57:P57" si="41">(SUMSQ(N49:N56))^0.5</f>
        <v>5.9865580369849278E-2</v>
      </c>
      <c r="O57" s="184">
        <f t="shared" si="41"/>
        <v>0.11483136343589627</v>
      </c>
      <c r="P57" s="184">
        <f t="shared" si="41"/>
        <v>0.22121874299946528</v>
      </c>
      <c r="Q57" s="184">
        <f t="shared" ref="Q57" si="42">(SUMSQ(Q49:Q56))^0.5</f>
        <v>0.4206750369543521</v>
      </c>
      <c r="R57" s="236"/>
      <c r="S57" s="78"/>
      <c r="T57" s="78"/>
      <c r="U57" s="78"/>
      <c r="V57" s="78"/>
    </row>
    <row r="58" spans="1:22" ht="18" customHeight="1" x14ac:dyDescent="0.25">
      <c r="A58" s="191" t="s">
        <v>129</v>
      </c>
      <c r="B58" s="136">
        <f t="shared" ref="B58:E58" si="43">B54*B57</f>
        <v>1.1289578726885978</v>
      </c>
      <c r="C58" s="136">
        <f t="shared" si="43"/>
        <v>4.6529749774017644</v>
      </c>
      <c r="D58" s="136">
        <f t="shared" si="43"/>
        <v>6.8435504188973644</v>
      </c>
      <c r="E58" s="136">
        <f t="shared" si="43"/>
        <v>11.248047128399492</v>
      </c>
      <c r="F58" s="136">
        <f t="shared" ref="F58" si="44">F54*F57</f>
        <v>39.058304275821861</v>
      </c>
      <c r="G58" s="136"/>
      <c r="H58" s="136"/>
      <c r="I58" s="136"/>
      <c r="L58" s="31" t="s">
        <v>118</v>
      </c>
      <c r="M58" s="31">
        <v>1.1000000000000001</v>
      </c>
      <c r="N58" s="31">
        <f>M58</f>
        <v>1.1000000000000001</v>
      </c>
      <c r="O58" s="31">
        <v>1.1000000000000001</v>
      </c>
      <c r="P58" s="31">
        <f>O58</f>
        <v>1.1000000000000001</v>
      </c>
      <c r="Q58" s="31">
        <f>P58</f>
        <v>1.1000000000000001</v>
      </c>
      <c r="R58" s="7"/>
      <c r="S58" s="36"/>
      <c r="T58" s="36"/>
      <c r="U58" s="36"/>
      <c r="V58" s="36"/>
    </row>
    <row r="59" spans="1:22" ht="18" customHeight="1" x14ac:dyDescent="0.25">
      <c r="A59" s="195"/>
      <c r="B59" s="146">
        <f t="shared" ref="B59:E59" si="45">B55*B57</f>
        <v>9.9884794296086279E-2</v>
      </c>
      <c r="C59" s="146">
        <f t="shared" si="45"/>
        <v>8.3742173688392929E-2</v>
      </c>
      <c r="D59" s="146">
        <f t="shared" si="45"/>
        <v>5.7901219975039796E-2</v>
      </c>
      <c r="E59" s="146">
        <f t="shared" si="45"/>
        <v>5.7679994562590889E-2</v>
      </c>
      <c r="F59" s="146">
        <f t="shared" ref="F59" si="46">F55*F57</f>
        <v>6.6302503432078372E-2</v>
      </c>
      <c r="G59" s="146"/>
      <c r="H59" s="146"/>
      <c r="I59" s="147"/>
      <c r="L59" s="169" t="s">
        <v>119</v>
      </c>
      <c r="M59" s="166">
        <f>M58*M57</f>
        <v>4.2298205467231891E-2</v>
      </c>
      <c r="N59" s="166">
        <f t="shared" ref="N59:P59" si="47">N58*N57</f>
        <v>6.585213840683421E-2</v>
      </c>
      <c r="O59" s="166">
        <f t="shared" si="47"/>
        <v>0.12631449977948592</v>
      </c>
      <c r="P59" s="182">
        <f t="shared" si="47"/>
        <v>0.24334061729941184</v>
      </c>
      <c r="Q59" s="182">
        <f t="shared" ref="Q59" si="48">Q58*Q57</f>
        <v>0.46274254064978737</v>
      </c>
      <c r="R59" s="239"/>
      <c r="S59" s="213"/>
      <c r="T59" s="213"/>
      <c r="U59" s="213"/>
      <c r="V59" s="213"/>
    </row>
    <row r="60" spans="1:22" ht="18" customHeight="1" x14ac:dyDescent="0.25">
      <c r="A60" s="1" t="s">
        <v>1</v>
      </c>
      <c r="B60" s="293">
        <v>5</v>
      </c>
      <c r="C60" s="294">
        <v>10</v>
      </c>
      <c r="D60" s="293">
        <v>16</v>
      </c>
      <c r="E60" s="294">
        <v>20</v>
      </c>
      <c r="F60" s="294">
        <v>32</v>
      </c>
      <c r="L60" s="188" t="s">
        <v>121</v>
      </c>
      <c r="M60" s="150">
        <f>M59/M36</f>
        <v>3.8498260156088544E-2</v>
      </c>
      <c r="N60" s="150">
        <f>N59/C35</f>
        <v>2.9655652887273839E-2</v>
      </c>
      <c r="O60" s="150">
        <f>O59/D35</f>
        <v>2.6741363317250549E-2</v>
      </c>
      <c r="P60" s="150">
        <f>P59/E35</f>
        <v>3.1223873849435133E-2</v>
      </c>
      <c r="Q60" s="150">
        <f>Q59/F35</f>
        <v>3.9310635023964688E-2</v>
      </c>
      <c r="R60" s="240"/>
      <c r="S60" s="215"/>
      <c r="T60" s="215"/>
      <c r="U60" s="215"/>
      <c r="V60" s="215"/>
    </row>
    <row r="61" spans="1:22" ht="18" customHeight="1" x14ac:dyDescent="0.25">
      <c r="L61" s="169" t="s">
        <v>122</v>
      </c>
      <c r="M61" s="166">
        <f>M59/(2*M32/1000*M34)</f>
        <v>1.0583907541074282</v>
      </c>
      <c r="N61" s="166">
        <f>N59/(2*N32/1000*N34)</f>
        <v>1.6477600800816472</v>
      </c>
      <c r="O61" s="166">
        <f>O59/(2*O32/1000*O34)</f>
        <v>3.1606565148462717</v>
      </c>
      <c r="P61" s="166">
        <f>P59/(2*P32/1000*P34)</f>
        <v>6.0888980183335022</v>
      </c>
      <c r="Q61" s="166">
        <f>Q59/(2*Q32/1000*Q34)</f>
        <v>23.157598349430263</v>
      </c>
      <c r="R61" s="242"/>
      <c r="S61" s="213"/>
      <c r="T61" s="213"/>
      <c r="U61" s="213"/>
      <c r="V61" s="213"/>
    </row>
    <row r="62" spans="1:22" ht="18" customHeight="1" x14ac:dyDescent="0.25">
      <c r="L62" s="188" t="s">
        <v>121</v>
      </c>
      <c r="M62" s="196">
        <f>M61/B36</f>
        <v>9.364135307116124E-2</v>
      </c>
      <c r="N62" s="196">
        <f>N61/C36</f>
        <v>2.9655652887273835E-2</v>
      </c>
      <c r="O62" s="196">
        <f>O61/D36</f>
        <v>2.6741363317250553E-2</v>
      </c>
      <c r="P62" s="196">
        <f>P61/E36</f>
        <v>3.1223873849435136E-2</v>
      </c>
      <c r="Q62" s="196">
        <f>Q61/F36</f>
        <v>3.9310635023964681E-2</v>
      </c>
      <c r="R62" s="241"/>
      <c r="S62" s="33" t="s">
        <v>174</v>
      </c>
      <c r="T62" s="217"/>
      <c r="U62" s="217"/>
      <c r="V62" s="217"/>
    </row>
    <row r="63" spans="1:22" ht="18" customHeight="1" x14ac:dyDescent="0.25">
      <c r="L63" s="169" t="s">
        <v>124</v>
      </c>
      <c r="M63" s="244">
        <f t="shared" ref="M63:Q64" si="49">B37</f>
        <v>0.10021931347797708</v>
      </c>
      <c r="N63" s="244">
        <f t="shared" si="49"/>
        <v>2.1597636314551836</v>
      </c>
      <c r="O63" s="244">
        <f t="shared" si="49"/>
        <v>2.9927493125348743</v>
      </c>
      <c r="P63" s="244">
        <f t="shared" si="49"/>
        <v>4.6277673706055111</v>
      </c>
      <c r="Q63" s="244">
        <f t="shared" si="49"/>
        <v>15.285738431385685</v>
      </c>
      <c r="R63" s="239"/>
      <c r="S63" s="213"/>
      <c r="T63" s="213"/>
      <c r="U63" s="224"/>
      <c r="V63" s="213"/>
    </row>
    <row r="64" spans="1:22" ht="18" customHeight="1" x14ac:dyDescent="0.25">
      <c r="L64" s="169" t="s">
        <v>125</v>
      </c>
      <c r="M64" s="38">
        <f t="shared" si="49"/>
        <v>8.8669256430296464E-3</v>
      </c>
      <c r="N64" s="38">
        <f t="shared" si="49"/>
        <v>3.8870465031425737E-2</v>
      </c>
      <c r="O64" s="38">
        <f t="shared" si="49"/>
        <v>2.5320751023728185E-2</v>
      </c>
      <c r="P64" s="38">
        <f t="shared" si="49"/>
        <v>2.3731194733306864E-2</v>
      </c>
      <c r="Q64" s="38">
        <f t="shared" si="49"/>
        <v>2.5947944837845269E-2</v>
      </c>
      <c r="R64" s="237"/>
      <c r="S64" s="78"/>
      <c r="T64" s="78"/>
      <c r="U64" s="219"/>
      <c r="V64" s="78"/>
    </row>
    <row r="65" spans="1:25" ht="18" customHeight="1" x14ac:dyDescent="0.25">
      <c r="L65" s="169" t="s">
        <v>126</v>
      </c>
      <c r="M65" s="13">
        <v>2.57</v>
      </c>
      <c r="N65" s="13">
        <v>2.57</v>
      </c>
      <c r="O65" s="13">
        <v>2.57</v>
      </c>
      <c r="P65" s="13">
        <v>2.57</v>
      </c>
      <c r="Q65" s="13">
        <v>2.57</v>
      </c>
      <c r="R65" s="30"/>
      <c r="S65" s="36"/>
      <c r="T65" s="36"/>
      <c r="U65" s="200"/>
      <c r="V65" s="36"/>
    </row>
    <row r="66" spans="1:25" ht="18" customHeight="1" x14ac:dyDescent="0.25">
      <c r="L66" s="169" t="s">
        <v>127</v>
      </c>
      <c r="M66" s="39">
        <f t="shared" ref="M66:P66" si="50">(M65*M63+M61)/(M63+M61/M58/3^0.5)</f>
        <v>2.0068528240248473</v>
      </c>
      <c r="N66" s="39">
        <f t="shared" si="50"/>
        <v>2.3799248708402123</v>
      </c>
      <c r="O66" s="39">
        <f>(O65*O63+O61)/(O63+O61/O58/3^0.5)</f>
        <v>2.3329335079600346</v>
      </c>
      <c r="P66" s="39">
        <f t="shared" si="50"/>
        <v>2.2984607008752236</v>
      </c>
      <c r="Q66" s="39">
        <f t="shared" ref="Q66" si="51">(Q65*Q63+Q61)/(Q63+Q61/Q58/3^0.5)</f>
        <v>2.2755541437230282</v>
      </c>
      <c r="R66" s="70"/>
      <c r="S66" s="69"/>
      <c r="T66" s="69"/>
      <c r="U66" s="81"/>
      <c r="V66" s="69"/>
    </row>
    <row r="67" spans="1:25" ht="18" customHeight="1" x14ac:dyDescent="0.25">
      <c r="L67" s="169" t="s">
        <v>128</v>
      </c>
      <c r="M67" s="39">
        <f>(M63^2+M61^2/M58^2/3)^0.5</f>
        <v>0.56447893634429891</v>
      </c>
      <c r="N67" s="39">
        <f>(N63^2+N61^2/N58^2/3)^0.5</f>
        <v>2.3264874887008822</v>
      </c>
      <c r="O67" s="39">
        <f>(O63^2+O61^2/O58^2/3)^0.5</f>
        <v>3.4217752094486817</v>
      </c>
      <c r="P67" s="39">
        <f>(P63^2+P61^2/P58^2/3)^0.5</f>
        <v>5.6240235641997449</v>
      </c>
      <c r="Q67" s="39">
        <f>(Q63^2+Q61^2/Q58^2/3)^0.5</f>
        <v>19.529152137910931</v>
      </c>
      <c r="R67" s="70"/>
      <c r="S67" s="69"/>
      <c r="T67" s="69"/>
      <c r="U67" s="81"/>
      <c r="V67" s="69"/>
    </row>
    <row r="68" spans="1:25" ht="18" customHeight="1" x14ac:dyDescent="0.25">
      <c r="L68" s="188" t="s">
        <v>130</v>
      </c>
      <c r="M68" s="194">
        <f>M67/B36</f>
        <v>4.9942397148043133E-2</v>
      </c>
      <c r="N68" s="194">
        <f>N67/C36</f>
        <v>4.1871086844196465E-2</v>
      </c>
      <c r="O68" s="194">
        <f>O67/D36</f>
        <v>2.8950609987519894E-2</v>
      </c>
      <c r="P68" s="185">
        <f>P67/E36</f>
        <v>2.8839997281295441E-2</v>
      </c>
      <c r="Q68" s="185">
        <f>Q67/F36</f>
        <v>3.3151251716039186E-2</v>
      </c>
      <c r="R68" s="237"/>
      <c r="S68" s="78"/>
      <c r="T68" s="78"/>
      <c r="U68" s="219"/>
      <c r="V68" s="78"/>
      <c r="W68" s="36"/>
    </row>
    <row r="69" spans="1:25" ht="18" customHeight="1" x14ac:dyDescent="0.25">
      <c r="L69" s="154" t="s">
        <v>131</v>
      </c>
      <c r="M69" s="166">
        <f>M66*M67</f>
        <v>1.1328261475050982</v>
      </c>
      <c r="N69" s="166">
        <f t="shared" ref="N69:P69" si="52">N66*N67</f>
        <v>5.5368654360578171</v>
      </c>
      <c r="O69" s="166">
        <f t="shared" si="52"/>
        <v>7.9827740428297957</v>
      </c>
      <c r="P69" s="166">
        <f t="shared" si="52"/>
        <v>12.926597143109319</v>
      </c>
      <c r="Q69" s="166">
        <f t="shared" ref="Q69" si="53">Q66*Q67</f>
        <v>44.439643070820651</v>
      </c>
      <c r="R69" s="242"/>
      <c r="S69" s="213"/>
      <c r="T69" s="213"/>
      <c r="U69" s="224"/>
      <c r="V69" s="213"/>
    </row>
    <row r="70" spans="1:25" ht="18" customHeight="1" x14ac:dyDescent="0.25">
      <c r="A70" s="200"/>
      <c r="B70" s="36"/>
      <c r="C70" s="36"/>
      <c r="D70" s="36"/>
      <c r="E70" s="36"/>
      <c r="F70" s="36"/>
      <c r="G70" s="36"/>
      <c r="H70" s="36"/>
      <c r="I70" s="36"/>
      <c r="J70" s="36"/>
      <c r="K70" s="30"/>
      <c r="L70" s="199" t="s">
        <v>132</v>
      </c>
      <c r="M70" s="196">
        <f>M66*M68</f>
        <v>0.10022704075512084</v>
      </c>
      <c r="N70" s="196">
        <f t="shared" ref="N70:P70" si="54">N66*N68</f>
        <v>9.9650040949613578E-2</v>
      </c>
      <c r="O70" s="196">
        <f t="shared" si="54"/>
        <v>6.7539848115767603E-2</v>
      </c>
      <c r="P70" s="196">
        <f t="shared" si="54"/>
        <v>6.6287600364405869E-2</v>
      </c>
      <c r="Q70" s="196">
        <f t="shared" ref="Q70" si="55">Q66*Q68</f>
        <v>7.5437468212038117E-2</v>
      </c>
      <c r="R70" s="241"/>
      <c r="S70" s="33" t="s">
        <v>174</v>
      </c>
      <c r="T70" s="217"/>
      <c r="U70" s="217"/>
      <c r="V70" s="217"/>
    </row>
    <row r="71" spans="1:25" ht="18" customHeight="1" x14ac:dyDescent="0.25">
      <c r="A71" s="201"/>
      <c r="B71" s="74"/>
      <c r="C71" s="74"/>
      <c r="D71" s="74"/>
      <c r="E71" s="74"/>
      <c r="F71" s="74"/>
      <c r="G71" s="36"/>
      <c r="H71" s="36"/>
      <c r="I71" s="36"/>
      <c r="J71" s="36"/>
      <c r="K71" s="30"/>
      <c r="L71" s="33" t="s">
        <v>133</v>
      </c>
      <c r="M71" s="197">
        <f>B36</f>
        <v>11.302599966738212</v>
      </c>
      <c r="N71" s="197">
        <f>C36</f>
        <v>55.563102466334584</v>
      </c>
      <c r="O71" s="197">
        <f>D36</f>
        <v>118.19354448572066</v>
      </c>
      <c r="P71" s="197">
        <f>E36</f>
        <v>195.0077702624223</v>
      </c>
      <c r="Q71" s="197">
        <f>F36</f>
        <v>589.09245132552167</v>
      </c>
      <c r="R71" s="243"/>
      <c r="S71" s="79"/>
      <c r="T71" s="79"/>
      <c r="U71" s="82"/>
      <c r="V71" s="79"/>
    </row>
    <row r="72" spans="1:25" ht="18" customHeight="1" x14ac:dyDescent="0.25">
      <c r="A72" s="201"/>
      <c r="B72" s="131"/>
      <c r="C72" s="131"/>
      <c r="D72" s="131"/>
      <c r="E72" s="131"/>
      <c r="F72" s="131"/>
      <c r="G72" s="69"/>
      <c r="H72" s="69"/>
      <c r="I72" s="36"/>
      <c r="J72" s="36"/>
      <c r="K72" s="36"/>
      <c r="L72" s="212"/>
      <c r="M72" s="54"/>
      <c r="N72" s="54"/>
      <c r="O72" s="54"/>
      <c r="P72" s="142"/>
      <c r="U72" s="225"/>
      <c r="V72" s="200"/>
      <c r="W72" s="54"/>
      <c r="X72" s="54"/>
      <c r="Y72" s="54"/>
    </row>
    <row r="73" spans="1:25" ht="18" customHeight="1" x14ac:dyDescent="0.25">
      <c r="A73" s="200"/>
      <c r="B73" s="76"/>
      <c r="C73" s="76"/>
      <c r="D73" s="76"/>
      <c r="E73" s="76"/>
      <c r="F73" s="76"/>
      <c r="G73" s="202"/>
      <c r="H73" s="202"/>
      <c r="I73" s="36"/>
      <c r="J73" s="36"/>
      <c r="K73" s="36"/>
      <c r="L73" s="198"/>
      <c r="M73" s="200"/>
      <c r="N73" s="200"/>
      <c r="O73" s="200"/>
      <c r="P73" s="36"/>
      <c r="Q73" s="36"/>
      <c r="R73" s="36"/>
      <c r="S73" s="36"/>
      <c r="T73" s="36"/>
      <c r="U73" s="36"/>
      <c r="V73" s="36"/>
      <c r="W73" s="36"/>
    </row>
    <row r="74" spans="1:25" ht="18" customHeight="1" x14ac:dyDescent="0.25">
      <c r="A74" s="36"/>
      <c r="B74" s="17"/>
      <c r="C74" s="17"/>
      <c r="D74" s="17"/>
      <c r="E74" s="17"/>
      <c r="F74" s="204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</row>
    <row r="75" spans="1:25" ht="18" customHeight="1" x14ac:dyDescent="0.25">
      <c r="A75" s="36"/>
      <c r="B75" s="69"/>
      <c r="C75" s="69"/>
      <c r="D75" s="69"/>
      <c r="E75" s="69"/>
      <c r="F75" s="69"/>
      <c r="G75" s="69"/>
      <c r="H75" s="69"/>
      <c r="I75" s="69"/>
      <c r="J75" s="36"/>
      <c r="K75" s="36"/>
      <c r="L75" s="36"/>
      <c r="M75" s="36"/>
      <c r="N75" s="36"/>
      <c r="O75" s="36"/>
      <c r="P75" s="80"/>
      <c r="Q75" s="36"/>
      <c r="R75" s="36"/>
      <c r="S75" s="36"/>
      <c r="T75" s="36"/>
      <c r="U75" s="36"/>
      <c r="V75" s="36"/>
      <c r="W75" s="36"/>
    </row>
    <row r="76" spans="1:25" ht="18" customHeight="1" x14ac:dyDescent="0.25">
      <c r="A76" s="36"/>
      <c r="B76" s="69"/>
      <c r="C76" s="69"/>
      <c r="D76" s="69"/>
      <c r="E76" s="69"/>
      <c r="F76" s="202"/>
      <c r="G76" s="202"/>
      <c r="H76" s="202"/>
      <c r="I76" s="202"/>
      <c r="J76" s="36"/>
      <c r="K76" s="36"/>
      <c r="L76" s="36"/>
      <c r="M76" s="36"/>
      <c r="N76" s="36"/>
      <c r="O76" s="36"/>
      <c r="P76" s="198"/>
      <c r="Q76" s="36"/>
      <c r="R76" s="36"/>
      <c r="S76" s="36"/>
      <c r="T76" s="36"/>
      <c r="U76" s="36"/>
      <c r="V76" s="36"/>
      <c r="W76" s="36"/>
    </row>
    <row r="77" spans="1:25" ht="18" customHeight="1" x14ac:dyDescent="0.25">
      <c r="A77" s="36"/>
      <c r="B77" s="69"/>
      <c r="C77" s="69"/>
      <c r="D77" s="69"/>
      <c r="E77" s="69"/>
      <c r="F77" s="69"/>
      <c r="G77" s="69"/>
      <c r="H77" s="69"/>
      <c r="I77" s="69"/>
      <c r="J77" s="36"/>
      <c r="K77" s="36"/>
      <c r="L77" s="205"/>
      <c r="M77" s="36"/>
      <c r="N77" s="36"/>
      <c r="O77" s="36"/>
      <c r="P77" s="198"/>
      <c r="Q77" s="80"/>
      <c r="R77" s="36"/>
      <c r="S77" s="36"/>
      <c r="T77" s="36"/>
      <c r="U77" s="36"/>
      <c r="V77" s="36"/>
      <c r="W77" s="36"/>
    </row>
    <row r="78" spans="1:25" ht="18" customHeight="1" x14ac:dyDescent="0.25">
      <c r="A78" s="36"/>
      <c r="B78" s="69"/>
      <c r="C78" s="69"/>
      <c r="D78" s="69"/>
      <c r="E78" s="69"/>
      <c r="F78" s="202"/>
      <c r="G78" s="202"/>
      <c r="H78" s="202"/>
      <c r="I78" s="202"/>
      <c r="J78" s="36"/>
      <c r="K78" s="36"/>
      <c r="L78" s="36"/>
      <c r="M78" s="36"/>
      <c r="N78" s="36"/>
      <c r="O78" s="36"/>
      <c r="P78" s="206"/>
      <c r="Q78" s="68"/>
      <c r="R78" s="36"/>
      <c r="S78" s="36"/>
      <c r="T78" s="36"/>
      <c r="U78" s="36"/>
      <c r="V78" s="36"/>
      <c r="W78" s="36"/>
    </row>
    <row r="79" spans="1:25" ht="18" customHeight="1" x14ac:dyDescent="0.25">
      <c r="A79" s="36"/>
      <c r="B79" s="203"/>
      <c r="C79" s="203"/>
      <c r="D79" s="203"/>
      <c r="E79" s="203"/>
      <c r="F79" s="203"/>
      <c r="G79" s="203"/>
      <c r="H79" s="203"/>
      <c r="I79" s="203"/>
      <c r="J79" s="36"/>
      <c r="K79" s="36"/>
      <c r="L79" s="80"/>
      <c r="M79" s="36"/>
      <c r="N79" s="36"/>
      <c r="O79" s="36"/>
      <c r="P79" s="206"/>
      <c r="Q79" s="68"/>
      <c r="R79" s="36"/>
      <c r="S79" s="36"/>
      <c r="T79" s="36"/>
      <c r="U79" s="36"/>
      <c r="V79" s="36"/>
      <c r="W79" s="36"/>
    </row>
    <row r="80" spans="1:25" ht="18" customHeight="1" x14ac:dyDescent="0.25">
      <c r="A80" s="36"/>
      <c r="B80" s="203"/>
      <c r="C80" s="203"/>
      <c r="D80" s="203"/>
      <c r="E80" s="203"/>
      <c r="F80" s="203"/>
      <c r="G80" s="203"/>
      <c r="H80" s="203"/>
      <c r="I80" s="203"/>
      <c r="J80" s="36"/>
      <c r="K80" s="36"/>
      <c r="L80" s="36"/>
      <c r="M80" s="36"/>
      <c r="N80" s="36"/>
      <c r="O80" s="36"/>
      <c r="P80" s="206"/>
      <c r="Q80" s="68"/>
      <c r="R80" s="36"/>
      <c r="S80" s="36"/>
      <c r="T80" s="36"/>
      <c r="U80" s="36"/>
      <c r="V80" s="36"/>
      <c r="W80" s="36"/>
    </row>
    <row r="81" spans="1:23" ht="18" customHeight="1" x14ac:dyDescent="0.25">
      <c r="A81" s="200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206"/>
      <c r="Q81" s="68"/>
      <c r="R81" s="36"/>
      <c r="S81" s="36"/>
      <c r="T81" s="36"/>
      <c r="U81" s="36"/>
      <c r="V81" s="36"/>
      <c r="W81" s="36"/>
    </row>
    <row r="82" spans="1:23" ht="18" customHeight="1" x14ac:dyDescent="0.25"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</row>
    <row r="83" spans="1:23" ht="18" customHeight="1" x14ac:dyDescent="0.25"/>
    <row r="84" spans="1:23" ht="18" customHeight="1" x14ac:dyDescent="0.25"/>
    <row r="85" spans="1:23" ht="18" customHeight="1" x14ac:dyDescent="0.25"/>
    <row r="86" spans="1:23" ht="18" customHeight="1" x14ac:dyDescent="0.25"/>
    <row r="87" spans="1:23" ht="18" customHeight="1" x14ac:dyDescent="0.25"/>
    <row r="88" spans="1:23" ht="18" customHeight="1" x14ac:dyDescent="0.25"/>
    <row r="89" spans="1:23" ht="18" customHeight="1" x14ac:dyDescent="0.25"/>
    <row r="90" spans="1:23" ht="18" customHeight="1" x14ac:dyDescent="0.25"/>
    <row r="91" spans="1:23" ht="18" customHeight="1" x14ac:dyDescent="0.25"/>
    <row r="92" spans="1:23" ht="18" customHeight="1" x14ac:dyDescent="0.25"/>
    <row r="93" spans="1:23" ht="18" customHeight="1" x14ac:dyDescent="0.25"/>
    <row r="94" spans="1:23" ht="18" customHeight="1" x14ac:dyDescent="0.25"/>
    <row r="95" spans="1:23" ht="18" customHeight="1" x14ac:dyDescent="0.25"/>
    <row r="96" spans="1:23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  <row r="126" ht="18" customHeight="1" x14ac:dyDescent="0.25"/>
    <row r="127" ht="18" customHeight="1" x14ac:dyDescent="0.25"/>
    <row r="128" ht="18" customHeight="1" x14ac:dyDescent="0.25"/>
    <row r="129" ht="18" customHeight="1" x14ac:dyDescent="0.25"/>
    <row r="130" ht="18" customHeight="1" x14ac:dyDescent="0.25"/>
    <row r="131" ht="18" customHeight="1" x14ac:dyDescent="0.25"/>
    <row r="132" ht="18" customHeight="1" x14ac:dyDescent="0.25"/>
    <row r="133" ht="18" customHeight="1" x14ac:dyDescent="0.25"/>
    <row r="134" ht="18" customHeight="1" x14ac:dyDescent="0.25"/>
    <row r="135" ht="18" customHeight="1" x14ac:dyDescent="0.25"/>
    <row r="136" ht="18" customHeight="1" x14ac:dyDescent="0.25"/>
    <row r="137" ht="18" customHeight="1" x14ac:dyDescent="0.25"/>
    <row r="138" ht="18" customHeight="1" x14ac:dyDescent="0.25"/>
    <row r="139" ht="18" customHeight="1" x14ac:dyDescent="0.25"/>
    <row r="140" ht="18" customHeight="1" x14ac:dyDescent="0.25"/>
    <row r="141" ht="18" customHeight="1" x14ac:dyDescent="0.25"/>
    <row r="142" ht="18" customHeight="1" x14ac:dyDescent="0.25"/>
    <row r="143" ht="18" customHeight="1" x14ac:dyDescent="0.25"/>
    <row r="144" ht="18" customHeight="1" x14ac:dyDescent="0.25"/>
    <row r="145" ht="18" customHeight="1" x14ac:dyDescent="0.25"/>
    <row r="146" ht="18" customHeight="1" x14ac:dyDescent="0.25"/>
    <row r="147" ht="18" customHeight="1" x14ac:dyDescent="0.25"/>
    <row r="148" ht="18" customHeight="1" x14ac:dyDescent="0.25"/>
    <row r="149" ht="18" customHeight="1" x14ac:dyDescent="0.25"/>
    <row r="150" ht="18" customHeight="1" x14ac:dyDescent="0.25"/>
    <row r="151" ht="18" customHeight="1" x14ac:dyDescent="0.25"/>
    <row r="152" ht="18" customHeight="1" x14ac:dyDescent="0.25"/>
    <row r="153" ht="18" customHeight="1" x14ac:dyDescent="0.25"/>
    <row r="154" ht="18" customHeight="1" x14ac:dyDescent="0.25"/>
    <row r="155" ht="18" customHeight="1" x14ac:dyDescent="0.25"/>
    <row r="156" ht="18" customHeight="1" x14ac:dyDescent="0.25"/>
    <row r="157" ht="18" customHeight="1" x14ac:dyDescent="0.25"/>
    <row r="158" ht="18" customHeight="1" x14ac:dyDescent="0.25"/>
    <row r="159" ht="18" customHeight="1" x14ac:dyDescent="0.25"/>
    <row r="160" ht="18" customHeight="1" x14ac:dyDescent="0.25"/>
    <row r="161" ht="18" customHeight="1" x14ac:dyDescent="0.25"/>
    <row r="162" ht="18" customHeight="1" x14ac:dyDescent="0.25"/>
    <row r="163" ht="18" customHeight="1" x14ac:dyDescent="0.25"/>
    <row r="164" ht="18" customHeight="1" x14ac:dyDescent="0.25"/>
    <row r="165" ht="18" customHeight="1" x14ac:dyDescent="0.25"/>
    <row r="166" ht="18" customHeight="1" x14ac:dyDescent="0.25"/>
    <row r="167" ht="18" customHeight="1" x14ac:dyDescent="0.25"/>
    <row r="168" ht="18" customHeight="1" x14ac:dyDescent="0.25"/>
    <row r="169" ht="18" customHeight="1" x14ac:dyDescent="0.25"/>
    <row r="170" ht="18" customHeight="1" x14ac:dyDescent="0.25"/>
    <row r="171" ht="18" customHeight="1" x14ac:dyDescent="0.25"/>
    <row r="172" ht="18" customHeight="1" x14ac:dyDescent="0.25"/>
    <row r="173" ht="18" customHeight="1" x14ac:dyDescent="0.25"/>
    <row r="174" ht="18" customHeight="1" x14ac:dyDescent="0.25"/>
    <row r="175" ht="18" customHeight="1" x14ac:dyDescent="0.25"/>
    <row r="176" ht="18" customHeight="1" x14ac:dyDescent="0.25"/>
    <row r="177" ht="18" customHeight="1" x14ac:dyDescent="0.25"/>
    <row r="178" ht="18" customHeight="1" x14ac:dyDescent="0.25"/>
    <row r="179" ht="18" customHeight="1" x14ac:dyDescent="0.25"/>
    <row r="180" ht="18" customHeight="1" x14ac:dyDescent="0.25"/>
    <row r="181" ht="18" customHeight="1" x14ac:dyDescent="0.25"/>
    <row r="182" ht="18" customHeight="1" x14ac:dyDescent="0.25"/>
    <row r="183" ht="18" customHeight="1" x14ac:dyDescent="0.25"/>
    <row r="184" ht="18" customHeight="1" x14ac:dyDescent="0.25"/>
    <row r="185" ht="18" customHeight="1" x14ac:dyDescent="0.25"/>
    <row r="186" ht="18" customHeight="1" x14ac:dyDescent="0.25"/>
    <row r="187" ht="18" customHeight="1" x14ac:dyDescent="0.25"/>
    <row r="188" ht="18" customHeight="1" x14ac:dyDescent="0.25"/>
  </sheetData>
  <mergeCells count="4">
    <mergeCell ref="K2:M2"/>
    <mergeCell ref="N2:O2"/>
    <mergeCell ref="P2:Q2"/>
    <mergeCell ref="N9:O9"/>
  </mergeCells>
  <pageMargins left="0.7" right="0.7" top="0.75" bottom="0.75" header="0.3" footer="0.3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autoPict="0" r:id="rId5">
            <anchor moveWithCells="1" sizeWithCells="1">
              <from>
                <xdr:col>0</xdr:col>
                <xdr:colOff>352425</xdr:colOff>
                <xdr:row>38</xdr:row>
                <xdr:rowOff>66675</xdr:rowOff>
              </from>
              <to>
                <xdr:col>0</xdr:col>
                <xdr:colOff>514350</xdr:colOff>
                <xdr:row>39</xdr:row>
                <xdr:rowOff>0</xdr:rowOff>
              </to>
            </anchor>
          </objectPr>
        </oleObject>
      </mc:Choice>
      <mc:Fallback>
        <oleObject progId="Equation.3" shapeId="3073" r:id="rId4"/>
      </mc:Fallback>
    </mc:AlternateContent>
    <mc:AlternateContent xmlns:mc="http://schemas.openxmlformats.org/markup-compatibility/2006">
      <mc:Choice Requires="x14">
        <oleObject progId="Equation.3" shapeId="3074" r:id="rId6">
          <objectPr defaultSize="0" autoPict="0" r:id="rId7">
            <anchor moveWithCells="1" sizeWithCells="1">
              <from>
                <xdr:col>0</xdr:col>
                <xdr:colOff>333375</xdr:colOff>
                <xdr:row>39</xdr:row>
                <xdr:rowOff>47625</xdr:rowOff>
              </from>
              <to>
                <xdr:col>0</xdr:col>
                <xdr:colOff>552450</xdr:colOff>
                <xdr:row>40</xdr:row>
                <xdr:rowOff>28575</xdr:rowOff>
              </to>
            </anchor>
          </objectPr>
        </oleObject>
      </mc:Choice>
      <mc:Fallback>
        <oleObject progId="Equation.3" shapeId="3074" r:id="rId6"/>
      </mc:Fallback>
    </mc:AlternateContent>
    <mc:AlternateContent xmlns:mc="http://schemas.openxmlformats.org/markup-compatibility/2006">
      <mc:Choice Requires="x14">
        <oleObject progId="Equation.3" shapeId="3075" r:id="rId8">
          <objectPr defaultSize="0" autoPict="0" r:id="rId9">
            <anchor moveWithCells="1" sizeWithCells="1">
              <from>
                <xdr:col>0</xdr:col>
                <xdr:colOff>9525</xdr:colOff>
                <xdr:row>55</xdr:row>
                <xdr:rowOff>19050</xdr:rowOff>
              </from>
              <to>
                <xdr:col>0</xdr:col>
                <xdr:colOff>247650</xdr:colOff>
                <xdr:row>56</xdr:row>
                <xdr:rowOff>28575</xdr:rowOff>
              </to>
            </anchor>
          </objectPr>
        </oleObject>
      </mc:Choice>
      <mc:Fallback>
        <oleObject progId="Equation.3" shapeId="3075" r:id="rId8"/>
      </mc:Fallback>
    </mc:AlternateContent>
    <mc:AlternateContent xmlns:mc="http://schemas.openxmlformats.org/markup-compatibility/2006">
      <mc:Choice Requires="x14">
        <oleObject progId="Equation.3" shapeId="3076" r:id="rId10">
          <objectPr defaultSize="0" autoPict="0" r:id="rId11">
            <anchor moveWithCells="1" sizeWithCells="1">
              <from>
                <xdr:col>0</xdr:col>
                <xdr:colOff>0</xdr:colOff>
                <xdr:row>56</xdr:row>
                <xdr:rowOff>19050</xdr:rowOff>
              </from>
              <to>
                <xdr:col>0</xdr:col>
                <xdr:colOff>733425</xdr:colOff>
                <xdr:row>57</xdr:row>
                <xdr:rowOff>28575</xdr:rowOff>
              </to>
            </anchor>
          </objectPr>
        </oleObject>
      </mc:Choice>
      <mc:Fallback>
        <oleObject progId="Equation.3" shapeId="3076" r:id="rId10"/>
      </mc:Fallback>
    </mc:AlternateContent>
    <mc:AlternateContent xmlns:mc="http://schemas.openxmlformats.org/markup-compatibility/2006">
      <mc:Choice Requires="x14">
        <oleObject progId="Equation.3" shapeId="3077" r:id="rId12">
          <objectPr defaultSize="0" autoPict="0" r:id="rId13">
            <anchor moveWithCells="1" sizeWithCells="1">
              <from>
                <xdr:col>0</xdr:col>
                <xdr:colOff>47625</xdr:colOff>
                <xdr:row>58</xdr:row>
                <xdr:rowOff>9525</xdr:rowOff>
              </from>
              <to>
                <xdr:col>0</xdr:col>
                <xdr:colOff>342900</xdr:colOff>
                <xdr:row>59</xdr:row>
                <xdr:rowOff>19050</xdr:rowOff>
              </to>
            </anchor>
          </objectPr>
        </oleObject>
      </mc:Choice>
      <mc:Fallback>
        <oleObject progId="Equation.3" shapeId="3077" r:id="rId12"/>
      </mc:Fallback>
    </mc:AlternateContent>
    <mc:AlternateContent xmlns:mc="http://schemas.openxmlformats.org/markup-compatibility/2006">
      <mc:Choice Requires="x14">
        <oleObject progId="Equation.3" shapeId="3078" r:id="rId14">
          <objectPr defaultSize="0" autoPict="0" r:id="rId15">
            <anchor moveWithCells="1" sizeWithCells="1">
              <from>
                <xdr:col>0</xdr:col>
                <xdr:colOff>19050</xdr:colOff>
                <xdr:row>57</xdr:row>
                <xdr:rowOff>28575</xdr:rowOff>
              </from>
              <to>
                <xdr:col>0</xdr:col>
                <xdr:colOff>247650</xdr:colOff>
                <xdr:row>58</xdr:row>
                <xdr:rowOff>19050</xdr:rowOff>
              </to>
            </anchor>
          </objectPr>
        </oleObject>
      </mc:Choice>
      <mc:Fallback>
        <oleObject progId="Equation.3" shapeId="3078" r:id="rId14"/>
      </mc:Fallback>
    </mc:AlternateContent>
    <mc:AlternateContent xmlns:mc="http://schemas.openxmlformats.org/markup-compatibility/2006">
      <mc:Choice Requires="x14">
        <oleObject progId="Equation.3" shapeId="3079" r:id="rId16">
          <objectPr defaultSize="0" autoPict="0" r:id="rId17">
            <anchor moveWithCells="1" sizeWithCells="1">
              <from>
                <xdr:col>0</xdr:col>
                <xdr:colOff>66675</xdr:colOff>
                <xdr:row>41</xdr:row>
                <xdr:rowOff>9525</xdr:rowOff>
              </from>
              <to>
                <xdr:col>0</xdr:col>
                <xdr:colOff>371475</xdr:colOff>
                <xdr:row>42</xdr:row>
                <xdr:rowOff>19050</xdr:rowOff>
              </to>
            </anchor>
          </objectPr>
        </oleObject>
      </mc:Choice>
      <mc:Fallback>
        <oleObject progId="Equation.3" shapeId="3079" r:id="rId16"/>
      </mc:Fallback>
    </mc:AlternateContent>
    <mc:AlternateContent xmlns:mc="http://schemas.openxmlformats.org/markup-compatibility/2006">
      <mc:Choice Requires="x14">
        <oleObject progId="Equation.3" shapeId="3080" r:id="rId18">
          <objectPr defaultSize="0" autoPict="0" r:id="rId19">
            <anchor moveWithCells="1" sizeWithCells="1">
              <from>
                <xdr:col>0</xdr:col>
                <xdr:colOff>47625</xdr:colOff>
                <xdr:row>42</xdr:row>
                <xdr:rowOff>9525</xdr:rowOff>
              </from>
              <to>
                <xdr:col>0</xdr:col>
                <xdr:colOff>609600</xdr:colOff>
                <xdr:row>43</xdr:row>
                <xdr:rowOff>19050</xdr:rowOff>
              </to>
            </anchor>
          </objectPr>
        </oleObject>
      </mc:Choice>
      <mc:Fallback>
        <oleObject progId="Equation.3" shapeId="3080" r:id="rId18"/>
      </mc:Fallback>
    </mc:AlternateContent>
    <mc:AlternateContent xmlns:mc="http://schemas.openxmlformats.org/markup-compatibility/2006">
      <mc:Choice Requires="x14">
        <oleObject progId="Equation.3" shapeId="3085" r:id="rId20">
          <objectPr defaultSize="0" autoPict="0" r:id="rId21">
            <anchor moveWithCells="1" sizeWithCells="1">
              <from>
                <xdr:col>0</xdr:col>
                <xdr:colOff>47625</xdr:colOff>
                <xdr:row>45</xdr:row>
                <xdr:rowOff>28575</xdr:rowOff>
              </from>
              <to>
                <xdr:col>0</xdr:col>
                <xdr:colOff>209550</xdr:colOff>
                <xdr:row>46</xdr:row>
                <xdr:rowOff>19050</xdr:rowOff>
              </to>
            </anchor>
          </objectPr>
        </oleObject>
      </mc:Choice>
      <mc:Fallback>
        <oleObject progId="Equation.3" shapeId="3085" r:id="rId20"/>
      </mc:Fallback>
    </mc:AlternateContent>
    <mc:AlternateContent xmlns:mc="http://schemas.openxmlformats.org/markup-compatibility/2006">
      <mc:Choice Requires="x14">
        <oleObject progId="Equation.3" shapeId="3089" r:id="rId22">
          <objectPr defaultSize="0" autoPict="0" r:id="rId23">
            <anchor moveWithCells="1" sizeWithCells="1">
              <from>
                <xdr:col>0</xdr:col>
                <xdr:colOff>19050</xdr:colOff>
                <xdr:row>35</xdr:row>
                <xdr:rowOff>0</xdr:rowOff>
              </from>
              <to>
                <xdr:col>0</xdr:col>
                <xdr:colOff>371475</xdr:colOff>
                <xdr:row>36</xdr:row>
                <xdr:rowOff>9525</xdr:rowOff>
              </to>
            </anchor>
          </objectPr>
        </oleObject>
      </mc:Choice>
      <mc:Fallback>
        <oleObject progId="Equation.3" shapeId="3089" r:id="rId22"/>
      </mc:Fallback>
    </mc:AlternateContent>
    <mc:AlternateContent xmlns:mc="http://schemas.openxmlformats.org/markup-compatibility/2006">
      <mc:Choice Requires="x14">
        <oleObject progId="Equation.3" shapeId="3092" r:id="rId24">
          <objectPr defaultSize="0" autoPict="0" r:id="rId25">
            <anchor moveWithCells="1" sizeWithCells="1">
              <from>
                <xdr:col>0</xdr:col>
                <xdr:colOff>57150</xdr:colOff>
                <xdr:row>48</xdr:row>
                <xdr:rowOff>19050</xdr:rowOff>
              </from>
              <to>
                <xdr:col>0</xdr:col>
                <xdr:colOff>381000</xdr:colOff>
                <xdr:row>49</xdr:row>
                <xdr:rowOff>9525</xdr:rowOff>
              </to>
            </anchor>
          </objectPr>
        </oleObject>
      </mc:Choice>
      <mc:Fallback>
        <oleObject progId="Equation.3" shapeId="3092" r:id="rId24"/>
      </mc:Fallback>
    </mc:AlternateContent>
    <mc:AlternateContent xmlns:mc="http://schemas.openxmlformats.org/markup-compatibility/2006">
      <mc:Choice Requires="x14">
        <oleObject progId="Equation.3" shapeId="3093" r:id="rId26">
          <objectPr defaultSize="0" autoPict="0" r:id="rId27">
            <anchor moveWithCells="1" sizeWithCells="1">
              <from>
                <xdr:col>0</xdr:col>
                <xdr:colOff>28575</xdr:colOff>
                <xdr:row>43</xdr:row>
                <xdr:rowOff>9525</xdr:rowOff>
              </from>
              <to>
                <xdr:col>0</xdr:col>
                <xdr:colOff>438150</xdr:colOff>
                <xdr:row>43</xdr:row>
                <xdr:rowOff>219075</xdr:rowOff>
              </to>
            </anchor>
          </objectPr>
        </oleObject>
      </mc:Choice>
      <mc:Fallback>
        <oleObject progId="Equation.3" shapeId="3093" r:id="rId26"/>
      </mc:Fallback>
    </mc:AlternateContent>
    <mc:AlternateContent xmlns:mc="http://schemas.openxmlformats.org/markup-compatibility/2006">
      <mc:Choice Requires="x14">
        <oleObject progId="Equation.3" shapeId="3094" r:id="rId28">
          <objectPr defaultSize="0" autoPict="0" r:id="rId29">
            <anchor moveWithCells="1" sizeWithCells="1">
              <from>
                <xdr:col>0</xdr:col>
                <xdr:colOff>28575</xdr:colOff>
                <xdr:row>44</xdr:row>
                <xdr:rowOff>9525</xdr:rowOff>
              </from>
              <to>
                <xdr:col>0</xdr:col>
                <xdr:colOff>438150</xdr:colOff>
                <xdr:row>45</xdr:row>
                <xdr:rowOff>0</xdr:rowOff>
              </to>
            </anchor>
          </objectPr>
        </oleObject>
      </mc:Choice>
      <mc:Fallback>
        <oleObject progId="Equation.3" shapeId="3094" r:id="rId28"/>
      </mc:Fallback>
    </mc:AlternateContent>
    <mc:AlternateContent xmlns:mc="http://schemas.openxmlformats.org/markup-compatibility/2006">
      <mc:Choice Requires="x14">
        <oleObject progId="Equation.3" shapeId="3095" r:id="rId30">
          <objectPr defaultSize="0" autoPict="0" r:id="rId31">
            <anchor moveWithCells="1" sizeWithCells="1">
              <from>
                <xdr:col>0</xdr:col>
                <xdr:colOff>19050</xdr:colOff>
                <xdr:row>47</xdr:row>
                <xdr:rowOff>0</xdr:rowOff>
              </from>
              <to>
                <xdr:col>0</xdr:col>
                <xdr:colOff>590550</xdr:colOff>
                <xdr:row>48</xdr:row>
                <xdr:rowOff>9525</xdr:rowOff>
              </to>
            </anchor>
          </objectPr>
        </oleObject>
      </mc:Choice>
      <mc:Fallback>
        <oleObject progId="Equation.3" shapeId="3095" r:id="rId30"/>
      </mc:Fallback>
    </mc:AlternateContent>
    <mc:AlternateContent xmlns:mc="http://schemas.openxmlformats.org/markup-compatibility/2006">
      <mc:Choice Requires="x14">
        <oleObject progId="Equation.3" shapeId="3096" r:id="rId32">
          <objectPr defaultSize="0" autoPict="0" r:id="rId33">
            <anchor moveWithCells="1" sizeWithCells="1">
              <from>
                <xdr:col>0</xdr:col>
                <xdr:colOff>304800</xdr:colOff>
                <xdr:row>8</xdr:row>
                <xdr:rowOff>9525</xdr:rowOff>
              </from>
              <to>
                <xdr:col>0</xdr:col>
                <xdr:colOff>733425</xdr:colOff>
                <xdr:row>9</xdr:row>
                <xdr:rowOff>19050</xdr:rowOff>
              </to>
            </anchor>
          </objectPr>
        </oleObject>
      </mc:Choice>
      <mc:Fallback>
        <oleObject progId="Equation.3" shapeId="3096" r:id="rId32"/>
      </mc:Fallback>
    </mc:AlternateContent>
    <mc:AlternateContent xmlns:mc="http://schemas.openxmlformats.org/markup-compatibility/2006">
      <mc:Choice Requires="x14">
        <oleObject progId="Equation.3" shapeId="3099" r:id="rId34">
          <objectPr defaultSize="0" autoPict="0" r:id="rId35">
            <anchor moveWithCells="1" sizeWithCells="1">
              <from>
                <xdr:col>0</xdr:col>
                <xdr:colOff>28575</xdr:colOff>
                <xdr:row>26</xdr:row>
                <xdr:rowOff>9525</xdr:rowOff>
              </from>
              <to>
                <xdr:col>0</xdr:col>
                <xdr:colOff>295275</xdr:colOff>
                <xdr:row>27</xdr:row>
                <xdr:rowOff>19050</xdr:rowOff>
              </to>
            </anchor>
          </objectPr>
        </oleObject>
      </mc:Choice>
      <mc:Fallback>
        <oleObject progId="Equation.3" shapeId="3099" r:id="rId34"/>
      </mc:Fallback>
    </mc:AlternateContent>
    <mc:AlternateContent xmlns:mc="http://schemas.openxmlformats.org/markup-compatibility/2006">
      <mc:Choice Requires="x14">
        <oleObject progId="Equation.3" shapeId="3100" r:id="rId36">
          <objectPr defaultSize="0" autoPict="0" r:id="rId37">
            <anchor moveWithCells="1" sizeWithCells="1">
              <from>
                <xdr:col>0</xdr:col>
                <xdr:colOff>304800</xdr:colOff>
                <xdr:row>28</xdr:row>
                <xdr:rowOff>9525</xdr:rowOff>
              </from>
              <to>
                <xdr:col>0</xdr:col>
                <xdr:colOff>762000</xdr:colOff>
                <xdr:row>29</xdr:row>
                <xdr:rowOff>19050</xdr:rowOff>
              </to>
            </anchor>
          </objectPr>
        </oleObject>
      </mc:Choice>
      <mc:Fallback>
        <oleObject progId="Equation.3" shapeId="3100" r:id="rId36"/>
      </mc:Fallback>
    </mc:AlternateContent>
    <mc:AlternateContent xmlns:mc="http://schemas.openxmlformats.org/markup-compatibility/2006">
      <mc:Choice Requires="x14">
        <oleObject progId="Equation.3" shapeId="3101" r:id="rId38">
          <objectPr defaultSize="0" autoPict="0" r:id="rId39">
            <anchor moveWithCells="1" sizeWithCells="1">
              <from>
                <xdr:col>0</xdr:col>
                <xdr:colOff>342900</xdr:colOff>
                <xdr:row>29</xdr:row>
                <xdr:rowOff>9525</xdr:rowOff>
              </from>
              <to>
                <xdr:col>0</xdr:col>
                <xdr:colOff>857250</xdr:colOff>
                <xdr:row>30</xdr:row>
                <xdr:rowOff>19050</xdr:rowOff>
              </to>
            </anchor>
          </objectPr>
        </oleObject>
      </mc:Choice>
      <mc:Fallback>
        <oleObject progId="Equation.3" shapeId="3101" r:id="rId38"/>
      </mc:Fallback>
    </mc:AlternateContent>
    <mc:AlternateContent xmlns:mc="http://schemas.openxmlformats.org/markup-compatibility/2006">
      <mc:Choice Requires="x14">
        <oleObject progId="Equation.3" shapeId="3102" r:id="rId40">
          <objectPr defaultSize="0" autoPict="0" r:id="rId41">
            <anchor moveWithCells="1" sizeWithCells="1">
              <from>
                <xdr:col>0</xdr:col>
                <xdr:colOff>295275</xdr:colOff>
                <xdr:row>36</xdr:row>
                <xdr:rowOff>28575</xdr:rowOff>
              </from>
              <to>
                <xdr:col>0</xdr:col>
                <xdr:colOff>800100</xdr:colOff>
                <xdr:row>37</xdr:row>
                <xdr:rowOff>9525</xdr:rowOff>
              </to>
            </anchor>
          </objectPr>
        </oleObject>
      </mc:Choice>
      <mc:Fallback>
        <oleObject progId="Equation.3" shapeId="3102" r:id="rId40"/>
      </mc:Fallback>
    </mc:AlternateContent>
    <mc:AlternateContent xmlns:mc="http://schemas.openxmlformats.org/markup-compatibility/2006">
      <mc:Choice Requires="x14">
        <oleObject progId="Equation.3" shapeId="3103" r:id="rId42">
          <objectPr defaultSize="0" autoPict="0" r:id="rId43">
            <anchor moveWithCells="1" sizeWithCells="1">
              <from>
                <xdr:col>0</xdr:col>
                <xdr:colOff>333375</xdr:colOff>
                <xdr:row>37</xdr:row>
                <xdr:rowOff>28575</xdr:rowOff>
              </from>
              <to>
                <xdr:col>0</xdr:col>
                <xdr:colOff>904875</xdr:colOff>
                <xdr:row>38</xdr:row>
                <xdr:rowOff>0</xdr:rowOff>
              </to>
            </anchor>
          </objectPr>
        </oleObject>
      </mc:Choice>
      <mc:Fallback>
        <oleObject progId="Equation.3" shapeId="3103" r:id="rId42"/>
      </mc:Fallback>
    </mc:AlternateContent>
    <mc:AlternateContent xmlns:mc="http://schemas.openxmlformats.org/markup-compatibility/2006">
      <mc:Choice Requires="x14">
        <oleObject progId="Equation.3" shapeId="3104" r:id="rId44">
          <objectPr defaultSize="0" autoPict="0" r:id="rId35">
            <anchor moveWithCells="1" sizeWithCells="1">
              <from>
                <xdr:col>11</xdr:col>
                <xdr:colOff>28575</xdr:colOff>
                <xdr:row>35</xdr:row>
                <xdr:rowOff>9525</xdr:rowOff>
              </from>
              <to>
                <xdr:col>11</xdr:col>
                <xdr:colOff>295275</xdr:colOff>
                <xdr:row>36</xdr:row>
                <xdr:rowOff>19050</xdr:rowOff>
              </to>
            </anchor>
          </objectPr>
        </oleObject>
      </mc:Choice>
      <mc:Fallback>
        <oleObject progId="Equation.3" shapeId="3104" r:id="rId44"/>
      </mc:Fallback>
    </mc:AlternateContent>
    <mc:AlternateContent xmlns:mc="http://schemas.openxmlformats.org/markup-compatibility/2006">
      <mc:Choice Requires="x14">
        <oleObject progId="Equation.3" shapeId="3106" r:id="rId45">
          <objectPr defaultSize="0" autoPict="0" r:id="rId46">
            <anchor moveWithCells="1" sizeWithCells="1">
              <from>
                <xdr:col>0</xdr:col>
                <xdr:colOff>28575</xdr:colOff>
                <xdr:row>49</xdr:row>
                <xdr:rowOff>9525</xdr:rowOff>
              </from>
              <to>
                <xdr:col>0</xdr:col>
                <xdr:colOff>523875</xdr:colOff>
                <xdr:row>50</xdr:row>
                <xdr:rowOff>0</xdr:rowOff>
              </to>
            </anchor>
          </objectPr>
        </oleObject>
      </mc:Choice>
      <mc:Fallback>
        <oleObject progId="Equation.3" shapeId="3106" r:id="rId45"/>
      </mc:Fallback>
    </mc:AlternateContent>
    <mc:AlternateContent xmlns:mc="http://schemas.openxmlformats.org/markup-compatibility/2006">
      <mc:Choice Requires="x14">
        <oleObject progId="Equation.3" shapeId="3107" r:id="rId47">
          <objectPr defaultSize="0" autoPict="0" r:id="rId48">
            <anchor moveWithCells="1" sizeWithCells="1">
              <from>
                <xdr:col>0</xdr:col>
                <xdr:colOff>76200</xdr:colOff>
                <xdr:row>49</xdr:row>
                <xdr:rowOff>209550</xdr:rowOff>
              </from>
              <to>
                <xdr:col>0</xdr:col>
                <xdr:colOff>647700</xdr:colOff>
                <xdr:row>50</xdr:row>
                <xdr:rowOff>219075</xdr:rowOff>
              </to>
            </anchor>
          </objectPr>
        </oleObject>
      </mc:Choice>
      <mc:Fallback>
        <oleObject progId="Equation.3" shapeId="3107" r:id="rId47"/>
      </mc:Fallback>
    </mc:AlternateContent>
    <mc:AlternateContent xmlns:mc="http://schemas.openxmlformats.org/markup-compatibility/2006">
      <mc:Choice Requires="x14">
        <oleObject progId="Equation.3" shapeId="3108" r:id="rId49">
          <objectPr defaultSize="0" autoPict="0" r:id="rId50">
            <anchor moveWithCells="1" sizeWithCells="1">
              <from>
                <xdr:col>0</xdr:col>
                <xdr:colOff>28575</xdr:colOff>
                <xdr:row>51</xdr:row>
                <xdr:rowOff>19050</xdr:rowOff>
              </from>
              <to>
                <xdr:col>0</xdr:col>
                <xdr:colOff>523875</xdr:colOff>
                <xdr:row>52</xdr:row>
                <xdr:rowOff>9525</xdr:rowOff>
              </to>
            </anchor>
          </objectPr>
        </oleObject>
      </mc:Choice>
      <mc:Fallback>
        <oleObject progId="Equation.3" shapeId="3108" r:id="rId49"/>
      </mc:Fallback>
    </mc:AlternateContent>
    <mc:AlternateContent xmlns:mc="http://schemas.openxmlformats.org/markup-compatibility/2006">
      <mc:Choice Requires="x14">
        <oleObject progId="Equation.3" shapeId="3109" r:id="rId51">
          <objectPr defaultSize="0" autoPict="0" r:id="rId52">
            <anchor moveWithCells="1" sizeWithCells="1">
              <from>
                <xdr:col>0</xdr:col>
                <xdr:colOff>38100</xdr:colOff>
                <xdr:row>52</xdr:row>
                <xdr:rowOff>9525</xdr:rowOff>
              </from>
              <to>
                <xdr:col>0</xdr:col>
                <xdr:colOff>609600</xdr:colOff>
                <xdr:row>53</xdr:row>
                <xdr:rowOff>19050</xdr:rowOff>
              </to>
            </anchor>
          </objectPr>
        </oleObject>
      </mc:Choice>
      <mc:Fallback>
        <oleObject progId="Equation.3" shapeId="3109" r:id="rId51"/>
      </mc:Fallback>
    </mc:AlternateContent>
    <mc:AlternateContent xmlns:mc="http://schemas.openxmlformats.org/markup-compatibility/2006">
      <mc:Choice Requires="x14">
        <oleObject progId="Equation.3" shapeId="3110" r:id="rId53">
          <objectPr defaultSize="0" autoPict="0" r:id="rId54">
            <anchor moveWithCells="1" sizeWithCells="1">
              <from>
                <xdr:col>0</xdr:col>
                <xdr:colOff>19050</xdr:colOff>
                <xdr:row>53</xdr:row>
                <xdr:rowOff>28575</xdr:rowOff>
              </from>
              <to>
                <xdr:col>0</xdr:col>
                <xdr:colOff>514350</xdr:colOff>
                <xdr:row>54</xdr:row>
                <xdr:rowOff>28575</xdr:rowOff>
              </to>
            </anchor>
          </objectPr>
        </oleObject>
      </mc:Choice>
      <mc:Fallback>
        <oleObject progId="Equation.3" shapeId="3110" r:id="rId53"/>
      </mc:Fallback>
    </mc:AlternateContent>
    <mc:AlternateContent xmlns:mc="http://schemas.openxmlformats.org/markup-compatibility/2006">
      <mc:Choice Requires="x14">
        <oleObject progId="Equation.3" shapeId="3111" r:id="rId55">
          <objectPr defaultSize="0" autoPict="0" r:id="rId56">
            <anchor moveWithCells="1" sizeWithCells="1">
              <from>
                <xdr:col>0</xdr:col>
                <xdr:colOff>19050</xdr:colOff>
                <xdr:row>54</xdr:row>
                <xdr:rowOff>9525</xdr:rowOff>
              </from>
              <to>
                <xdr:col>0</xdr:col>
                <xdr:colOff>590550</xdr:colOff>
                <xdr:row>55</xdr:row>
                <xdr:rowOff>19050</xdr:rowOff>
              </to>
            </anchor>
          </objectPr>
        </oleObject>
      </mc:Choice>
      <mc:Fallback>
        <oleObject progId="Equation.3" shapeId="3111" r:id="rId55"/>
      </mc:Fallback>
    </mc:AlternateContent>
    <mc:AlternateContent xmlns:mc="http://schemas.openxmlformats.org/markup-compatibility/2006">
      <mc:Choice Requires="x14">
        <oleObject progId="Equation.3" shapeId="3116" r:id="rId57">
          <objectPr defaultSize="0" autoPict="0" r:id="rId58">
            <anchor moveWithCells="1" sizeWithCells="1">
              <from>
                <xdr:col>0</xdr:col>
                <xdr:colOff>38100</xdr:colOff>
                <xdr:row>1</xdr:row>
                <xdr:rowOff>19050</xdr:rowOff>
              </from>
              <to>
                <xdr:col>0</xdr:col>
                <xdr:colOff>190500</xdr:colOff>
                <xdr:row>2</xdr:row>
                <xdr:rowOff>9525</xdr:rowOff>
              </to>
            </anchor>
          </objectPr>
        </oleObject>
      </mc:Choice>
      <mc:Fallback>
        <oleObject progId="Equation.3" shapeId="3116" r:id="rId57"/>
      </mc:Fallback>
    </mc:AlternateContent>
    <mc:AlternateContent xmlns:mc="http://schemas.openxmlformats.org/markup-compatibility/2006">
      <mc:Choice Requires="x14">
        <oleObject progId="Equation.3" shapeId="3117" r:id="rId59">
          <objectPr defaultSize="0" autoPict="0" r:id="rId60">
            <anchor moveWithCells="1" sizeWithCells="1">
              <from>
                <xdr:col>0</xdr:col>
                <xdr:colOff>314325</xdr:colOff>
                <xdr:row>2</xdr:row>
                <xdr:rowOff>9525</xdr:rowOff>
              </from>
              <to>
                <xdr:col>0</xdr:col>
                <xdr:colOff>666750</xdr:colOff>
                <xdr:row>3</xdr:row>
                <xdr:rowOff>19050</xdr:rowOff>
              </to>
            </anchor>
          </objectPr>
        </oleObject>
      </mc:Choice>
      <mc:Fallback>
        <oleObject progId="Equation.3" shapeId="3117" r:id="rId59"/>
      </mc:Fallback>
    </mc:AlternateContent>
    <mc:AlternateContent xmlns:mc="http://schemas.openxmlformats.org/markup-compatibility/2006">
      <mc:Choice Requires="x14">
        <oleObject progId="Equation.3" shapeId="3118" r:id="rId61">
          <objectPr defaultSize="0" autoPict="0" r:id="rId62">
            <anchor moveWithCells="1" sizeWithCells="1">
              <from>
                <xdr:col>0</xdr:col>
                <xdr:colOff>323850</xdr:colOff>
                <xdr:row>3</xdr:row>
                <xdr:rowOff>0</xdr:rowOff>
              </from>
              <to>
                <xdr:col>0</xdr:col>
                <xdr:colOff>742950</xdr:colOff>
                <xdr:row>4</xdr:row>
                <xdr:rowOff>28575</xdr:rowOff>
              </to>
            </anchor>
          </objectPr>
        </oleObject>
      </mc:Choice>
      <mc:Fallback>
        <oleObject progId="Equation.3" shapeId="3118" r:id="rId61"/>
      </mc:Fallback>
    </mc:AlternateContent>
    <mc:AlternateContent xmlns:mc="http://schemas.openxmlformats.org/markup-compatibility/2006">
      <mc:Choice Requires="x14">
        <oleObject progId="Equation.3" shapeId="3119" r:id="rId63">
          <objectPr defaultSize="0" autoPict="0" r:id="rId64">
            <anchor moveWithCells="1" sizeWithCells="1">
              <from>
                <xdr:col>0</xdr:col>
                <xdr:colOff>57150</xdr:colOff>
                <xdr:row>4</xdr:row>
                <xdr:rowOff>0</xdr:rowOff>
              </from>
              <to>
                <xdr:col>0</xdr:col>
                <xdr:colOff>247650</xdr:colOff>
                <xdr:row>5</xdr:row>
                <xdr:rowOff>0</xdr:rowOff>
              </to>
            </anchor>
          </objectPr>
        </oleObject>
      </mc:Choice>
      <mc:Fallback>
        <oleObject progId="Equation.3" shapeId="3119" r:id="rId63"/>
      </mc:Fallback>
    </mc:AlternateContent>
    <mc:AlternateContent xmlns:mc="http://schemas.openxmlformats.org/markup-compatibility/2006">
      <mc:Choice Requires="x14">
        <oleObject progId="Equation.3" shapeId="3120" r:id="rId65">
          <objectPr defaultSize="0" autoPict="0" r:id="rId19">
            <anchor moveWithCells="1" sizeWithCells="1">
              <from>
                <xdr:col>7</xdr:col>
                <xdr:colOff>47625</xdr:colOff>
                <xdr:row>42</xdr:row>
                <xdr:rowOff>9525</xdr:rowOff>
              </from>
              <to>
                <xdr:col>8</xdr:col>
                <xdr:colOff>0</xdr:colOff>
                <xdr:row>43</xdr:row>
                <xdr:rowOff>19050</xdr:rowOff>
              </to>
            </anchor>
          </objectPr>
        </oleObject>
      </mc:Choice>
      <mc:Fallback>
        <oleObject progId="Equation.3" shapeId="3120" r:id="rId65"/>
      </mc:Fallback>
    </mc:AlternateContent>
    <mc:AlternateContent xmlns:mc="http://schemas.openxmlformats.org/markup-compatibility/2006">
      <mc:Choice Requires="x14">
        <oleObject progId="Equation.3" shapeId="3121" r:id="rId66">
          <objectPr defaultSize="0" autoPict="0" r:id="rId17">
            <anchor moveWithCells="1" sizeWithCells="1">
              <from>
                <xdr:col>7</xdr:col>
                <xdr:colOff>38100</xdr:colOff>
                <xdr:row>41</xdr:row>
                <xdr:rowOff>9525</xdr:rowOff>
              </from>
              <to>
                <xdr:col>7</xdr:col>
                <xdr:colOff>342900</xdr:colOff>
                <xdr:row>42</xdr:row>
                <xdr:rowOff>19050</xdr:rowOff>
              </to>
            </anchor>
          </objectPr>
        </oleObject>
      </mc:Choice>
      <mc:Fallback>
        <oleObject progId="Equation.3" shapeId="3121" r:id="rId66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82"/>
  <sheetViews>
    <sheetView workbookViewId="0">
      <selection activeCell="K71" sqref="K71"/>
    </sheetView>
  </sheetViews>
  <sheetFormatPr defaultRowHeight="15" x14ac:dyDescent="0.25"/>
  <cols>
    <col min="1" max="1" width="19.85546875" customWidth="1"/>
    <col min="10" max="10" width="19.7109375" customWidth="1"/>
    <col min="11" max="11" width="17.7109375" customWidth="1"/>
    <col min="12" max="12" width="18.85546875" customWidth="1"/>
  </cols>
  <sheetData>
    <row r="1" spans="1:17" ht="18" customHeight="1" x14ac:dyDescent="0.25">
      <c r="A1" s="1" t="s">
        <v>0</v>
      </c>
      <c r="B1" s="2" t="s">
        <v>168</v>
      </c>
      <c r="C1" s="2"/>
      <c r="D1" s="2"/>
      <c r="E1" s="2"/>
      <c r="F1" s="2"/>
      <c r="G1" s="2"/>
      <c r="H1" s="2"/>
      <c r="I1" s="3"/>
      <c r="J1" s="210"/>
      <c r="K1" s="54"/>
      <c r="L1" s="54"/>
      <c r="M1" s="54"/>
      <c r="N1" s="54"/>
      <c r="O1" s="54"/>
    </row>
    <row r="2" spans="1:17" ht="18" customHeight="1" x14ac:dyDescent="0.25">
      <c r="A2" s="18" t="s">
        <v>5</v>
      </c>
      <c r="B2" s="207">
        <v>9.9911600000000007</v>
      </c>
      <c r="C2" s="207">
        <v>9.9911600000000007</v>
      </c>
      <c r="D2" s="207">
        <v>9.9911600000000007</v>
      </c>
      <c r="E2" s="207">
        <v>9.9911600000000007</v>
      </c>
      <c r="F2" s="207">
        <v>9.9911600000000007</v>
      </c>
      <c r="G2" s="208"/>
      <c r="H2" s="209"/>
      <c r="I2" s="4"/>
      <c r="K2" s="500" t="s">
        <v>49</v>
      </c>
      <c r="L2" s="501"/>
      <c r="M2" s="502"/>
      <c r="N2" s="503" t="s">
        <v>50</v>
      </c>
      <c r="O2" s="504"/>
      <c r="P2" s="500" t="s">
        <v>51</v>
      </c>
      <c r="Q2" s="502"/>
    </row>
    <row r="3" spans="1:17" ht="18" customHeight="1" x14ac:dyDescent="0.25">
      <c r="A3" s="20" t="s">
        <v>6</v>
      </c>
      <c r="B3" s="21">
        <v>2.2000000000000001E-4</v>
      </c>
      <c r="C3" s="21">
        <f>B3</f>
        <v>2.2000000000000001E-4</v>
      </c>
      <c r="D3" s="21">
        <f t="shared" ref="D3:F3" si="0">C3</f>
        <v>2.2000000000000001E-4</v>
      </c>
      <c r="E3" s="21">
        <f t="shared" si="0"/>
        <v>2.2000000000000001E-4</v>
      </c>
      <c r="F3" s="21">
        <f t="shared" si="0"/>
        <v>2.2000000000000001E-4</v>
      </c>
      <c r="G3" s="86"/>
      <c r="H3" s="86"/>
      <c r="I3" s="13"/>
      <c r="J3" s="13"/>
      <c r="K3" s="94" t="s">
        <v>52</v>
      </c>
      <c r="L3" s="95" t="s">
        <v>53</v>
      </c>
      <c r="M3" s="96" t="s">
        <v>54</v>
      </c>
      <c r="N3" s="4" t="s">
        <v>55</v>
      </c>
      <c r="O3" s="8" t="s">
        <v>56</v>
      </c>
      <c r="P3" s="95" t="s">
        <v>52</v>
      </c>
      <c r="Q3" s="96" t="s">
        <v>53</v>
      </c>
    </row>
    <row r="4" spans="1:17" ht="18" customHeight="1" x14ac:dyDescent="0.25">
      <c r="A4" s="20" t="s">
        <v>7</v>
      </c>
      <c r="B4" s="23">
        <f t="shared" ref="B4:C4" si="1">B3/B2</f>
        <v>2.2019465207243201E-5</v>
      </c>
      <c r="C4" s="23">
        <f t="shared" si="1"/>
        <v>2.2019465207243201E-5</v>
      </c>
      <c r="D4" s="23">
        <f>D3/D2</f>
        <v>2.2019465207243201E-5</v>
      </c>
      <c r="E4" s="23">
        <f>E3/E2</f>
        <v>2.2019465207243201E-5</v>
      </c>
      <c r="F4" s="23">
        <f>F3/F2</f>
        <v>2.2019465207243201E-5</v>
      </c>
      <c r="G4" s="87"/>
      <c r="H4" s="87"/>
      <c r="I4" s="13"/>
      <c r="K4" s="99">
        <v>4</v>
      </c>
      <c r="L4" s="100">
        <v>2.7759999999999998</v>
      </c>
      <c r="M4" s="100">
        <v>4.6040000000000001</v>
      </c>
      <c r="N4">
        <v>4</v>
      </c>
      <c r="O4" s="41">
        <v>2.7759999999999998</v>
      </c>
      <c r="P4" s="97">
        <v>3</v>
      </c>
      <c r="Q4" s="101">
        <v>3.1819999999999999</v>
      </c>
    </row>
    <row r="5" spans="1:17" ht="18" customHeight="1" x14ac:dyDescent="0.25">
      <c r="A5" s="25"/>
      <c r="B5" s="88">
        <v>5</v>
      </c>
      <c r="C5" s="88">
        <f>B5</f>
        <v>5</v>
      </c>
      <c r="D5" s="88">
        <f t="shared" ref="D5:F5" si="2">C5</f>
        <v>5</v>
      </c>
      <c r="E5" s="88">
        <f t="shared" si="2"/>
        <v>5</v>
      </c>
      <c r="F5" s="88">
        <f t="shared" si="2"/>
        <v>5</v>
      </c>
      <c r="G5" s="88"/>
      <c r="H5" s="88"/>
      <c r="I5" s="30"/>
      <c r="K5" s="102">
        <v>9</v>
      </c>
      <c r="L5" s="103">
        <v>2.262</v>
      </c>
      <c r="M5" s="101">
        <v>3.25</v>
      </c>
      <c r="N5" s="4" t="s">
        <v>57</v>
      </c>
      <c r="O5" s="8" t="s">
        <v>58</v>
      </c>
      <c r="P5" s="99">
        <v>4</v>
      </c>
      <c r="Q5" s="104">
        <v>2.7759999999999998</v>
      </c>
    </row>
    <row r="6" spans="1:17" ht="18" customHeight="1" x14ac:dyDescent="0.25">
      <c r="A6" s="1" t="s">
        <v>1</v>
      </c>
      <c r="B6" s="293">
        <v>5</v>
      </c>
      <c r="C6" s="294">
        <v>10</v>
      </c>
      <c r="D6" s="293">
        <v>16</v>
      </c>
      <c r="E6" s="294">
        <v>20</v>
      </c>
      <c r="F6" s="294">
        <v>32</v>
      </c>
      <c r="G6" s="92"/>
      <c r="H6" s="58"/>
      <c r="I6" s="34"/>
      <c r="K6" s="102">
        <v>10</v>
      </c>
      <c r="L6" s="103">
        <v>2.2280000000000002</v>
      </c>
      <c r="M6" s="101">
        <v>3.169</v>
      </c>
      <c r="N6" s="31">
        <v>9</v>
      </c>
      <c r="O6" s="41">
        <v>2.262</v>
      </c>
      <c r="P6" s="97">
        <v>10</v>
      </c>
      <c r="Q6" s="101">
        <v>2.2280000000000002</v>
      </c>
    </row>
    <row r="7" spans="1:17" ht="18" customHeight="1" thickBot="1" x14ac:dyDescent="0.4">
      <c r="A7" s="4" t="s">
        <v>2</v>
      </c>
      <c r="B7" s="295">
        <v>6390</v>
      </c>
      <c r="C7" s="295">
        <v>6386</v>
      </c>
      <c r="D7" s="295">
        <v>6383</v>
      </c>
      <c r="E7" s="295">
        <v>6379</v>
      </c>
      <c r="F7" s="295">
        <v>6378</v>
      </c>
      <c r="G7" s="105"/>
      <c r="H7" s="106"/>
      <c r="I7" s="106"/>
      <c r="K7" s="102">
        <v>12</v>
      </c>
      <c r="L7" s="103">
        <v>2.1789999999999998</v>
      </c>
      <c r="M7" s="101">
        <v>3.0550000000000002</v>
      </c>
      <c r="N7" s="4" t="s">
        <v>59</v>
      </c>
      <c r="O7" s="8" t="s">
        <v>60</v>
      </c>
      <c r="P7" s="98">
        <v>11</v>
      </c>
      <c r="Q7" s="101">
        <v>2.2040000000000002</v>
      </c>
    </row>
    <row r="8" spans="1:17" ht="18" customHeight="1" thickBot="1" x14ac:dyDescent="0.4">
      <c r="A8" s="13" t="s">
        <v>3</v>
      </c>
      <c r="B8" s="12">
        <f>B7/1000</f>
        <v>6.39</v>
      </c>
      <c r="C8" s="12">
        <f t="shared" ref="C8:F8" si="3">C7/1000</f>
        <v>6.3860000000000001</v>
      </c>
      <c r="D8" s="12">
        <f t="shared" si="3"/>
        <v>6.383</v>
      </c>
      <c r="E8" s="12">
        <f t="shared" si="3"/>
        <v>6.3789999999999996</v>
      </c>
      <c r="F8" s="12">
        <f t="shared" si="3"/>
        <v>6.3780000000000001</v>
      </c>
      <c r="G8" s="211"/>
      <c r="H8" s="97"/>
      <c r="I8" s="98"/>
      <c r="K8" s="102">
        <v>14</v>
      </c>
      <c r="L8" s="103">
        <v>2.145</v>
      </c>
      <c r="M8" s="101">
        <v>2.9769999999999999</v>
      </c>
      <c r="N8" s="41">
        <v>6</v>
      </c>
      <c r="O8" s="107">
        <f>O4-(O4-O6)/(N6-N4)*(N8-N4)</f>
        <v>2.5703999999999998</v>
      </c>
      <c r="P8" s="97">
        <v>12</v>
      </c>
      <c r="Q8" s="101">
        <v>2.1789999999999998</v>
      </c>
    </row>
    <row r="9" spans="1:17" ht="18" customHeight="1" x14ac:dyDescent="0.25">
      <c r="A9" s="14" t="s">
        <v>4</v>
      </c>
      <c r="B9" s="15">
        <v>1</v>
      </c>
      <c r="C9" s="15">
        <v>1</v>
      </c>
      <c r="D9" s="15">
        <v>1</v>
      </c>
      <c r="E9" s="15">
        <v>1</v>
      </c>
      <c r="F9" s="15">
        <v>1</v>
      </c>
      <c r="G9" s="15"/>
      <c r="H9" s="31"/>
      <c r="I9" s="31"/>
      <c r="K9" s="102">
        <v>16</v>
      </c>
      <c r="L9" s="108">
        <v>2.12</v>
      </c>
      <c r="M9" s="103">
        <v>2.9209999999999998</v>
      </c>
      <c r="N9" s="505" t="s">
        <v>61</v>
      </c>
      <c r="O9" s="506"/>
      <c r="P9" s="98">
        <v>13</v>
      </c>
      <c r="Q9" s="109">
        <v>2.1619999999999999</v>
      </c>
    </row>
    <row r="10" spans="1:17" ht="18" customHeight="1" x14ac:dyDescent="0.25">
      <c r="A10" s="110" t="s">
        <v>62</v>
      </c>
      <c r="B10" s="98">
        <v>1</v>
      </c>
      <c r="C10" s="98">
        <v>1</v>
      </c>
      <c r="D10" s="98">
        <v>1</v>
      </c>
      <c r="E10" s="98">
        <v>1</v>
      </c>
      <c r="F10" s="98">
        <v>1</v>
      </c>
      <c r="G10" s="98">
        <v>1</v>
      </c>
      <c r="H10" s="98">
        <v>1</v>
      </c>
      <c r="I10" s="98">
        <v>1</v>
      </c>
      <c r="K10" s="102">
        <v>18</v>
      </c>
      <c r="L10" s="103">
        <v>2.101</v>
      </c>
      <c r="M10" s="103">
        <v>2.8780000000000001</v>
      </c>
      <c r="N10" s="83" t="s">
        <v>63</v>
      </c>
      <c r="O10" s="5" t="s">
        <v>64</v>
      </c>
      <c r="P10" s="97">
        <v>14</v>
      </c>
      <c r="Q10" s="101">
        <v>2.145</v>
      </c>
    </row>
    <row r="11" spans="1:17" ht="18" customHeight="1" x14ac:dyDescent="0.25">
      <c r="A11" s="111" t="s">
        <v>65</v>
      </c>
      <c r="B11" s="313">
        <v>0.89684192489035786</v>
      </c>
      <c r="C11" s="314">
        <v>2.4727900009477675</v>
      </c>
      <c r="D11" s="315">
        <v>4.923893096392761</v>
      </c>
      <c r="E11" s="314">
        <v>7.8534882131707873</v>
      </c>
      <c r="F11" s="314">
        <v>11.494923118503923</v>
      </c>
      <c r="G11" s="113"/>
      <c r="H11" s="112"/>
      <c r="I11" s="114"/>
      <c r="K11" s="102">
        <v>20</v>
      </c>
      <c r="L11" s="103">
        <v>2.0859999999999999</v>
      </c>
      <c r="M11" s="103">
        <v>2.8450000000000002</v>
      </c>
      <c r="N11" s="115">
        <v>1.1000000000000001</v>
      </c>
      <c r="O11" s="116">
        <v>1.4</v>
      </c>
      <c r="P11" s="98">
        <v>15</v>
      </c>
      <c r="Q11" s="109">
        <v>2.133</v>
      </c>
    </row>
    <row r="12" spans="1:17" ht="18" customHeight="1" x14ac:dyDescent="0.25">
      <c r="A12" s="35"/>
      <c r="B12" s="316">
        <v>0.88753296218937217</v>
      </c>
      <c r="C12" s="317">
        <v>2.4879478194047571</v>
      </c>
      <c r="D12" s="318">
        <v>4.9422063891472812</v>
      </c>
      <c r="E12" s="317">
        <v>7.7180054714250446</v>
      </c>
      <c r="F12" s="317">
        <v>14.188803084467594</v>
      </c>
      <c r="G12" s="121"/>
      <c r="H12" s="120"/>
      <c r="I12" s="12"/>
      <c r="K12" s="16">
        <v>22</v>
      </c>
      <c r="L12" s="103">
        <v>2.0739999999999998</v>
      </c>
      <c r="M12" s="103">
        <v>2.819</v>
      </c>
      <c r="N12" s="74"/>
      <c r="O12" s="122"/>
      <c r="P12" s="97">
        <v>16</v>
      </c>
      <c r="Q12" s="123">
        <v>2.12</v>
      </c>
    </row>
    <row r="13" spans="1:17" ht="18" customHeight="1" x14ac:dyDescent="0.25">
      <c r="A13" s="35"/>
      <c r="B13" s="316">
        <v>0.90052736550675272</v>
      </c>
      <c r="C13" s="317">
        <v>2.3650800580264604</v>
      </c>
      <c r="D13" s="318">
        <v>4.7926674159226206</v>
      </c>
      <c r="E13" s="317">
        <v>8.0837116528972057</v>
      </c>
      <c r="F13" s="317">
        <v>11.80069725325696</v>
      </c>
      <c r="G13" s="121"/>
      <c r="H13" s="120"/>
      <c r="I13" s="12"/>
      <c r="K13" s="97">
        <v>26</v>
      </c>
      <c r="L13" s="108">
        <v>2.056</v>
      </c>
      <c r="M13" s="108">
        <v>2.7789999999999999</v>
      </c>
      <c r="N13" s="74"/>
      <c r="O13" s="122"/>
      <c r="P13" s="98">
        <v>17</v>
      </c>
      <c r="Q13" s="109">
        <v>2.1110000000000002</v>
      </c>
    </row>
    <row r="14" spans="1:17" ht="18" customHeight="1" x14ac:dyDescent="0.25">
      <c r="A14" s="35"/>
      <c r="B14" s="316">
        <v>0.87830993965073412</v>
      </c>
      <c r="C14" s="317">
        <v>2.5049240348214727</v>
      </c>
      <c r="D14" s="318">
        <v>5.1021668324605685</v>
      </c>
      <c r="E14" s="317">
        <v>8.0617443532243964</v>
      </c>
      <c r="F14" s="317">
        <v>11.552198717124366</v>
      </c>
      <c r="G14" s="121"/>
      <c r="H14" s="120"/>
      <c r="I14" s="12"/>
      <c r="K14" s="97">
        <v>28</v>
      </c>
      <c r="L14" s="108">
        <v>2.048</v>
      </c>
      <c r="M14" s="108">
        <v>2.7629999999999999</v>
      </c>
      <c r="N14" s="74"/>
      <c r="O14" s="122"/>
      <c r="P14" s="97">
        <v>18</v>
      </c>
      <c r="Q14" s="101">
        <v>2.101</v>
      </c>
    </row>
    <row r="15" spans="1:17" ht="18" customHeight="1" x14ac:dyDescent="0.25">
      <c r="A15" s="35"/>
      <c r="B15" s="316">
        <v>0.91103574168150581</v>
      </c>
      <c r="C15" s="317">
        <v>2.5174028834124336</v>
      </c>
      <c r="D15" s="318">
        <v>4.6824560146951741</v>
      </c>
      <c r="E15" s="317">
        <v>8.272448672912331</v>
      </c>
      <c r="F15" s="317">
        <v>9.7554441119050548</v>
      </c>
      <c r="G15" s="121"/>
      <c r="H15" s="120"/>
      <c r="I15" s="12"/>
      <c r="K15" s="97">
        <v>30</v>
      </c>
      <c r="L15" s="108">
        <v>2.0419999999999998</v>
      </c>
      <c r="M15" s="108">
        <v>2.75</v>
      </c>
      <c r="N15" s="74"/>
      <c r="P15" s="98">
        <v>19</v>
      </c>
      <c r="Q15" s="109">
        <v>2.0939999999999999</v>
      </c>
    </row>
    <row r="16" spans="1:17" ht="18" customHeight="1" x14ac:dyDescent="0.25">
      <c r="A16" s="124"/>
      <c r="B16" s="316">
        <v>0.91108547646241567</v>
      </c>
      <c r="C16" s="317">
        <v>2.3261037546640657</v>
      </c>
      <c r="D16" s="318">
        <v>5.0199069789620072</v>
      </c>
      <c r="E16" s="317">
        <v>7.7130836165191781</v>
      </c>
      <c r="F16" s="317">
        <v>10.669067884384145</v>
      </c>
      <c r="G16" s="121"/>
      <c r="H16" s="120"/>
      <c r="I16" s="12"/>
      <c r="K16" s="97">
        <v>40</v>
      </c>
      <c r="L16" s="108">
        <v>2.02</v>
      </c>
      <c r="M16" s="108">
        <v>2.7</v>
      </c>
      <c r="N16" s="74"/>
      <c r="O16" s="122"/>
      <c r="P16" s="97">
        <v>20</v>
      </c>
      <c r="Q16" s="101">
        <v>2.0859999999999999</v>
      </c>
    </row>
    <row r="17" spans="1:22" ht="18" customHeight="1" x14ac:dyDescent="0.25">
      <c r="A17" s="35"/>
      <c r="B17" s="316">
        <v>0.95426449431686899</v>
      </c>
      <c r="C17" s="317">
        <v>2.4876031683905047</v>
      </c>
      <c r="D17" s="318">
        <v>4.9334466668277699</v>
      </c>
      <c r="E17" s="317">
        <v>6.9648228014327582</v>
      </c>
      <c r="F17" s="317">
        <v>13.191126760429237</v>
      </c>
      <c r="G17" s="121"/>
      <c r="H17" s="120"/>
      <c r="I17" s="12"/>
      <c r="K17" s="97">
        <v>60</v>
      </c>
      <c r="L17" s="108">
        <v>2</v>
      </c>
      <c r="M17" s="108">
        <v>2.66</v>
      </c>
      <c r="N17" s="74"/>
      <c r="O17" s="122"/>
      <c r="P17" s="98">
        <v>21</v>
      </c>
      <c r="Q17" s="109">
        <v>2.08</v>
      </c>
    </row>
    <row r="18" spans="1:22" ht="18" customHeight="1" x14ac:dyDescent="0.25">
      <c r="A18" s="35"/>
      <c r="B18" s="316"/>
      <c r="C18" s="317"/>
      <c r="D18" s="318"/>
      <c r="E18" s="317"/>
      <c r="F18" s="317">
        <v>12.39150101819806</v>
      </c>
      <c r="G18" s="125"/>
      <c r="H18" s="120"/>
      <c r="I18" s="12"/>
      <c r="K18" s="98">
        <v>120</v>
      </c>
      <c r="L18" s="123">
        <v>1.98</v>
      </c>
      <c r="M18" s="108">
        <v>2.62</v>
      </c>
      <c r="N18" s="74"/>
      <c r="O18" s="122"/>
      <c r="P18" s="98">
        <v>22</v>
      </c>
      <c r="Q18" s="101">
        <v>2.0739999999999998</v>
      </c>
    </row>
    <row r="19" spans="1:22" ht="18" customHeight="1" x14ac:dyDescent="0.25">
      <c r="A19" s="124"/>
      <c r="B19" s="316"/>
      <c r="C19" s="317"/>
      <c r="D19" s="318"/>
      <c r="E19" s="317"/>
      <c r="F19" s="317">
        <v>10.915816683873889</v>
      </c>
      <c r="G19" s="125"/>
      <c r="H19" s="120"/>
      <c r="I19" s="12"/>
      <c r="J19" s="43"/>
      <c r="K19" s="88" t="s">
        <v>66</v>
      </c>
      <c r="L19" s="126">
        <v>1.96</v>
      </c>
      <c r="M19" s="127">
        <v>2.5760000000000001</v>
      </c>
      <c r="N19" s="74"/>
      <c r="O19" s="122"/>
      <c r="P19" s="98">
        <v>23</v>
      </c>
      <c r="Q19" s="109">
        <v>2.0699999999999998</v>
      </c>
    </row>
    <row r="20" spans="1:22" ht="18" customHeight="1" x14ac:dyDescent="0.25">
      <c r="A20" s="35"/>
      <c r="B20" s="316"/>
      <c r="C20" s="317"/>
      <c r="D20" s="318"/>
      <c r="E20" s="317"/>
      <c r="F20" s="317">
        <v>12.255883012388963</v>
      </c>
      <c r="G20" s="125"/>
      <c r="H20" s="120"/>
      <c r="I20" s="12"/>
      <c r="J20" s="43"/>
      <c r="P20" s="98">
        <v>24</v>
      </c>
      <c r="Q20" s="109">
        <v>2.0649999999999999</v>
      </c>
    </row>
    <row r="21" spans="1:22" ht="18" customHeight="1" x14ac:dyDescent="0.25">
      <c r="A21" s="35"/>
      <c r="B21" s="316"/>
      <c r="C21" s="317"/>
      <c r="D21" s="318"/>
      <c r="E21" s="317"/>
      <c r="F21" s="317">
        <v>12.350522351900281</v>
      </c>
      <c r="G21" s="125"/>
      <c r="H21" s="120"/>
      <c r="I21" s="12"/>
      <c r="M21" s="128"/>
      <c r="P21" s="98">
        <v>25</v>
      </c>
      <c r="Q21" s="109">
        <v>2.0609999999999999</v>
      </c>
    </row>
    <row r="22" spans="1:22" ht="18" customHeight="1" x14ac:dyDescent="0.3">
      <c r="A22" s="124"/>
      <c r="B22" s="129"/>
      <c r="C22" s="130"/>
      <c r="D22" s="131"/>
      <c r="E22" s="130"/>
      <c r="F22" s="85"/>
      <c r="G22" s="132"/>
      <c r="H22" s="85"/>
      <c r="I22" s="12"/>
      <c r="N22" s="133"/>
      <c r="P22" s="97">
        <v>26</v>
      </c>
      <c r="Q22" s="123">
        <v>2.056</v>
      </c>
    </row>
    <row r="23" spans="1:22" ht="18" customHeight="1" x14ac:dyDescent="0.25">
      <c r="A23" s="35"/>
      <c r="B23" s="129"/>
      <c r="C23" s="130"/>
      <c r="D23" s="131"/>
      <c r="E23" s="130"/>
      <c r="F23" s="85"/>
      <c r="G23" s="132"/>
      <c r="H23" s="85"/>
      <c r="I23" s="12"/>
      <c r="M23" s="47"/>
      <c r="P23" s="97">
        <v>27</v>
      </c>
      <c r="Q23" s="109">
        <v>2.052</v>
      </c>
    </row>
    <row r="24" spans="1:22" ht="18" customHeight="1" x14ac:dyDescent="0.25">
      <c r="A24" s="35"/>
      <c r="B24" s="129"/>
      <c r="C24" s="130"/>
      <c r="D24" s="131"/>
      <c r="E24" s="130"/>
      <c r="F24" s="85"/>
      <c r="G24" s="132"/>
      <c r="H24" s="85"/>
      <c r="I24" s="12"/>
      <c r="P24" s="98">
        <v>28</v>
      </c>
      <c r="Q24" s="123">
        <v>2.048</v>
      </c>
    </row>
    <row r="25" spans="1:22" ht="18" customHeight="1" x14ac:dyDescent="0.25">
      <c r="A25" s="124"/>
      <c r="B25" s="129"/>
      <c r="C25" s="130"/>
      <c r="D25" s="131"/>
      <c r="E25" s="130"/>
      <c r="F25" s="85"/>
      <c r="G25" s="132"/>
      <c r="H25" s="85"/>
      <c r="I25" s="85"/>
      <c r="J25" s="134"/>
      <c r="P25" s="32">
        <v>29</v>
      </c>
      <c r="Q25" s="135">
        <v>2.0449999999999999</v>
      </c>
    </row>
    <row r="26" spans="1:22" ht="18" customHeight="1" x14ac:dyDescent="0.25">
      <c r="A26" s="41"/>
      <c r="B26" s="251"/>
      <c r="C26" s="252"/>
      <c r="D26" s="253"/>
      <c r="E26" s="252"/>
      <c r="F26" s="254"/>
      <c r="G26" s="255"/>
      <c r="H26" s="254"/>
      <c r="I26" s="254"/>
      <c r="J26" s="134"/>
      <c r="L26" s="52"/>
      <c r="Q26" s="74"/>
      <c r="T26" s="43"/>
    </row>
    <row r="27" spans="1:22" ht="18" customHeight="1" x14ac:dyDescent="0.25">
      <c r="A27" s="124" t="s">
        <v>67</v>
      </c>
      <c r="B27" s="136">
        <f>AVERAGE(B11:B26)</f>
        <v>0.90565684352828668</v>
      </c>
      <c r="C27" s="136">
        <f>AVERAGE(C11:C26)</f>
        <v>2.4516931028096374</v>
      </c>
      <c r="D27" s="136">
        <f>AVERAGE(D11:D26)</f>
        <v>4.9138204849154548</v>
      </c>
      <c r="E27" s="136">
        <f>AVERAGE(E11:E26)</f>
        <v>7.8096149687973861</v>
      </c>
      <c r="F27" s="136">
        <f>AVERAGE(F11:F26)</f>
        <v>11.869634908766587</v>
      </c>
      <c r="G27" s="136"/>
      <c r="H27" s="137"/>
      <c r="I27" s="108"/>
      <c r="J27" s="134"/>
      <c r="L27" s="52"/>
      <c r="M27" s="52"/>
      <c r="N27" s="52"/>
      <c r="O27" s="52"/>
      <c r="P27" s="52"/>
      <c r="Q27" s="76"/>
      <c r="T27" s="43"/>
    </row>
    <row r="28" spans="1:22" ht="18" customHeight="1" x14ac:dyDescent="0.35">
      <c r="A28" s="141" t="s">
        <v>69</v>
      </c>
      <c r="B28" s="102">
        <f>DCOUNT(B10:B26,"1",B10:B26)</f>
        <v>7</v>
      </c>
      <c r="C28" s="102">
        <f>DCOUNT(C10:C26,"1",C10:C26)</f>
        <v>7</v>
      </c>
      <c r="D28" s="102">
        <f>DCOUNT(D10:D26,"1",D10:D26)</f>
        <v>7</v>
      </c>
      <c r="E28" s="102">
        <f>DCOUNT(E10:E26,"1",E10:E26)</f>
        <v>7</v>
      </c>
      <c r="F28" s="102">
        <f>DCOUNT(F10:F26,"1",F10:F26)</f>
        <v>11</v>
      </c>
      <c r="G28" s="102"/>
      <c r="H28" s="102"/>
      <c r="I28" s="97"/>
      <c r="J28" s="134"/>
      <c r="L28" s="52"/>
      <c r="M28" s="52"/>
      <c r="N28" s="52"/>
      <c r="O28" s="52"/>
      <c r="P28" s="52"/>
      <c r="Q28" s="76"/>
    </row>
    <row r="29" spans="1:22" ht="18" customHeight="1" x14ac:dyDescent="0.25">
      <c r="A29" s="124" t="s">
        <v>72</v>
      </c>
      <c r="B29" s="143">
        <f>IF(STDEV(B11:B26)/SQRT(B28)&lt;10^(-7),0,STDEV(B11:B26)/SQRT(B28))</f>
        <v>9.2600638662598024E-3</v>
      </c>
      <c r="C29" s="143">
        <f>IF(STDEV(C11:C26)/SQRT(C28)&lt;10^(-7),0,STDEV(C11:C26)/SQRT(C28))</f>
        <v>2.8231537447981039E-2</v>
      </c>
      <c r="D29" s="143">
        <f>IF(STDEV(D11:D26)/SQRT(D28)&lt;10^(-7),0,STDEV(D11:D26)/SQRT(D28))</f>
        <v>5.2605603344685899E-2</v>
      </c>
      <c r="E29" s="143">
        <f>IF(STDEV(E11:E26)/SQRT(E28)&lt;10^(-7),0,STDEV(E11:E26)/SQRT(E28))</f>
        <v>0.16081803721870061</v>
      </c>
      <c r="F29" s="143">
        <f>IF(STDEV(F11:F26)/SQRT(F28)&lt;10^(-7),0,STDEV(F11:F26)/SQRT(F28))</f>
        <v>0.36735574140140193</v>
      </c>
      <c r="G29" s="143"/>
      <c r="H29" s="143"/>
      <c r="I29" s="144"/>
      <c r="J29" s="134"/>
      <c r="L29" s="288"/>
      <c r="M29" s="139" t="s">
        <v>68</v>
      </c>
      <c r="N29" s="6"/>
      <c r="O29" s="6"/>
      <c r="P29" s="139"/>
      <c r="Q29" s="139"/>
      <c r="R29" s="140"/>
      <c r="S29" s="35"/>
      <c r="T29" s="36"/>
      <c r="U29" s="36"/>
    </row>
    <row r="30" spans="1:22" ht="18" customHeight="1" x14ac:dyDescent="0.25">
      <c r="A30" s="145" t="s">
        <v>7</v>
      </c>
      <c r="B30" s="146">
        <f>B29/B27</f>
        <v>1.0224693748444667E-2</v>
      </c>
      <c r="C30" s="146">
        <f t="shared" ref="C30:F30" si="4">C29/C27</f>
        <v>1.1515118844046072E-2</v>
      </c>
      <c r="D30" s="146">
        <f t="shared" si="4"/>
        <v>1.0705642077519039E-2</v>
      </c>
      <c r="E30" s="146">
        <f t="shared" si="4"/>
        <v>2.0592313175647532E-2</v>
      </c>
      <c r="F30" s="146">
        <f t="shared" si="4"/>
        <v>3.0949203090491272E-2</v>
      </c>
      <c r="G30" s="146"/>
      <c r="H30" s="146"/>
      <c r="I30" s="147"/>
      <c r="J30" s="134"/>
      <c r="L30" s="83" t="s">
        <v>70</v>
      </c>
      <c r="M30" s="138" t="s">
        <v>71</v>
      </c>
      <c r="N30" s="139"/>
      <c r="O30" s="139"/>
      <c r="P30" s="139"/>
      <c r="Q30" s="6"/>
      <c r="R30" s="231"/>
      <c r="S30" s="36"/>
      <c r="T30" s="36"/>
      <c r="U30" s="225"/>
      <c r="V30" s="226"/>
    </row>
    <row r="31" spans="1:22" ht="18" customHeight="1" x14ac:dyDescent="0.25">
      <c r="A31" s="40" t="s">
        <v>18</v>
      </c>
      <c r="B31" s="296">
        <v>2</v>
      </c>
      <c r="C31" s="296">
        <v>2</v>
      </c>
      <c r="D31" s="296">
        <v>2</v>
      </c>
      <c r="E31" s="296">
        <v>2</v>
      </c>
      <c r="F31" s="296">
        <v>1</v>
      </c>
      <c r="G31" s="106"/>
      <c r="H31" s="106"/>
      <c r="I31" s="106"/>
      <c r="L31" s="1" t="s">
        <v>1</v>
      </c>
      <c r="M31" s="260">
        <v>5</v>
      </c>
      <c r="N31" s="92">
        <v>10</v>
      </c>
      <c r="O31" s="261">
        <v>16</v>
      </c>
      <c r="P31" s="262">
        <v>20</v>
      </c>
      <c r="Q31" s="92">
        <v>32</v>
      </c>
      <c r="R31" s="34"/>
      <c r="S31" s="74"/>
      <c r="T31" s="74"/>
      <c r="U31" s="17"/>
      <c r="V31" s="17"/>
    </row>
    <row r="32" spans="1:22" ht="18" customHeight="1" x14ac:dyDescent="0.25">
      <c r="A32" s="152" t="s">
        <v>19</v>
      </c>
      <c r="B32" s="297">
        <v>4</v>
      </c>
      <c r="C32" s="297">
        <v>4</v>
      </c>
      <c r="D32" s="297">
        <v>4</v>
      </c>
      <c r="E32" s="297">
        <v>4</v>
      </c>
      <c r="F32" s="297">
        <v>2</v>
      </c>
      <c r="G32" s="153"/>
      <c r="H32" s="153"/>
      <c r="I32" s="153"/>
      <c r="L32" s="4" t="s">
        <v>73</v>
      </c>
      <c r="M32" s="148">
        <f>B2</f>
        <v>9.9911600000000007</v>
      </c>
      <c r="N32" s="148">
        <f>M32</f>
        <v>9.9911600000000007</v>
      </c>
      <c r="O32" s="148">
        <f t="shared" ref="O32:Q33" si="5">N32</f>
        <v>9.9911600000000007</v>
      </c>
      <c r="P32" s="148">
        <f t="shared" si="5"/>
        <v>9.9911600000000007</v>
      </c>
      <c r="Q32" s="148">
        <f t="shared" si="5"/>
        <v>9.9911600000000007</v>
      </c>
      <c r="R32" s="232"/>
      <c r="S32" s="214"/>
      <c r="T32" s="214"/>
      <c r="U32" s="227"/>
      <c r="V32" s="227"/>
    </row>
    <row r="33" spans="1:22" ht="18" customHeight="1" x14ac:dyDescent="0.25">
      <c r="A33" s="40" t="s">
        <v>8</v>
      </c>
      <c r="B33" s="136">
        <f>B27/2/(B2/1000)/(B32-B31)</f>
        <v>22.661453813378191</v>
      </c>
      <c r="C33" s="136">
        <f t="shared" ref="C33:F33" si="6">C27/2/(C2/1000)/(C32-C31)</f>
        <v>61.346557927448792</v>
      </c>
      <c r="D33" s="136">
        <f t="shared" si="6"/>
        <v>122.95420363890315</v>
      </c>
      <c r="E33" s="136">
        <f t="shared" si="6"/>
        <v>195.4131194174997</v>
      </c>
      <c r="F33" s="136">
        <f t="shared" si="6"/>
        <v>594.00684749151185</v>
      </c>
      <c r="G33" s="136"/>
      <c r="H33" s="136"/>
      <c r="I33" s="136"/>
      <c r="J33" t="s">
        <v>80</v>
      </c>
      <c r="L33" s="13" t="s">
        <v>74</v>
      </c>
      <c r="M33" s="13">
        <v>98</v>
      </c>
      <c r="N33" s="13">
        <f>M33</f>
        <v>98</v>
      </c>
      <c r="O33" s="13">
        <f t="shared" si="5"/>
        <v>98</v>
      </c>
      <c r="P33" s="13">
        <f t="shared" si="5"/>
        <v>98</v>
      </c>
      <c r="Q33" s="13">
        <f t="shared" si="5"/>
        <v>98</v>
      </c>
      <c r="R33" s="30"/>
      <c r="S33" s="36"/>
      <c r="T33" s="36"/>
      <c r="U33" s="200"/>
      <c r="V33" s="200"/>
    </row>
    <row r="34" spans="1:22" ht="18" customHeight="1" x14ac:dyDescent="0.25">
      <c r="A34" s="157" t="s">
        <v>9</v>
      </c>
      <c r="B34" s="298">
        <v>0</v>
      </c>
      <c r="C34" s="299">
        <v>0</v>
      </c>
      <c r="D34" s="300">
        <v>0</v>
      </c>
      <c r="E34" s="300">
        <v>0</v>
      </c>
      <c r="F34" s="300">
        <v>0</v>
      </c>
      <c r="G34" s="158"/>
      <c r="H34" s="159"/>
      <c r="I34" s="160"/>
      <c r="J34" s="307" t="s">
        <v>177</v>
      </c>
      <c r="L34" s="13" t="s">
        <v>75</v>
      </c>
      <c r="M34" s="29">
        <f>B32-B31</f>
        <v>2</v>
      </c>
      <c r="N34" s="29">
        <f>C32-C31</f>
        <v>2</v>
      </c>
      <c r="O34" s="29">
        <f>D32-D31</f>
        <v>2</v>
      </c>
      <c r="P34" s="29">
        <f>E32-E31</f>
        <v>2</v>
      </c>
      <c r="Q34" s="29">
        <f>F32-F31</f>
        <v>1</v>
      </c>
      <c r="R34" s="233"/>
      <c r="S34" s="75"/>
      <c r="T34" s="75"/>
      <c r="U34" s="222"/>
      <c r="V34" s="222"/>
    </row>
    <row r="35" spans="1:22" ht="18" customHeight="1" x14ac:dyDescent="0.35">
      <c r="A35" s="157" t="s">
        <v>84</v>
      </c>
      <c r="B35" s="161">
        <f>B27-B34</f>
        <v>0.90565684352828668</v>
      </c>
      <c r="C35" s="162">
        <f>C27-C34</f>
        <v>2.4516931028096374</v>
      </c>
      <c r="D35" s="162">
        <f>D27-D34</f>
        <v>4.9138204849154548</v>
      </c>
      <c r="E35" s="162">
        <f>E27-E34</f>
        <v>7.8096149687973861</v>
      </c>
      <c r="F35" s="162">
        <f>F27-F34</f>
        <v>11.869634908766587</v>
      </c>
      <c r="G35" s="162"/>
      <c r="H35" s="163"/>
      <c r="I35" s="163"/>
      <c r="L35" s="13" t="s">
        <v>2</v>
      </c>
      <c r="M35" s="13">
        <f>B7</f>
        <v>6390</v>
      </c>
      <c r="N35" s="13">
        <f t="shared" ref="N35:Q35" si="7">C7</f>
        <v>6386</v>
      </c>
      <c r="O35" s="13">
        <f t="shared" si="7"/>
        <v>6383</v>
      </c>
      <c r="P35" s="13">
        <f t="shared" si="7"/>
        <v>6379</v>
      </c>
      <c r="Q35" s="13">
        <f t="shared" si="7"/>
        <v>6378</v>
      </c>
      <c r="R35" s="30"/>
      <c r="S35" s="36"/>
      <c r="T35" s="36"/>
      <c r="U35" s="200"/>
      <c r="V35" s="200"/>
    </row>
    <row r="36" spans="1:22" ht="18" customHeight="1" x14ac:dyDescent="0.25">
      <c r="A36" s="164" t="s">
        <v>10</v>
      </c>
      <c r="B36" s="136">
        <f>(B27-B34)/2/(B2/1000)/(B32-B31)</f>
        <v>22.661453813378191</v>
      </c>
      <c r="C36" s="136">
        <f t="shared" ref="C36:F36" si="8">(C27-C34)/2/(C2/1000)/(C32-C31)</f>
        <v>61.346557927448792</v>
      </c>
      <c r="D36" s="136">
        <f t="shared" si="8"/>
        <v>122.95420363890315</v>
      </c>
      <c r="E36" s="136">
        <f t="shared" si="8"/>
        <v>195.4131194174997</v>
      </c>
      <c r="F36" s="136">
        <f t="shared" si="8"/>
        <v>594.00684749151185</v>
      </c>
      <c r="G36" s="136"/>
      <c r="H36" s="165"/>
      <c r="I36" s="166"/>
      <c r="J36" t="s">
        <v>87</v>
      </c>
      <c r="K36" s="149" t="s">
        <v>76</v>
      </c>
      <c r="L36" s="124" t="s">
        <v>67</v>
      </c>
      <c r="M36" s="150">
        <f>B27</f>
        <v>0.90565684352828668</v>
      </c>
      <c r="N36" s="150">
        <f>C27</f>
        <v>2.4516931028096374</v>
      </c>
      <c r="O36" s="150">
        <f>D27</f>
        <v>4.9138204849154548</v>
      </c>
      <c r="P36" s="150">
        <f>E27</f>
        <v>7.8096149687973861</v>
      </c>
      <c r="Q36" s="150">
        <f>F27</f>
        <v>11.869634908766587</v>
      </c>
      <c r="R36" s="234"/>
      <c r="S36" s="215"/>
      <c r="T36" s="215"/>
      <c r="U36" s="217"/>
      <c r="V36" s="217"/>
    </row>
    <row r="37" spans="1:22" ht="18" customHeight="1" x14ac:dyDescent="0.25">
      <c r="A37" s="29" t="s">
        <v>94</v>
      </c>
      <c r="B37" s="143">
        <f>B36*(B4^2+B29^2/B35^2)^0.5</f>
        <v>0.23170696244083527</v>
      </c>
      <c r="C37" s="143">
        <f t="shared" ref="C37:F37" si="9">C36*(C4^2+C29^2/C35^2)^0.5</f>
        <v>0.7064141967389731</v>
      </c>
      <c r="D37" s="143">
        <f t="shared" si="9"/>
        <v>1.3163064803698257</v>
      </c>
      <c r="E37" s="143">
        <f t="shared" si="9"/>
        <v>4.0240104542270609</v>
      </c>
      <c r="F37" s="143">
        <f t="shared" si="9"/>
        <v>18.384043213075969</v>
      </c>
      <c r="G37" s="143"/>
      <c r="H37" s="143"/>
      <c r="I37" s="143"/>
      <c r="K37" s="151" t="s">
        <v>77</v>
      </c>
      <c r="L37" s="4" t="s">
        <v>78</v>
      </c>
      <c r="M37" s="13">
        <v>0.02</v>
      </c>
      <c r="N37" s="13">
        <f>M37</f>
        <v>0.02</v>
      </c>
      <c r="O37" s="13">
        <f t="shared" ref="O37:Q37" si="10">N37</f>
        <v>0.02</v>
      </c>
      <c r="P37" s="13">
        <f t="shared" si="10"/>
        <v>0.02</v>
      </c>
      <c r="Q37" s="13">
        <f t="shared" si="10"/>
        <v>0.02</v>
      </c>
      <c r="R37" s="10"/>
      <c r="S37" s="36"/>
      <c r="T37" s="36"/>
      <c r="U37" s="200"/>
      <c r="V37" s="200"/>
    </row>
    <row r="38" spans="1:22" ht="18" customHeight="1" x14ac:dyDescent="0.25">
      <c r="A38" s="14" t="s">
        <v>7</v>
      </c>
      <c r="B38" s="146">
        <f>B37/B36</f>
        <v>1.0224717458508644E-2</v>
      </c>
      <c r="C38" s="146">
        <f>C37/C36</f>
        <v>1.1515139897081274E-2</v>
      </c>
      <c r="D38" s="146">
        <f>D37/D36</f>
        <v>1.0705664722416547E-2</v>
      </c>
      <c r="E38" s="146">
        <f>E37/E36</f>
        <v>2.0592324948407233E-2</v>
      </c>
      <c r="F38" s="146">
        <f>F37/F36</f>
        <v>3.0949210923597426E-2</v>
      </c>
      <c r="G38" s="146"/>
      <c r="H38" s="146"/>
      <c r="I38" s="146"/>
      <c r="K38" s="13" t="s">
        <v>136</v>
      </c>
      <c r="L38" s="154" t="s">
        <v>79</v>
      </c>
      <c r="M38" s="13">
        <v>0.2</v>
      </c>
      <c r="N38" s="13">
        <v>0.2</v>
      </c>
      <c r="O38" s="13">
        <v>0.2</v>
      </c>
      <c r="P38" s="13">
        <v>0.2</v>
      </c>
      <c r="Q38" s="13">
        <v>0.2</v>
      </c>
      <c r="R38" s="30"/>
      <c r="S38" s="36"/>
      <c r="T38" s="36"/>
      <c r="U38" s="200"/>
      <c r="V38" s="200"/>
    </row>
    <row r="39" spans="1:22" ht="18" customHeight="1" x14ac:dyDescent="0.25">
      <c r="A39" s="29" t="s">
        <v>99</v>
      </c>
      <c r="B39" s="143">
        <f>M61</f>
        <v>1.0152065493994933</v>
      </c>
      <c r="C39" s="143">
        <f>N61</f>
        <v>1.5570236694032686</v>
      </c>
      <c r="D39" s="143">
        <f>O61</f>
        <v>3.073866739545466</v>
      </c>
      <c r="E39" s="143">
        <f>P61</f>
        <v>5.7196328380478034</v>
      </c>
      <c r="F39" s="143">
        <f>Q61</f>
        <v>22.969933997444961</v>
      </c>
      <c r="G39" s="143"/>
      <c r="H39" s="143"/>
      <c r="I39" s="143"/>
      <c r="K39" s="155" t="s">
        <v>137</v>
      </c>
      <c r="L39" s="156" t="s">
        <v>81</v>
      </c>
      <c r="M39" s="155">
        <v>0.1</v>
      </c>
      <c r="N39" s="155">
        <f>M39</f>
        <v>0.1</v>
      </c>
      <c r="O39" s="155">
        <f t="shared" ref="O39:Q39" si="11">N39</f>
        <v>0.1</v>
      </c>
      <c r="P39" s="155">
        <f t="shared" si="11"/>
        <v>0.1</v>
      </c>
      <c r="Q39" s="155">
        <f t="shared" si="11"/>
        <v>0.1</v>
      </c>
      <c r="R39" s="221"/>
      <c r="S39" s="200"/>
      <c r="T39" s="200"/>
      <c r="U39" s="200"/>
      <c r="V39" s="200"/>
    </row>
    <row r="40" spans="1:22" ht="18" customHeight="1" x14ac:dyDescent="0.25">
      <c r="A40" s="172" t="s">
        <v>70</v>
      </c>
      <c r="B40" s="173">
        <f>B39/B36</f>
        <v>4.4798827019657761E-2</v>
      </c>
      <c r="C40" s="173">
        <f>C39/C36</f>
        <v>2.5380782916046816E-2</v>
      </c>
      <c r="D40" s="173">
        <f>D39/D36</f>
        <v>2.5000094739118652E-2</v>
      </c>
      <c r="E40" s="173">
        <f>E39/E36</f>
        <v>2.9269441351211536E-2</v>
      </c>
      <c r="F40" s="173">
        <f>F39/F36</f>
        <v>3.8669476782038602E-2</v>
      </c>
      <c r="G40" s="173"/>
      <c r="H40" s="173"/>
      <c r="I40" s="173"/>
      <c r="J40" s="13"/>
      <c r="K40" s="155" t="s">
        <v>82</v>
      </c>
      <c r="L40" s="156" t="s">
        <v>83</v>
      </c>
      <c r="M40" s="13">
        <v>10</v>
      </c>
      <c r="N40">
        <v>10</v>
      </c>
      <c r="O40" s="35">
        <v>10</v>
      </c>
      <c r="P40" s="13">
        <v>10</v>
      </c>
      <c r="Q40" s="13">
        <v>10</v>
      </c>
      <c r="R40" s="30"/>
      <c r="S40" s="36"/>
      <c r="T40" s="36"/>
      <c r="U40" s="200"/>
      <c r="V40" s="200"/>
    </row>
    <row r="41" spans="1:22" ht="18" customHeight="1" x14ac:dyDescent="0.35">
      <c r="A41" s="175" t="s">
        <v>102</v>
      </c>
      <c r="B41" s="176">
        <f t="shared" ref="B41:F41" si="12">B40/B38</f>
        <v>4.3814244453647744</v>
      </c>
      <c r="C41" s="176">
        <f t="shared" si="12"/>
        <v>2.2041228454792847</v>
      </c>
      <c r="D41" s="176">
        <f t="shared" si="12"/>
        <v>2.3352211550928788</v>
      </c>
      <c r="E41" s="176">
        <f t="shared" si="12"/>
        <v>1.4213762372410239</v>
      </c>
      <c r="F41" s="176">
        <f t="shared" si="12"/>
        <v>1.2494495215887655</v>
      </c>
      <c r="G41" s="176"/>
      <c r="H41" s="176"/>
      <c r="I41" s="176"/>
      <c r="K41" s="37" t="s">
        <v>85</v>
      </c>
      <c r="L41" s="220" t="s">
        <v>86</v>
      </c>
      <c r="M41" s="13">
        <v>5</v>
      </c>
      <c r="N41" s="13">
        <v>5</v>
      </c>
      <c r="O41" s="13">
        <v>5</v>
      </c>
      <c r="P41" s="13">
        <v>5</v>
      </c>
      <c r="Q41" s="13">
        <v>5</v>
      </c>
      <c r="R41" s="30"/>
      <c r="S41" s="36"/>
      <c r="T41" s="36"/>
      <c r="U41" s="200"/>
      <c r="V41" s="200"/>
    </row>
    <row r="42" spans="1:22" ht="18" customHeight="1" x14ac:dyDescent="0.25">
      <c r="A42" s="178"/>
      <c r="B42" s="84">
        <f>(B38)^4/((B4)^4/(B5+1)+(B30)^4/(B28+1))-2</f>
        <v>6.0000742048964124</v>
      </c>
      <c r="C42" s="84">
        <f t="shared" ref="C42:F42" si="13">(C38)^4/((C4)^4/(C5+1)+(C30)^4/(C28+1))-2</f>
        <v>6.0000585054605935</v>
      </c>
      <c r="D42" s="84">
        <f t="shared" si="13"/>
        <v>6.0000676873904855</v>
      </c>
      <c r="E42" s="84">
        <f t="shared" si="13"/>
        <v>6.0000182946103777</v>
      </c>
      <c r="F42" s="84">
        <f t="shared" si="13"/>
        <v>10.000012148585755</v>
      </c>
      <c r="G42" s="84"/>
      <c r="H42" s="84"/>
      <c r="I42" s="84"/>
      <c r="K42" s="37" t="s">
        <v>85</v>
      </c>
      <c r="L42" s="154" t="s">
        <v>88</v>
      </c>
      <c r="M42" s="167">
        <f t="shared" ref="M42:Q42" si="14">M41/M33/1000</f>
        <v>5.1020408163265308E-5</v>
      </c>
      <c r="N42" s="167">
        <f t="shared" si="14"/>
        <v>5.1020408163265308E-5</v>
      </c>
      <c r="O42" s="167">
        <f t="shared" si="14"/>
        <v>5.1020408163265308E-5</v>
      </c>
      <c r="P42" s="167">
        <f t="shared" si="14"/>
        <v>5.1020408163265308E-5</v>
      </c>
      <c r="Q42" s="167">
        <f t="shared" si="14"/>
        <v>5.1020408163265308E-5</v>
      </c>
      <c r="R42" s="235"/>
      <c r="S42" s="202"/>
      <c r="T42" s="202"/>
      <c r="U42" s="223"/>
      <c r="V42" s="223"/>
    </row>
    <row r="43" spans="1:22" ht="18" customHeight="1" x14ac:dyDescent="0.25">
      <c r="A43" s="13"/>
      <c r="B43" s="301">
        <v>2.57</v>
      </c>
      <c r="C43" s="301">
        <v>2.57</v>
      </c>
      <c r="D43" s="301">
        <v>2.57</v>
      </c>
      <c r="E43" s="301">
        <v>2.57</v>
      </c>
      <c r="F43" s="301">
        <v>2.2280000000000002</v>
      </c>
      <c r="G43" s="28"/>
      <c r="H43" s="28"/>
      <c r="I43" s="28"/>
      <c r="K43" s="168" t="s">
        <v>90</v>
      </c>
      <c r="L43" s="169" t="s">
        <v>91</v>
      </c>
      <c r="M43" s="13">
        <v>0.18</v>
      </c>
      <c r="N43" s="13">
        <v>0.5</v>
      </c>
      <c r="O43" s="13">
        <v>0.8</v>
      </c>
      <c r="P43" s="13">
        <v>0.8</v>
      </c>
      <c r="Q43" s="13">
        <v>0.8</v>
      </c>
      <c r="R43" s="30"/>
      <c r="S43" s="36"/>
      <c r="T43" s="36"/>
      <c r="U43" s="200"/>
      <c r="V43" s="200"/>
    </row>
    <row r="44" spans="1:22" ht="18" customHeight="1" x14ac:dyDescent="0.25">
      <c r="A44" s="29" t="s">
        <v>107</v>
      </c>
      <c r="B44" s="136">
        <f>B36*B45</f>
        <v>1.2240940652268815</v>
      </c>
      <c r="C44" s="136">
        <f>C36*C45</f>
        <v>2.3910219033876761</v>
      </c>
      <c r="D44" s="136">
        <f>D36*D45</f>
        <v>4.589038664820106</v>
      </c>
      <c r="E44" s="136">
        <f>E36*E45</f>
        <v>11.476597326699522</v>
      </c>
      <c r="F44" s="136">
        <f>F36*F45</f>
        <v>46.171476415995954</v>
      </c>
      <c r="G44" s="136"/>
      <c r="H44" s="136"/>
      <c r="I44" s="136"/>
      <c r="J44" t="s">
        <v>108</v>
      </c>
      <c r="K44" s="37" t="s">
        <v>92</v>
      </c>
      <c r="L44" s="154" t="s">
        <v>93</v>
      </c>
      <c r="M44" s="13">
        <v>0.02</v>
      </c>
      <c r="N44" s="13">
        <v>0.02</v>
      </c>
      <c r="O44" s="13">
        <v>0.02</v>
      </c>
      <c r="P44" s="13">
        <v>0.02</v>
      </c>
      <c r="Q44" s="13">
        <v>0.02</v>
      </c>
      <c r="R44" s="30"/>
      <c r="S44" s="36"/>
      <c r="T44" s="36"/>
      <c r="U44" s="200"/>
      <c r="V44" s="200"/>
    </row>
    <row r="45" spans="1:22" ht="18" customHeight="1" x14ac:dyDescent="0.25">
      <c r="A45" s="33"/>
      <c r="B45" s="146">
        <f t="shared" ref="B45:F45" si="15">((B43*B38+B40)/(B38+B40/1.1/3^0.5))*(B38^2+(B40/1.1/3^0.5)^2)^0.5</f>
        <v>5.4016572604191772E-2</v>
      </c>
      <c r="C45" s="146">
        <f t="shared" si="15"/>
        <v>3.8975648906258223E-2</v>
      </c>
      <c r="D45" s="146">
        <f t="shared" si="15"/>
        <v>3.7323153897994239E-2</v>
      </c>
      <c r="E45" s="146">
        <f t="shared" si="15"/>
        <v>5.8729922335356601E-2</v>
      </c>
      <c r="F45" s="146">
        <f t="shared" si="15"/>
        <v>7.7728862236147417E-2</v>
      </c>
      <c r="G45" s="146"/>
      <c r="H45" s="146"/>
      <c r="I45" s="147"/>
      <c r="J45" t="s">
        <v>110</v>
      </c>
      <c r="K45" s="37" t="s">
        <v>95</v>
      </c>
      <c r="L45" s="154" t="s">
        <v>96</v>
      </c>
      <c r="M45" s="13">
        <v>0.1</v>
      </c>
      <c r="N45" s="13">
        <v>0.1</v>
      </c>
      <c r="O45" s="13">
        <v>0.1</v>
      </c>
      <c r="P45" s="13">
        <v>0.1</v>
      </c>
      <c r="Q45" s="13">
        <v>0.1</v>
      </c>
      <c r="R45" s="30"/>
      <c r="S45" s="36"/>
      <c r="T45" s="36"/>
      <c r="U45" s="200"/>
      <c r="V45" s="200"/>
    </row>
    <row r="46" spans="1:22" ht="18" customHeight="1" x14ac:dyDescent="0.25">
      <c r="A46" s="30" t="s">
        <v>112</v>
      </c>
      <c r="B46" s="302">
        <v>0</v>
      </c>
      <c r="C46" s="302">
        <v>0</v>
      </c>
      <c r="D46" s="302">
        <v>0</v>
      </c>
      <c r="E46" s="302">
        <v>0</v>
      </c>
      <c r="F46" s="302">
        <v>0</v>
      </c>
      <c r="G46" s="56"/>
      <c r="H46" s="56"/>
      <c r="I46" s="56"/>
      <c r="K46" s="37" t="s">
        <v>97</v>
      </c>
      <c r="L46" s="170" t="s">
        <v>98</v>
      </c>
      <c r="M46" s="155">
        <v>0.1</v>
      </c>
      <c r="N46" s="13">
        <v>0.1</v>
      </c>
      <c r="O46" s="13">
        <v>0.1</v>
      </c>
      <c r="P46" s="13">
        <v>0.1</v>
      </c>
      <c r="Q46" s="13">
        <v>0.1</v>
      </c>
      <c r="R46" s="221"/>
      <c r="S46" s="200"/>
      <c r="T46" s="200"/>
      <c r="U46" s="200"/>
      <c r="V46" s="200"/>
    </row>
    <row r="47" spans="1:22" ht="18" customHeight="1" x14ac:dyDescent="0.25">
      <c r="A47" s="30" t="s">
        <v>114</v>
      </c>
      <c r="B47" s="302">
        <v>22.1</v>
      </c>
      <c r="C47" s="302">
        <v>22.3</v>
      </c>
      <c r="D47" s="302">
        <v>22.2</v>
      </c>
      <c r="E47" s="302">
        <v>21.8</v>
      </c>
      <c r="F47" s="302">
        <v>21.8</v>
      </c>
      <c r="G47" s="56"/>
      <c r="H47" s="57"/>
      <c r="I47" s="57"/>
      <c r="J47" t="s">
        <v>175</v>
      </c>
      <c r="K47" s="37" t="s">
        <v>100</v>
      </c>
      <c r="L47" s="171" t="s">
        <v>101</v>
      </c>
      <c r="M47" s="155">
        <v>1</v>
      </c>
      <c r="N47" s="155">
        <v>1</v>
      </c>
      <c r="O47" s="155">
        <v>1</v>
      </c>
      <c r="P47" s="155">
        <v>1</v>
      </c>
      <c r="Q47" s="155">
        <v>1</v>
      </c>
      <c r="R47" s="221"/>
      <c r="S47" s="200"/>
      <c r="T47" s="200"/>
      <c r="U47" s="200"/>
      <c r="V47" s="200"/>
    </row>
    <row r="48" spans="1:22" ht="18" customHeight="1" x14ac:dyDescent="0.35">
      <c r="A48" s="1" t="s">
        <v>115</v>
      </c>
      <c r="B48" s="160">
        <f>(22-B47)*B46</f>
        <v>0</v>
      </c>
      <c r="C48" s="160">
        <f t="shared" ref="C48:F48" si="16">(22-C47)*C46</f>
        <v>0</v>
      </c>
      <c r="D48" s="160">
        <f t="shared" si="16"/>
        <v>0</v>
      </c>
      <c r="E48" s="160">
        <f t="shared" si="16"/>
        <v>0</v>
      </c>
      <c r="F48" s="160">
        <f t="shared" si="16"/>
        <v>0</v>
      </c>
      <c r="G48" s="160"/>
      <c r="H48" s="160"/>
      <c r="I48" s="160"/>
      <c r="J48" t="s">
        <v>176</v>
      </c>
      <c r="K48" s="306" t="s">
        <v>134</v>
      </c>
      <c r="L48" s="174" t="s">
        <v>135</v>
      </c>
      <c r="M48" s="219">
        <f>0.04*(1-10^(M36/20))/5</f>
        <v>-8.7917936643261473E-4</v>
      </c>
      <c r="N48" s="229">
        <f t="shared" ref="N48:Q48" si="17">0.04*(1-10^(N36/20))/5</f>
        <v>-2.60900470784018E-3</v>
      </c>
      <c r="O48" s="229">
        <f t="shared" si="17"/>
        <v>-6.0857835740388746E-3</v>
      </c>
      <c r="P48" s="230">
        <f t="shared" si="17"/>
        <v>-1.1659421560579293E-2</v>
      </c>
      <c r="Q48" s="230">
        <f t="shared" si="17"/>
        <v>-2.3374132939956781E-2</v>
      </c>
      <c r="R48" s="33"/>
      <c r="S48" s="36"/>
      <c r="T48" s="36"/>
      <c r="U48" s="219"/>
      <c r="V48" s="219"/>
    </row>
    <row r="49" spans="1:22" ht="18" customHeight="1" x14ac:dyDescent="0.25">
      <c r="A49" s="13" t="s">
        <v>89</v>
      </c>
      <c r="B49" s="181">
        <f>B36+B48</f>
        <v>22.661453813378191</v>
      </c>
      <c r="C49" s="181">
        <f>C36+C48</f>
        <v>61.346557927448792</v>
      </c>
      <c r="D49" s="181">
        <f>D36+D48</f>
        <v>122.95420363890315</v>
      </c>
      <c r="E49" s="181">
        <f>E36+E48</f>
        <v>195.4131194174997</v>
      </c>
      <c r="F49" s="181">
        <f>F36+F48</f>
        <v>594.00684749151185</v>
      </c>
      <c r="G49" s="181"/>
      <c r="H49" s="182"/>
      <c r="I49" s="182"/>
      <c r="J49" t="s">
        <v>173</v>
      </c>
      <c r="K49" s="287" t="s">
        <v>103</v>
      </c>
      <c r="L49" s="177" t="s">
        <v>104</v>
      </c>
      <c r="M49" s="305">
        <f>M37</f>
        <v>0.02</v>
      </c>
      <c r="N49" s="305">
        <f>N37</f>
        <v>0.02</v>
      </c>
      <c r="O49" s="305">
        <f>O37</f>
        <v>0.02</v>
      </c>
      <c r="P49" s="305">
        <f>P37</f>
        <v>0.02</v>
      </c>
      <c r="Q49" s="305">
        <f>Q37</f>
        <v>0.02</v>
      </c>
      <c r="R49" s="4"/>
      <c r="S49" s="304"/>
      <c r="T49" s="303"/>
      <c r="U49" s="303"/>
    </row>
    <row r="50" spans="1:22" ht="18" customHeight="1" x14ac:dyDescent="0.25">
      <c r="A50" s="186" t="s">
        <v>120</v>
      </c>
      <c r="B50" s="187">
        <f t="shared" ref="B50:F51" si="18">B37</f>
        <v>0.23170696244083527</v>
      </c>
      <c r="C50" s="187">
        <f t="shared" si="18"/>
        <v>0.7064141967389731</v>
      </c>
      <c r="D50" s="187">
        <f t="shared" si="18"/>
        <v>1.3163064803698257</v>
      </c>
      <c r="E50" s="187">
        <f t="shared" si="18"/>
        <v>4.0240104542270609</v>
      </c>
      <c r="F50" s="187">
        <f t="shared" si="18"/>
        <v>18.384043213075969</v>
      </c>
      <c r="G50" s="187"/>
      <c r="H50" s="187"/>
      <c r="I50" s="187"/>
      <c r="K50" s="13"/>
      <c r="L50" s="154" t="s">
        <v>105</v>
      </c>
      <c r="M50" s="218">
        <f>0.01/0.2*M38</f>
        <v>0.01</v>
      </c>
      <c r="N50" s="218">
        <f>0.01/0.2*N38</f>
        <v>0.01</v>
      </c>
      <c r="O50" s="218">
        <f>0.01/0.2*O38</f>
        <v>0.01</v>
      </c>
      <c r="P50" s="218">
        <f>0.01/0.2*P38</f>
        <v>0.01</v>
      </c>
      <c r="Q50" s="218">
        <f>0.01/0.2*Q38</f>
        <v>0.01</v>
      </c>
      <c r="R50" s="13"/>
    </row>
    <row r="51" spans="1:22" ht="18" customHeight="1" x14ac:dyDescent="0.25">
      <c r="A51" s="189"/>
      <c r="B51" s="146">
        <f t="shared" si="18"/>
        <v>1.0224717458508644E-2</v>
      </c>
      <c r="C51" s="146">
        <f t="shared" si="18"/>
        <v>1.1515139897081274E-2</v>
      </c>
      <c r="D51" s="146">
        <f t="shared" si="18"/>
        <v>1.0705664722416547E-2</v>
      </c>
      <c r="E51" s="146">
        <f t="shared" si="18"/>
        <v>2.0592324948407233E-2</v>
      </c>
      <c r="F51" s="146">
        <f t="shared" si="18"/>
        <v>3.0949210923597426E-2</v>
      </c>
      <c r="G51" s="146"/>
      <c r="H51" s="147"/>
      <c r="I51" s="147"/>
      <c r="K51" s="13"/>
      <c r="L51" s="169" t="s">
        <v>106</v>
      </c>
      <c r="M51" s="218">
        <f>0.01/0.04*M39</f>
        <v>2.5000000000000001E-2</v>
      </c>
      <c r="N51" s="218">
        <f>0.01/0.04*N39</f>
        <v>2.5000000000000001E-2</v>
      </c>
      <c r="O51" s="218">
        <f>0.01/0.04*O39</f>
        <v>2.5000000000000001E-2</v>
      </c>
      <c r="P51" s="218">
        <f>0.01/0.04*P39</f>
        <v>2.5000000000000001E-2</v>
      </c>
      <c r="Q51" s="218">
        <f>0.01/0.04*Q39</f>
        <v>2.5000000000000001E-2</v>
      </c>
      <c r="R51" s="13"/>
    </row>
    <row r="52" spans="1:22" ht="18" customHeight="1" x14ac:dyDescent="0.25">
      <c r="A52" s="190" t="s">
        <v>123</v>
      </c>
      <c r="B52" s="143">
        <f t="shared" ref="B52:F53" si="19">B39/(1.1*3^0.5)</f>
        <v>0.53284524961715318</v>
      </c>
      <c r="C52" s="143">
        <f t="shared" si="19"/>
        <v>0.81722548605872358</v>
      </c>
      <c r="D52" s="143">
        <f t="shared" si="19"/>
        <v>1.6133616268451019</v>
      </c>
      <c r="E52" s="143">
        <f t="shared" si="19"/>
        <v>3.0020286897388386</v>
      </c>
      <c r="F52" s="143">
        <f t="shared" si="19"/>
        <v>12.056088706084349</v>
      </c>
      <c r="G52" s="143"/>
      <c r="H52" s="143"/>
      <c r="I52" s="143"/>
      <c r="K52" s="13"/>
      <c r="L52" s="154" t="s">
        <v>109</v>
      </c>
      <c r="M52" s="38">
        <f>4.34*(2*PI()*M31/M35*M40*M42*1000)^2*(B32^2-B31^2)</f>
        <v>3.2768522650896933E-4</v>
      </c>
      <c r="N52" s="38">
        <f>4.34*(2*PI()*N31/N35*N40*N42*1000)^2*(C32^2-C31^2)</f>
        <v>1.3123834383384735E-3</v>
      </c>
      <c r="O52" s="38">
        <f>4.34*(2*PI()*O31/O35*O40*O42*1000)^2*(D32^2-D31^2)</f>
        <v>3.3628604532786148E-3</v>
      </c>
      <c r="P52" s="38">
        <f>4.34*(2*PI()*P31/P35*P40*P42*1000)^2*(E32^2-E31^2)</f>
        <v>5.261061233617738E-3</v>
      </c>
      <c r="Q52" s="38">
        <f>4.34*(2*PI()*Q31/Q35*Q40*Q42*1000)^2*(F32^2-F31^2)</f>
        <v>3.3681351139900903E-3</v>
      </c>
      <c r="R52" s="13"/>
    </row>
    <row r="53" spans="1:22" ht="18" customHeight="1" x14ac:dyDescent="0.25">
      <c r="A53" s="189"/>
      <c r="B53" s="146">
        <f t="shared" si="19"/>
        <v>2.3513286217435352E-2</v>
      </c>
      <c r="C53" s="146">
        <f t="shared" si="19"/>
        <v>1.3321456226202804E-2</v>
      </c>
      <c r="D53" s="146">
        <f t="shared" si="19"/>
        <v>1.3121646752178454E-2</v>
      </c>
      <c r="E53" s="146">
        <f t="shared" si="19"/>
        <v>1.5362472584683585E-2</v>
      </c>
      <c r="F53" s="146">
        <f t="shared" si="19"/>
        <v>2.029621166321088E-2</v>
      </c>
      <c r="G53" s="146"/>
      <c r="H53" s="147"/>
      <c r="I53" s="147"/>
      <c r="K53" s="13"/>
      <c r="L53" s="154" t="s">
        <v>111</v>
      </c>
      <c r="M53" s="38">
        <f>(M43*M45+M44*M45)*2*M32/1000*(B32-B31)</f>
        <v>7.992927999999999E-4</v>
      </c>
      <c r="N53" s="38">
        <f>(N43*N45+N44*N45)*2*N32/1000*(C32-C31)</f>
        <v>2.0781612800000004E-3</v>
      </c>
      <c r="O53" s="38">
        <f>(O43*O45+O44*O45)*2*O32/1000*(D32-D31)</f>
        <v>3.2771004800000009E-3</v>
      </c>
      <c r="P53" s="38">
        <f>(P43*P45+P44*P45)*2*P32/1000*(E32-E31)</f>
        <v>3.2771004800000009E-3</v>
      </c>
      <c r="Q53" s="38">
        <f>(Q43*Q45+Q44*Q45)*2*Q32/1000*(F32-F31)</f>
        <v>1.6385502400000005E-3</v>
      </c>
      <c r="R53" s="13"/>
    </row>
    <row r="54" spans="1:22" ht="18" customHeight="1" x14ac:dyDescent="0.25">
      <c r="A54" s="190" t="s">
        <v>123</v>
      </c>
      <c r="B54" s="143">
        <f>B36*(B51^2+B53^2)^0.5</f>
        <v>0.58104404005473198</v>
      </c>
      <c r="C54" s="143">
        <f>C36*(C51^2+C53^2)^0.5</f>
        <v>1.0802215108107622</v>
      </c>
      <c r="D54" s="143">
        <f>D36*(D51^2+D53^2)^0.5</f>
        <v>2.0822100012342348</v>
      </c>
      <c r="E54" s="143">
        <f>E36*(E51^2+E53^2)^0.5</f>
        <v>5.0204418520428824</v>
      </c>
      <c r="F54" s="143">
        <f>F36*(F51^2+F53^2)^0.5</f>
        <v>21.98459278106418</v>
      </c>
      <c r="G54" s="143"/>
      <c r="H54" s="143"/>
      <c r="I54" s="143"/>
      <c r="K54" s="13"/>
      <c r="L54" s="154" t="s">
        <v>113</v>
      </c>
      <c r="M54" s="38">
        <f>2/1000*M31*M46</f>
        <v>1E-3</v>
      </c>
      <c r="N54" s="38">
        <f>2/1000*N31*N46</f>
        <v>2E-3</v>
      </c>
      <c r="O54" s="38">
        <f>2/1000*O31*O46</f>
        <v>3.2000000000000002E-3</v>
      </c>
      <c r="P54" s="38">
        <f>2/1000*P31*P46</f>
        <v>4.0000000000000001E-3</v>
      </c>
      <c r="Q54" s="38">
        <f>2/1000*Q31*Q46</f>
        <v>6.4000000000000003E-3</v>
      </c>
      <c r="R54" s="237"/>
      <c r="S54" s="78"/>
      <c r="T54" s="78"/>
      <c r="U54" s="78"/>
      <c r="V54" s="78"/>
    </row>
    <row r="55" spans="1:22" ht="18" customHeight="1" x14ac:dyDescent="0.25">
      <c r="A55" s="189"/>
      <c r="B55" s="146">
        <f t="shared" ref="B55:F55" si="20">(B51^2+B53^2)^0.5</f>
        <v>2.5640192586042849E-2</v>
      </c>
      <c r="C55" s="146">
        <f t="shared" si="20"/>
        <v>1.7608510522925849E-2</v>
      </c>
      <c r="D55" s="146">
        <f t="shared" si="20"/>
        <v>1.6934841913574201E-2</v>
      </c>
      <c r="E55" s="146">
        <f t="shared" si="20"/>
        <v>2.5691426793698121E-2</v>
      </c>
      <c r="F55" s="146">
        <f t="shared" si="20"/>
        <v>3.701067230774361E-2</v>
      </c>
      <c r="G55" s="146"/>
      <c r="H55" s="147"/>
      <c r="I55" s="147"/>
      <c r="K55" s="13"/>
      <c r="L55" s="154" t="s">
        <v>170</v>
      </c>
      <c r="M55" s="218">
        <f>20*LOG10((1+2*M48))</f>
        <v>-1.5286353286220383E-2</v>
      </c>
      <c r="N55" s="218">
        <f t="shared" ref="N55:Q55" si="21">20*LOG10((1+2*N48))</f>
        <v>-4.5441714938908792E-2</v>
      </c>
      <c r="O55" s="218">
        <f t="shared" si="21"/>
        <v>-0.10636955229317432</v>
      </c>
      <c r="P55" s="218">
        <f t="shared" si="21"/>
        <v>-0.2049438209798646</v>
      </c>
      <c r="Q55" s="218">
        <f t="shared" si="21"/>
        <v>-0.41584792002421517</v>
      </c>
      <c r="R55" s="228"/>
      <c r="S55" s="219"/>
      <c r="T55" s="219"/>
      <c r="U55" s="219"/>
      <c r="V55" s="219"/>
    </row>
    <row r="56" spans="1:22" ht="18" customHeight="1" x14ac:dyDescent="0.25">
      <c r="A56" s="191"/>
      <c r="B56" s="192">
        <f>B55^4/(B4^4/(B5-1)+B30^4/(B28-1))</f>
        <v>237.26580221026802</v>
      </c>
      <c r="C56" s="192">
        <f>C55^4/(C4^4/(C5-1)+C30^4/(C28-1))</f>
        <v>32.807114703350749</v>
      </c>
      <c r="D56" s="192">
        <f>D55^4/(D4^4/(D5-1)+D30^4/(D28-1))</f>
        <v>37.568595550875081</v>
      </c>
      <c r="E56" s="192">
        <f>E55^4/(E4^4/(E5-1)+E30^4/(E28-1))</f>
        <v>14.537295136327678</v>
      </c>
      <c r="F56" s="192">
        <f>F55^4/(F4^4/(F5-1)+F30^4/(F28-1))</f>
        <v>20.450786433605131</v>
      </c>
      <c r="G56" s="192"/>
      <c r="H56" s="192"/>
      <c r="I56" s="192"/>
      <c r="K56" s="31"/>
      <c r="L56" s="179" t="s">
        <v>116</v>
      </c>
      <c r="M56" s="180">
        <f>M36*M47/M32/1000</f>
        <v>9.0645815253512766E-5</v>
      </c>
      <c r="N56" s="180">
        <f>N36*N47/N32/1000</f>
        <v>2.4538623170979518E-4</v>
      </c>
      <c r="O56" s="180">
        <f>O36*O47/O32/1000</f>
        <v>4.9181681455561259E-4</v>
      </c>
      <c r="P56" s="180">
        <f>P36*P47/P32/1000</f>
        <v>7.816524776699988E-4</v>
      </c>
      <c r="Q56" s="180">
        <f>Q36*Q47/Q32/1000</f>
        <v>1.1880136949830235E-3</v>
      </c>
      <c r="R56" s="238"/>
      <c r="S56" s="216"/>
      <c r="T56" s="216"/>
      <c r="U56" s="216"/>
      <c r="V56" s="216"/>
    </row>
    <row r="57" spans="1:22" ht="18" customHeight="1" x14ac:dyDescent="0.25">
      <c r="A57" s="191"/>
      <c r="B57" s="193">
        <v>2</v>
      </c>
      <c r="C57" s="193">
        <v>2</v>
      </c>
      <c r="D57" s="193">
        <v>2</v>
      </c>
      <c r="E57" s="193">
        <v>2</v>
      </c>
      <c r="F57" s="193">
        <v>2</v>
      </c>
      <c r="G57" s="193"/>
      <c r="H57" s="193"/>
      <c r="I57" s="193"/>
      <c r="L57" s="183" t="s">
        <v>117</v>
      </c>
      <c r="M57" s="184">
        <f>(SUMSQ(M49:M56))^0.5</f>
        <v>3.688396752035724E-2</v>
      </c>
      <c r="N57" s="184">
        <f t="shared" ref="N57:Q57" si="22">(SUMSQ(N49:N56))^0.5</f>
        <v>5.6568991290164218E-2</v>
      </c>
      <c r="O57" s="184">
        <f t="shared" si="22"/>
        <v>0.111678161503553</v>
      </c>
      <c r="P57" s="184">
        <f t="shared" si="22"/>
        <v>0.2078027884588716</v>
      </c>
      <c r="Q57" s="184">
        <f t="shared" si="22"/>
        <v>0.41726597410529487</v>
      </c>
      <c r="R57" s="236"/>
      <c r="S57" s="78"/>
      <c r="T57" s="78"/>
      <c r="U57" s="78"/>
      <c r="V57" s="78"/>
    </row>
    <row r="58" spans="1:22" ht="18" customHeight="1" x14ac:dyDescent="0.25">
      <c r="A58" s="191" t="s">
        <v>129</v>
      </c>
      <c r="B58" s="136">
        <f t="shared" ref="B58:F58" si="23">B54*B57</f>
        <v>1.162088080109464</v>
      </c>
      <c r="C58" s="136">
        <f t="shared" si="23"/>
        <v>2.1604430216215245</v>
      </c>
      <c r="D58" s="136">
        <f t="shared" si="23"/>
        <v>4.1644200024684697</v>
      </c>
      <c r="E58" s="136">
        <f t="shared" si="23"/>
        <v>10.040883704085765</v>
      </c>
      <c r="F58" s="136">
        <f t="shared" si="23"/>
        <v>43.969185562128359</v>
      </c>
      <c r="G58" s="136"/>
      <c r="H58" s="136"/>
      <c r="I58" s="136"/>
      <c r="L58" s="31" t="s">
        <v>118</v>
      </c>
      <c r="M58" s="31">
        <v>1.1000000000000001</v>
      </c>
      <c r="N58" s="31">
        <f>M58</f>
        <v>1.1000000000000001</v>
      </c>
      <c r="O58" s="31">
        <v>1.1000000000000001</v>
      </c>
      <c r="P58" s="31">
        <f>O58</f>
        <v>1.1000000000000001</v>
      </c>
      <c r="Q58" s="31">
        <f>P58</f>
        <v>1.1000000000000001</v>
      </c>
      <c r="R58" s="7"/>
      <c r="S58" s="36"/>
      <c r="T58" s="36"/>
      <c r="U58" s="36"/>
      <c r="V58" s="36"/>
    </row>
    <row r="59" spans="1:22" ht="18" customHeight="1" x14ac:dyDescent="0.25">
      <c r="A59" s="195"/>
      <c r="B59" s="146">
        <f t="shared" ref="B59:F59" si="24">B55*B57</f>
        <v>5.1280385172085698E-2</v>
      </c>
      <c r="C59" s="146">
        <f t="shared" si="24"/>
        <v>3.5217021045851699E-2</v>
      </c>
      <c r="D59" s="146">
        <f t="shared" si="24"/>
        <v>3.3869683827148403E-2</v>
      </c>
      <c r="E59" s="146">
        <f t="shared" si="24"/>
        <v>5.1382853587396242E-2</v>
      </c>
      <c r="F59" s="146">
        <f t="shared" si="24"/>
        <v>7.402134461548722E-2</v>
      </c>
      <c r="G59" s="146"/>
      <c r="H59" s="146"/>
      <c r="I59" s="147"/>
      <c r="L59" s="169" t="s">
        <v>119</v>
      </c>
      <c r="M59" s="166">
        <f>M58*M57</f>
        <v>4.0572364272392969E-2</v>
      </c>
      <c r="N59" s="166">
        <f t="shared" ref="N59:Q59" si="25">N58*N57</f>
        <v>6.2225890419180648E-2</v>
      </c>
      <c r="O59" s="166">
        <f t="shared" si="25"/>
        <v>0.12284597765390831</v>
      </c>
      <c r="P59" s="182">
        <f t="shared" si="25"/>
        <v>0.22858306730475877</v>
      </c>
      <c r="Q59" s="182">
        <f t="shared" si="25"/>
        <v>0.4589925715158244</v>
      </c>
      <c r="R59" s="239"/>
      <c r="S59" s="213"/>
      <c r="T59" s="213"/>
      <c r="U59" s="213"/>
      <c r="V59" s="213"/>
    </row>
    <row r="60" spans="1:22" ht="18" customHeight="1" x14ac:dyDescent="0.25">
      <c r="L60" s="188" t="s">
        <v>121</v>
      </c>
      <c r="M60" s="150">
        <f>M59/M36</f>
        <v>4.4798827019657761E-2</v>
      </c>
      <c r="N60" s="150">
        <f>N59/C35</f>
        <v>2.5380782916046812E-2</v>
      </c>
      <c r="O60" s="150">
        <f>O59/D35</f>
        <v>2.5000094739118649E-2</v>
      </c>
      <c r="P60" s="150">
        <f>P59/E35</f>
        <v>2.9269441351211532E-2</v>
      </c>
      <c r="Q60" s="150">
        <f>Q59/F35</f>
        <v>3.8669476782038602E-2</v>
      </c>
      <c r="R60" s="240"/>
      <c r="S60" s="215"/>
      <c r="T60" s="215"/>
      <c r="U60" s="215"/>
      <c r="V60" s="215"/>
    </row>
    <row r="61" spans="1:22" ht="18" customHeight="1" x14ac:dyDescent="0.25">
      <c r="L61" s="169" t="s">
        <v>122</v>
      </c>
      <c r="M61" s="166">
        <f>M59/(2*M32/1000*M34)</f>
        <v>1.0152065493994933</v>
      </c>
      <c r="N61" s="166">
        <f>N59/(2*N32/1000*N34)</f>
        <v>1.5570236694032686</v>
      </c>
      <c r="O61" s="166">
        <f>O59/(2*O32/1000*O34)</f>
        <v>3.073866739545466</v>
      </c>
      <c r="P61" s="166">
        <f>P59/(2*P32/1000*P34)</f>
        <v>5.7196328380478034</v>
      </c>
      <c r="Q61" s="166">
        <f>Q59/(2*Q32/1000*Q34)</f>
        <v>22.969933997444961</v>
      </c>
      <c r="R61" s="242"/>
      <c r="S61" s="213"/>
      <c r="T61" s="213"/>
      <c r="U61" s="213"/>
      <c r="V61" s="213"/>
    </row>
    <row r="62" spans="1:22" ht="18" customHeight="1" x14ac:dyDescent="0.25">
      <c r="L62" s="188" t="s">
        <v>121</v>
      </c>
      <c r="M62" s="196">
        <f>M61/B36</f>
        <v>4.4798827019657761E-2</v>
      </c>
      <c r="N62" s="196">
        <f>N61/C36</f>
        <v>2.5380782916046816E-2</v>
      </c>
      <c r="O62" s="196">
        <f>O61/D36</f>
        <v>2.5000094739118652E-2</v>
      </c>
      <c r="P62" s="196">
        <f>P61/E36</f>
        <v>2.9269441351211536E-2</v>
      </c>
      <c r="Q62" s="196">
        <f>Q61/F36</f>
        <v>3.8669476782038602E-2</v>
      </c>
      <c r="R62" s="241"/>
      <c r="S62" s="33" t="s">
        <v>174</v>
      </c>
      <c r="T62" s="217"/>
      <c r="U62" s="217"/>
      <c r="V62" s="217"/>
    </row>
    <row r="63" spans="1:22" ht="18" customHeight="1" x14ac:dyDescent="0.25">
      <c r="L63" s="169" t="s">
        <v>124</v>
      </c>
      <c r="M63" s="244">
        <f t="shared" ref="M63:Q64" si="26">B37</f>
        <v>0.23170696244083527</v>
      </c>
      <c r="N63" s="244">
        <f t="shared" si="26"/>
        <v>0.7064141967389731</v>
      </c>
      <c r="O63" s="244">
        <f t="shared" si="26"/>
        <v>1.3163064803698257</v>
      </c>
      <c r="P63" s="244">
        <f t="shared" si="26"/>
        <v>4.0240104542270609</v>
      </c>
      <c r="Q63" s="244">
        <f t="shared" si="26"/>
        <v>18.384043213075969</v>
      </c>
      <c r="R63" s="239"/>
      <c r="S63" s="213"/>
      <c r="T63" s="213"/>
      <c r="U63" s="224"/>
      <c r="V63" s="213"/>
    </row>
    <row r="64" spans="1:22" ht="18" customHeight="1" x14ac:dyDescent="0.25">
      <c r="L64" s="169" t="s">
        <v>125</v>
      </c>
      <c r="M64" s="38">
        <f t="shared" si="26"/>
        <v>1.0224717458508644E-2</v>
      </c>
      <c r="N64" s="38">
        <f t="shared" si="26"/>
        <v>1.1515139897081274E-2</v>
      </c>
      <c r="O64" s="38">
        <f t="shared" si="26"/>
        <v>1.0705664722416547E-2</v>
      </c>
      <c r="P64" s="38">
        <f t="shared" si="26"/>
        <v>2.0592324948407233E-2</v>
      </c>
      <c r="Q64" s="38">
        <f t="shared" si="26"/>
        <v>3.0949210923597426E-2</v>
      </c>
      <c r="R64" s="237"/>
      <c r="S64" s="78"/>
      <c r="T64" s="78"/>
      <c r="U64" s="219"/>
      <c r="V64" s="78"/>
    </row>
    <row r="65" spans="1:22" ht="18" customHeight="1" x14ac:dyDescent="0.25">
      <c r="L65" s="169" t="s">
        <v>126</v>
      </c>
      <c r="M65" s="13">
        <v>2.57</v>
      </c>
      <c r="N65" s="13">
        <v>2.57</v>
      </c>
      <c r="O65" s="13">
        <v>2.57</v>
      </c>
      <c r="P65" s="13">
        <v>2.57</v>
      </c>
      <c r="Q65" s="13">
        <v>2.57</v>
      </c>
      <c r="R65" s="30"/>
      <c r="S65" s="36"/>
      <c r="T65" s="36"/>
      <c r="U65" s="200"/>
      <c r="V65" s="36"/>
    </row>
    <row r="66" spans="1:22" ht="18" customHeight="1" x14ac:dyDescent="0.25">
      <c r="L66" s="169" t="s">
        <v>127</v>
      </c>
      <c r="M66" s="39">
        <f t="shared" ref="M66:Q66" si="27">(M65*M63+M61)/(M63+M61/M58/3^0.5)</f>
        <v>2.1067147769239272</v>
      </c>
      <c r="N66" s="39">
        <f t="shared" si="27"/>
        <v>2.2134551843844426</v>
      </c>
      <c r="O66" s="39">
        <f>(O65*O63+O61)/(O63+O61/O58/3^0.5)</f>
        <v>2.2039269152006487</v>
      </c>
      <c r="P66" s="39">
        <f t="shared" si="27"/>
        <v>2.2859735586877767</v>
      </c>
      <c r="Q66" s="39">
        <f t="shared" si="27"/>
        <v>2.3067221009923635</v>
      </c>
      <c r="R66" s="70"/>
      <c r="S66" s="69"/>
      <c r="T66" s="69"/>
      <c r="U66" s="81"/>
      <c r="V66" s="69"/>
    </row>
    <row r="67" spans="1:22" ht="18" customHeight="1" x14ac:dyDescent="0.25">
      <c r="L67" s="169" t="s">
        <v>128</v>
      </c>
      <c r="M67" s="39">
        <f>(M63^2+M61^2/M58^2/3)^0.5</f>
        <v>0.58104404005473198</v>
      </c>
      <c r="N67" s="39">
        <f>(N63^2+N61^2/N58^2/3)^0.5</f>
        <v>1.0802215108107622</v>
      </c>
      <c r="O67" s="39">
        <f>(O63^2+O61^2/O58^2/3)^0.5</f>
        <v>2.0822100012342348</v>
      </c>
      <c r="P67" s="39">
        <f>(P63^2+P61^2/P58^2/3)^0.5</f>
        <v>5.0204418520428824</v>
      </c>
      <c r="Q67" s="39">
        <f>(Q63^2+Q61^2/Q58^2/3)^0.5</f>
        <v>21.98459278106418</v>
      </c>
      <c r="R67" s="70"/>
      <c r="S67" s="69"/>
      <c r="T67" s="69"/>
      <c r="U67" s="81"/>
      <c r="V67" s="69"/>
    </row>
    <row r="68" spans="1:22" ht="18" customHeight="1" x14ac:dyDescent="0.25">
      <c r="L68" s="188" t="s">
        <v>130</v>
      </c>
      <c r="M68" s="194">
        <f>M67/B36</f>
        <v>2.5640192586042849E-2</v>
      </c>
      <c r="N68" s="194">
        <f>N67/C36</f>
        <v>1.7608510522925849E-2</v>
      </c>
      <c r="O68" s="194">
        <f>O67/D36</f>
        <v>1.6934841913574201E-2</v>
      </c>
      <c r="P68" s="185">
        <f>P67/E36</f>
        <v>2.5691426793698121E-2</v>
      </c>
      <c r="Q68" s="185">
        <f>Q67/F36</f>
        <v>3.701067230774361E-2</v>
      </c>
      <c r="R68" s="237"/>
      <c r="S68" s="78"/>
      <c r="T68" s="78"/>
      <c r="U68" s="219"/>
      <c r="V68" s="78"/>
    </row>
    <row r="69" spans="1:22" ht="18" customHeight="1" x14ac:dyDescent="0.25">
      <c r="L69" s="154" t="s">
        <v>131</v>
      </c>
      <c r="M69" s="166">
        <f>M66*M67</f>
        <v>1.2240940652268821</v>
      </c>
      <c r="N69" s="166">
        <f t="shared" ref="N69:Q69" si="28">N66*N67</f>
        <v>2.391021903387677</v>
      </c>
      <c r="O69" s="166">
        <f t="shared" si="28"/>
        <v>4.589038664820106</v>
      </c>
      <c r="P69" s="166">
        <f t="shared" si="28"/>
        <v>11.476597326699521</v>
      </c>
      <c r="Q69" s="166">
        <f t="shared" si="28"/>
        <v>50.712346049397915</v>
      </c>
      <c r="R69" s="242"/>
      <c r="S69" s="213"/>
      <c r="T69" s="213"/>
      <c r="U69" s="224"/>
      <c r="V69" s="213"/>
    </row>
    <row r="70" spans="1:22" ht="18" customHeight="1" x14ac:dyDescent="0.25">
      <c r="A70" s="200"/>
      <c r="B70" s="36"/>
      <c r="C70" s="36"/>
      <c r="D70" s="36"/>
      <c r="E70" s="36"/>
      <c r="F70" s="36"/>
      <c r="G70" s="36"/>
      <c r="H70" s="36"/>
      <c r="I70" s="36"/>
      <c r="J70" s="36"/>
      <c r="K70" s="30"/>
      <c r="L70" s="199" t="s">
        <v>132</v>
      </c>
      <c r="M70" s="196">
        <f>M66*M68</f>
        <v>5.4016572604191793E-2</v>
      </c>
      <c r="N70" s="196">
        <f t="shared" ref="N70:Q70" si="29">N66*N68</f>
        <v>3.897564890625823E-2</v>
      </c>
      <c r="O70" s="196">
        <f t="shared" si="29"/>
        <v>3.7323153897994239E-2</v>
      </c>
      <c r="P70" s="196">
        <f t="shared" si="29"/>
        <v>5.8729922335356594E-2</v>
      </c>
      <c r="Q70" s="196">
        <f t="shared" si="29"/>
        <v>8.5373335784858229E-2</v>
      </c>
      <c r="R70" s="241"/>
      <c r="S70" s="33" t="s">
        <v>174</v>
      </c>
      <c r="T70" s="217"/>
      <c r="U70" s="217"/>
      <c r="V70" s="217"/>
    </row>
    <row r="71" spans="1:22" ht="18" customHeight="1" x14ac:dyDescent="0.25">
      <c r="A71" s="201"/>
      <c r="B71" s="74"/>
      <c r="C71" s="74"/>
      <c r="D71" s="74"/>
      <c r="E71" s="74"/>
      <c r="F71" s="74"/>
      <c r="G71" s="36"/>
      <c r="H71" s="36"/>
      <c r="I71" s="36"/>
      <c r="J71" s="36"/>
      <c r="K71" s="30"/>
      <c r="L71" s="33" t="s">
        <v>133</v>
      </c>
      <c r="M71" s="197">
        <f>B36</f>
        <v>22.661453813378191</v>
      </c>
      <c r="N71" s="197">
        <f>C36</f>
        <v>61.346557927448792</v>
      </c>
      <c r="O71" s="197">
        <f>D36</f>
        <v>122.95420363890315</v>
      </c>
      <c r="P71" s="197">
        <f>E36</f>
        <v>195.4131194174997</v>
      </c>
      <c r="Q71" s="197">
        <f>F36</f>
        <v>594.00684749151185</v>
      </c>
      <c r="R71" s="243"/>
      <c r="S71" s="79"/>
      <c r="T71" s="79"/>
      <c r="U71" s="82"/>
      <c r="V71" s="79"/>
    </row>
    <row r="72" spans="1:22" ht="18" customHeight="1" x14ac:dyDescent="0.25">
      <c r="A72" s="201"/>
      <c r="B72" s="131"/>
      <c r="C72" s="131"/>
      <c r="D72" s="131"/>
      <c r="E72" s="131"/>
      <c r="F72" s="131"/>
      <c r="G72" s="69"/>
      <c r="H72" s="69"/>
      <c r="I72" s="36"/>
      <c r="J72" s="36"/>
      <c r="K72" s="36"/>
      <c r="L72" s="212"/>
      <c r="M72" s="54"/>
      <c r="N72" s="54"/>
      <c r="O72" s="54"/>
      <c r="P72" s="142"/>
      <c r="U72" s="225"/>
      <c r="V72" s="200"/>
    </row>
    <row r="73" spans="1:22" ht="18" customHeight="1" x14ac:dyDescent="0.25">
      <c r="A73" s="200"/>
      <c r="B73" s="76"/>
      <c r="C73" s="76"/>
      <c r="D73" s="76"/>
      <c r="E73" s="76"/>
      <c r="F73" s="76"/>
      <c r="G73" s="202"/>
      <c r="H73" s="202"/>
      <c r="I73" s="36"/>
      <c r="J73" s="36"/>
      <c r="K73" s="36"/>
      <c r="L73" s="198"/>
      <c r="M73" s="200"/>
      <c r="N73" s="200"/>
      <c r="O73" s="200"/>
      <c r="P73" s="36"/>
      <c r="Q73" s="36"/>
      <c r="R73" s="36"/>
      <c r="S73" s="36"/>
      <c r="T73" s="36"/>
      <c r="U73" s="36"/>
      <c r="V73" s="36"/>
    </row>
    <row r="74" spans="1:22" ht="18" customHeight="1" x14ac:dyDescent="0.25">
      <c r="A74" s="36"/>
      <c r="B74" s="17"/>
      <c r="C74" s="17"/>
      <c r="D74" s="17"/>
      <c r="E74" s="17"/>
      <c r="F74" s="204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</row>
    <row r="75" spans="1:22" ht="18" customHeight="1" x14ac:dyDescent="0.25">
      <c r="A75" s="36"/>
      <c r="B75" s="69"/>
      <c r="C75" s="69"/>
      <c r="D75" s="69"/>
      <c r="E75" s="69"/>
      <c r="F75" s="69"/>
      <c r="G75" s="69"/>
      <c r="H75" s="69"/>
      <c r="I75" s="69"/>
      <c r="J75" s="36"/>
      <c r="K75" s="36"/>
      <c r="L75" s="36"/>
      <c r="M75" s="36"/>
      <c r="N75" s="36"/>
      <c r="O75" s="36"/>
      <c r="P75" s="80"/>
      <c r="Q75" s="36"/>
      <c r="R75" s="36"/>
      <c r="S75" s="36"/>
      <c r="T75" s="36"/>
      <c r="U75" s="36"/>
      <c r="V75" s="36"/>
    </row>
    <row r="76" spans="1:22" ht="18" customHeight="1" x14ac:dyDescent="0.25">
      <c r="A76" s="36"/>
      <c r="B76" s="69"/>
      <c r="C76" s="69"/>
      <c r="D76" s="69"/>
      <c r="E76" s="69"/>
      <c r="F76" s="202"/>
      <c r="G76" s="202"/>
      <c r="H76" s="202"/>
      <c r="I76" s="202"/>
      <c r="J76" s="36"/>
      <c r="K76" s="36"/>
      <c r="L76" s="36"/>
      <c r="M76" s="36"/>
      <c r="N76" s="36"/>
      <c r="O76" s="36"/>
      <c r="P76" s="198"/>
      <c r="Q76" s="36"/>
      <c r="R76" s="36"/>
      <c r="S76" s="36"/>
      <c r="T76" s="36"/>
      <c r="U76" s="36"/>
      <c r="V76" s="36"/>
    </row>
    <row r="77" spans="1:22" x14ac:dyDescent="0.25">
      <c r="A77" s="36"/>
      <c r="B77" s="69"/>
      <c r="C77" s="69"/>
      <c r="D77" s="69"/>
      <c r="E77" s="69"/>
      <c r="F77" s="69"/>
      <c r="G77" s="69"/>
      <c r="H77" s="69"/>
      <c r="I77" s="69"/>
      <c r="J77" s="36"/>
      <c r="K77" s="36"/>
      <c r="L77" s="205"/>
      <c r="M77" s="36"/>
      <c r="N77" s="36"/>
      <c r="O77" s="36"/>
      <c r="P77" s="198"/>
      <c r="Q77" s="80"/>
      <c r="R77" s="36"/>
      <c r="S77" s="36"/>
      <c r="T77" s="36"/>
      <c r="U77" s="36"/>
      <c r="V77" s="36"/>
    </row>
    <row r="78" spans="1:22" x14ac:dyDescent="0.25">
      <c r="A78" s="36"/>
      <c r="B78" s="69"/>
      <c r="C78" s="69"/>
      <c r="D78" s="69"/>
      <c r="E78" s="69"/>
      <c r="F78" s="202"/>
      <c r="G78" s="202"/>
      <c r="H78" s="202"/>
      <c r="I78" s="202"/>
      <c r="J78" s="36"/>
      <c r="K78" s="36"/>
      <c r="L78" s="36"/>
      <c r="M78" s="36"/>
      <c r="N78" s="36"/>
      <c r="O78" s="36"/>
      <c r="P78" s="206"/>
      <c r="Q78" s="68"/>
      <c r="R78" s="36"/>
      <c r="S78" s="36"/>
      <c r="T78" s="36"/>
      <c r="U78" s="36"/>
      <c r="V78" s="36"/>
    </row>
    <row r="79" spans="1:22" x14ac:dyDescent="0.25">
      <c r="A79" s="36"/>
      <c r="B79" s="203"/>
      <c r="C79" s="203"/>
      <c r="D79" s="203"/>
      <c r="E79" s="203"/>
      <c r="F79" s="203"/>
      <c r="G79" s="203"/>
      <c r="H79" s="203"/>
      <c r="I79" s="203"/>
      <c r="J79" s="36"/>
      <c r="K79" s="36"/>
      <c r="L79" s="80"/>
      <c r="M79" s="36"/>
      <c r="N79" s="36"/>
      <c r="O79" s="36"/>
      <c r="P79" s="206"/>
      <c r="Q79" s="68"/>
      <c r="R79" s="36"/>
      <c r="S79" s="36"/>
      <c r="T79" s="36"/>
      <c r="U79" s="36"/>
      <c r="V79" s="36"/>
    </row>
    <row r="80" spans="1:22" x14ac:dyDescent="0.25">
      <c r="A80" s="36"/>
      <c r="B80" s="203"/>
      <c r="C80" s="203"/>
      <c r="D80" s="203"/>
      <c r="E80" s="203"/>
      <c r="F80" s="203"/>
      <c r="G80" s="203"/>
      <c r="H80" s="203"/>
      <c r="I80" s="203"/>
      <c r="J80" s="36"/>
      <c r="K80" s="36"/>
      <c r="L80" s="36"/>
      <c r="M80" s="36"/>
      <c r="N80" s="36"/>
      <c r="O80" s="36"/>
      <c r="P80" s="206"/>
      <c r="Q80" s="68"/>
      <c r="R80" s="36"/>
      <c r="S80" s="36"/>
      <c r="T80" s="36"/>
      <c r="U80" s="36"/>
      <c r="V80" s="36"/>
    </row>
    <row r="81" spans="1:22" x14ac:dyDescent="0.25">
      <c r="A81" s="200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206"/>
      <c r="Q81" s="68"/>
      <c r="R81" s="36"/>
      <c r="S81" s="36"/>
      <c r="T81" s="36"/>
      <c r="U81" s="36"/>
      <c r="V81" s="36"/>
    </row>
    <row r="82" spans="1:22" x14ac:dyDescent="0.25"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</row>
  </sheetData>
  <mergeCells count="4">
    <mergeCell ref="K2:M2"/>
    <mergeCell ref="N2:O2"/>
    <mergeCell ref="P2:Q2"/>
    <mergeCell ref="N9:O9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5121" r:id="rId3">
          <objectPr defaultSize="0" autoPict="0" r:id="rId4">
            <anchor moveWithCells="1" sizeWithCells="1">
              <from>
                <xdr:col>0</xdr:col>
                <xdr:colOff>352425</xdr:colOff>
                <xdr:row>38</xdr:row>
                <xdr:rowOff>66675</xdr:rowOff>
              </from>
              <to>
                <xdr:col>0</xdr:col>
                <xdr:colOff>514350</xdr:colOff>
                <xdr:row>39</xdr:row>
                <xdr:rowOff>0</xdr:rowOff>
              </to>
            </anchor>
          </objectPr>
        </oleObject>
      </mc:Choice>
      <mc:Fallback>
        <oleObject progId="Equation.3" shapeId="5121" r:id="rId3"/>
      </mc:Fallback>
    </mc:AlternateContent>
    <mc:AlternateContent xmlns:mc="http://schemas.openxmlformats.org/markup-compatibility/2006">
      <mc:Choice Requires="x14">
        <oleObject progId="Equation.3" shapeId="5122" r:id="rId5">
          <objectPr defaultSize="0" autoPict="0" r:id="rId6">
            <anchor moveWithCells="1" sizeWithCells="1">
              <from>
                <xdr:col>0</xdr:col>
                <xdr:colOff>333375</xdr:colOff>
                <xdr:row>39</xdr:row>
                <xdr:rowOff>47625</xdr:rowOff>
              </from>
              <to>
                <xdr:col>0</xdr:col>
                <xdr:colOff>552450</xdr:colOff>
                <xdr:row>40</xdr:row>
                <xdr:rowOff>28575</xdr:rowOff>
              </to>
            </anchor>
          </objectPr>
        </oleObject>
      </mc:Choice>
      <mc:Fallback>
        <oleObject progId="Equation.3" shapeId="5122" r:id="rId5"/>
      </mc:Fallback>
    </mc:AlternateContent>
    <mc:AlternateContent xmlns:mc="http://schemas.openxmlformats.org/markup-compatibility/2006">
      <mc:Choice Requires="x14">
        <oleObject progId="Equation.3" shapeId="5123" r:id="rId7">
          <objectPr defaultSize="0" autoPict="0" r:id="rId8">
            <anchor moveWithCells="1" sizeWithCells="1">
              <from>
                <xdr:col>0</xdr:col>
                <xdr:colOff>9525</xdr:colOff>
                <xdr:row>55</xdr:row>
                <xdr:rowOff>19050</xdr:rowOff>
              </from>
              <to>
                <xdr:col>0</xdr:col>
                <xdr:colOff>247650</xdr:colOff>
                <xdr:row>56</xdr:row>
                <xdr:rowOff>28575</xdr:rowOff>
              </to>
            </anchor>
          </objectPr>
        </oleObject>
      </mc:Choice>
      <mc:Fallback>
        <oleObject progId="Equation.3" shapeId="5123" r:id="rId7"/>
      </mc:Fallback>
    </mc:AlternateContent>
    <mc:AlternateContent xmlns:mc="http://schemas.openxmlformats.org/markup-compatibility/2006">
      <mc:Choice Requires="x14">
        <oleObject progId="Equation.3" shapeId="5124" r:id="rId9">
          <objectPr defaultSize="0" autoPict="0" r:id="rId10">
            <anchor moveWithCells="1" sizeWithCells="1">
              <from>
                <xdr:col>0</xdr:col>
                <xdr:colOff>0</xdr:colOff>
                <xdr:row>56</xdr:row>
                <xdr:rowOff>19050</xdr:rowOff>
              </from>
              <to>
                <xdr:col>0</xdr:col>
                <xdr:colOff>733425</xdr:colOff>
                <xdr:row>57</xdr:row>
                <xdr:rowOff>28575</xdr:rowOff>
              </to>
            </anchor>
          </objectPr>
        </oleObject>
      </mc:Choice>
      <mc:Fallback>
        <oleObject progId="Equation.3" shapeId="5124" r:id="rId9"/>
      </mc:Fallback>
    </mc:AlternateContent>
    <mc:AlternateContent xmlns:mc="http://schemas.openxmlformats.org/markup-compatibility/2006">
      <mc:Choice Requires="x14">
        <oleObject progId="Equation.3" shapeId="5125" r:id="rId11">
          <objectPr defaultSize="0" autoPict="0" r:id="rId12">
            <anchor moveWithCells="1" sizeWithCells="1">
              <from>
                <xdr:col>0</xdr:col>
                <xdr:colOff>47625</xdr:colOff>
                <xdr:row>58</xdr:row>
                <xdr:rowOff>9525</xdr:rowOff>
              </from>
              <to>
                <xdr:col>0</xdr:col>
                <xdr:colOff>342900</xdr:colOff>
                <xdr:row>59</xdr:row>
                <xdr:rowOff>19050</xdr:rowOff>
              </to>
            </anchor>
          </objectPr>
        </oleObject>
      </mc:Choice>
      <mc:Fallback>
        <oleObject progId="Equation.3" shapeId="5125" r:id="rId11"/>
      </mc:Fallback>
    </mc:AlternateContent>
    <mc:AlternateContent xmlns:mc="http://schemas.openxmlformats.org/markup-compatibility/2006">
      <mc:Choice Requires="x14">
        <oleObject progId="Equation.3" shapeId="5126" r:id="rId13">
          <objectPr defaultSize="0" autoPict="0" r:id="rId14">
            <anchor moveWithCells="1" sizeWithCells="1">
              <from>
                <xdr:col>0</xdr:col>
                <xdr:colOff>19050</xdr:colOff>
                <xdr:row>57</xdr:row>
                <xdr:rowOff>28575</xdr:rowOff>
              </from>
              <to>
                <xdr:col>0</xdr:col>
                <xdr:colOff>247650</xdr:colOff>
                <xdr:row>58</xdr:row>
                <xdr:rowOff>19050</xdr:rowOff>
              </to>
            </anchor>
          </objectPr>
        </oleObject>
      </mc:Choice>
      <mc:Fallback>
        <oleObject progId="Equation.3" shapeId="5126" r:id="rId13"/>
      </mc:Fallback>
    </mc:AlternateContent>
    <mc:AlternateContent xmlns:mc="http://schemas.openxmlformats.org/markup-compatibility/2006">
      <mc:Choice Requires="x14">
        <oleObject progId="Equation.3" shapeId="5127" r:id="rId15">
          <objectPr defaultSize="0" autoPict="0" r:id="rId16">
            <anchor moveWithCells="1" sizeWithCells="1">
              <from>
                <xdr:col>0</xdr:col>
                <xdr:colOff>66675</xdr:colOff>
                <xdr:row>41</xdr:row>
                <xdr:rowOff>9525</xdr:rowOff>
              </from>
              <to>
                <xdr:col>0</xdr:col>
                <xdr:colOff>371475</xdr:colOff>
                <xdr:row>42</xdr:row>
                <xdr:rowOff>19050</xdr:rowOff>
              </to>
            </anchor>
          </objectPr>
        </oleObject>
      </mc:Choice>
      <mc:Fallback>
        <oleObject progId="Equation.3" shapeId="5127" r:id="rId15"/>
      </mc:Fallback>
    </mc:AlternateContent>
    <mc:AlternateContent xmlns:mc="http://schemas.openxmlformats.org/markup-compatibility/2006">
      <mc:Choice Requires="x14">
        <oleObject progId="Equation.3" shapeId="5128" r:id="rId17">
          <objectPr defaultSize="0" autoPict="0" r:id="rId18">
            <anchor moveWithCells="1" sizeWithCells="1">
              <from>
                <xdr:col>0</xdr:col>
                <xdr:colOff>47625</xdr:colOff>
                <xdr:row>42</xdr:row>
                <xdr:rowOff>9525</xdr:rowOff>
              </from>
              <to>
                <xdr:col>0</xdr:col>
                <xdr:colOff>609600</xdr:colOff>
                <xdr:row>43</xdr:row>
                <xdr:rowOff>19050</xdr:rowOff>
              </to>
            </anchor>
          </objectPr>
        </oleObject>
      </mc:Choice>
      <mc:Fallback>
        <oleObject progId="Equation.3" shapeId="5128" r:id="rId17"/>
      </mc:Fallback>
    </mc:AlternateContent>
    <mc:AlternateContent xmlns:mc="http://schemas.openxmlformats.org/markup-compatibility/2006">
      <mc:Choice Requires="x14">
        <oleObject progId="Equation.3" shapeId="5129" r:id="rId19">
          <objectPr defaultSize="0" autoPict="0" r:id="rId20">
            <anchor moveWithCells="1" sizeWithCells="1">
              <from>
                <xdr:col>0</xdr:col>
                <xdr:colOff>47625</xdr:colOff>
                <xdr:row>45</xdr:row>
                <xdr:rowOff>28575</xdr:rowOff>
              </from>
              <to>
                <xdr:col>0</xdr:col>
                <xdr:colOff>209550</xdr:colOff>
                <xdr:row>46</xdr:row>
                <xdr:rowOff>19050</xdr:rowOff>
              </to>
            </anchor>
          </objectPr>
        </oleObject>
      </mc:Choice>
      <mc:Fallback>
        <oleObject progId="Equation.3" shapeId="5129" r:id="rId19"/>
      </mc:Fallback>
    </mc:AlternateContent>
    <mc:AlternateContent xmlns:mc="http://schemas.openxmlformats.org/markup-compatibility/2006">
      <mc:Choice Requires="x14">
        <oleObject progId="Equation.3" shapeId="5130" r:id="rId21">
          <objectPr defaultSize="0" autoPict="0" r:id="rId22">
            <anchor moveWithCells="1" sizeWithCells="1">
              <from>
                <xdr:col>0</xdr:col>
                <xdr:colOff>19050</xdr:colOff>
                <xdr:row>35</xdr:row>
                <xdr:rowOff>0</xdr:rowOff>
              </from>
              <to>
                <xdr:col>0</xdr:col>
                <xdr:colOff>371475</xdr:colOff>
                <xdr:row>36</xdr:row>
                <xdr:rowOff>9525</xdr:rowOff>
              </to>
            </anchor>
          </objectPr>
        </oleObject>
      </mc:Choice>
      <mc:Fallback>
        <oleObject progId="Equation.3" shapeId="5130" r:id="rId21"/>
      </mc:Fallback>
    </mc:AlternateContent>
    <mc:AlternateContent xmlns:mc="http://schemas.openxmlformats.org/markup-compatibility/2006">
      <mc:Choice Requires="x14">
        <oleObject progId="Equation.3" shapeId="5131" r:id="rId23">
          <objectPr defaultSize="0" autoPict="0" r:id="rId24">
            <anchor moveWithCells="1" sizeWithCells="1">
              <from>
                <xdr:col>0</xdr:col>
                <xdr:colOff>57150</xdr:colOff>
                <xdr:row>48</xdr:row>
                <xdr:rowOff>19050</xdr:rowOff>
              </from>
              <to>
                <xdr:col>0</xdr:col>
                <xdr:colOff>381000</xdr:colOff>
                <xdr:row>49</xdr:row>
                <xdr:rowOff>9525</xdr:rowOff>
              </to>
            </anchor>
          </objectPr>
        </oleObject>
      </mc:Choice>
      <mc:Fallback>
        <oleObject progId="Equation.3" shapeId="5131" r:id="rId23"/>
      </mc:Fallback>
    </mc:AlternateContent>
    <mc:AlternateContent xmlns:mc="http://schemas.openxmlformats.org/markup-compatibility/2006">
      <mc:Choice Requires="x14">
        <oleObject progId="Equation.3" shapeId="5132" r:id="rId25">
          <objectPr defaultSize="0" autoPict="0" r:id="rId26">
            <anchor moveWithCells="1" sizeWithCells="1">
              <from>
                <xdr:col>0</xdr:col>
                <xdr:colOff>28575</xdr:colOff>
                <xdr:row>43</xdr:row>
                <xdr:rowOff>9525</xdr:rowOff>
              </from>
              <to>
                <xdr:col>0</xdr:col>
                <xdr:colOff>438150</xdr:colOff>
                <xdr:row>43</xdr:row>
                <xdr:rowOff>219075</xdr:rowOff>
              </to>
            </anchor>
          </objectPr>
        </oleObject>
      </mc:Choice>
      <mc:Fallback>
        <oleObject progId="Equation.3" shapeId="5132" r:id="rId25"/>
      </mc:Fallback>
    </mc:AlternateContent>
    <mc:AlternateContent xmlns:mc="http://schemas.openxmlformats.org/markup-compatibility/2006">
      <mc:Choice Requires="x14">
        <oleObject progId="Equation.3" shapeId="5133" r:id="rId27">
          <objectPr defaultSize="0" autoPict="0" r:id="rId28">
            <anchor moveWithCells="1" sizeWithCells="1">
              <from>
                <xdr:col>0</xdr:col>
                <xdr:colOff>28575</xdr:colOff>
                <xdr:row>44</xdr:row>
                <xdr:rowOff>9525</xdr:rowOff>
              </from>
              <to>
                <xdr:col>0</xdr:col>
                <xdr:colOff>438150</xdr:colOff>
                <xdr:row>45</xdr:row>
                <xdr:rowOff>0</xdr:rowOff>
              </to>
            </anchor>
          </objectPr>
        </oleObject>
      </mc:Choice>
      <mc:Fallback>
        <oleObject progId="Equation.3" shapeId="5133" r:id="rId27"/>
      </mc:Fallback>
    </mc:AlternateContent>
    <mc:AlternateContent xmlns:mc="http://schemas.openxmlformats.org/markup-compatibility/2006">
      <mc:Choice Requires="x14">
        <oleObject progId="Equation.3" shapeId="5134" r:id="rId29">
          <objectPr defaultSize="0" autoPict="0" r:id="rId30">
            <anchor moveWithCells="1" sizeWithCells="1">
              <from>
                <xdr:col>0</xdr:col>
                <xdr:colOff>19050</xdr:colOff>
                <xdr:row>47</xdr:row>
                <xdr:rowOff>0</xdr:rowOff>
              </from>
              <to>
                <xdr:col>0</xdr:col>
                <xdr:colOff>590550</xdr:colOff>
                <xdr:row>48</xdr:row>
                <xdr:rowOff>9525</xdr:rowOff>
              </to>
            </anchor>
          </objectPr>
        </oleObject>
      </mc:Choice>
      <mc:Fallback>
        <oleObject progId="Equation.3" shapeId="5134" r:id="rId29"/>
      </mc:Fallback>
    </mc:AlternateContent>
    <mc:AlternateContent xmlns:mc="http://schemas.openxmlformats.org/markup-compatibility/2006">
      <mc:Choice Requires="x14">
        <oleObject progId="Equation.3" shapeId="5135" r:id="rId31">
          <objectPr defaultSize="0" autoPict="0" r:id="rId32">
            <anchor moveWithCells="1" sizeWithCells="1">
              <from>
                <xdr:col>0</xdr:col>
                <xdr:colOff>304800</xdr:colOff>
                <xdr:row>8</xdr:row>
                <xdr:rowOff>9525</xdr:rowOff>
              </from>
              <to>
                <xdr:col>0</xdr:col>
                <xdr:colOff>733425</xdr:colOff>
                <xdr:row>9</xdr:row>
                <xdr:rowOff>19050</xdr:rowOff>
              </to>
            </anchor>
          </objectPr>
        </oleObject>
      </mc:Choice>
      <mc:Fallback>
        <oleObject progId="Equation.3" shapeId="5135" r:id="rId31"/>
      </mc:Fallback>
    </mc:AlternateContent>
    <mc:AlternateContent xmlns:mc="http://schemas.openxmlformats.org/markup-compatibility/2006">
      <mc:Choice Requires="x14">
        <oleObject progId="Equation.3" shapeId="5136" r:id="rId33">
          <objectPr defaultSize="0" autoPict="0" r:id="rId34">
            <anchor moveWithCells="1" sizeWithCells="1">
              <from>
                <xdr:col>0</xdr:col>
                <xdr:colOff>28575</xdr:colOff>
                <xdr:row>26</xdr:row>
                <xdr:rowOff>9525</xdr:rowOff>
              </from>
              <to>
                <xdr:col>0</xdr:col>
                <xdr:colOff>295275</xdr:colOff>
                <xdr:row>27</xdr:row>
                <xdr:rowOff>19050</xdr:rowOff>
              </to>
            </anchor>
          </objectPr>
        </oleObject>
      </mc:Choice>
      <mc:Fallback>
        <oleObject progId="Equation.3" shapeId="5136" r:id="rId33"/>
      </mc:Fallback>
    </mc:AlternateContent>
    <mc:AlternateContent xmlns:mc="http://schemas.openxmlformats.org/markup-compatibility/2006">
      <mc:Choice Requires="x14">
        <oleObject progId="Equation.3" shapeId="5137" r:id="rId35">
          <objectPr defaultSize="0" autoPict="0" r:id="rId36">
            <anchor moveWithCells="1" sizeWithCells="1">
              <from>
                <xdr:col>0</xdr:col>
                <xdr:colOff>304800</xdr:colOff>
                <xdr:row>28</xdr:row>
                <xdr:rowOff>9525</xdr:rowOff>
              </from>
              <to>
                <xdr:col>0</xdr:col>
                <xdr:colOff>762000</xdr:colOff>
                <xdr:row>29</xdr:row>
                <xdr:rowOff>19050</xdr:rowOff>
              </to>
            </anchor>
          </objectPr>
        </oleObject>
      </mc:Choice>
      <mc:Fallback>
        <oleObject progId="Equation.3" shapeId="5137" r:id="rId35"/>
      </mc:Fallback>
    </mc:AlternateContent>
    <mc:AlternateContent xmlns:mc="http://schemas.openxmlformats.org/markup-compatibility/2006">
      <mc:Choice Requires="x14">
        <oleObject progId="Equation.3" shapeId="5138" r:id="rId37">
          <objectPr defaultSize="0" autoPict="0" r:id="rId38">
            <anchor moveWithCells="1" sizeWithCells="1">
              <from>
                <xdr:col>0</xdr:col>
                <xdr:colOff>342900</xdr:colOff>
                <xdr:row>29</xdr:row>
                <xdr:rowOff>9525</xdr:rowOff>
              </from>
              <to>
                <xdr:col>0</xdr:col>
                <xdr:colOff>857250</xdr:colOff>
                <xdr:row>30</xdr:row>
                <xdr:rowOff>19050</xdr:rowOff>
              </to>
            </anchor>
          </objectPr>
        </oleObject>
      </mc:Choice>
      <mc:Fallback>
        <oleObject progId="Equation.3" shapeId="5138" r:id="rId37"/>
      </mc:Fallback>
    </mc:AlternateContent>
    <mc:AlternateContent xmlns:mc="http://schemas.openxmlformats.org/markup-compatibility/2006">
      <mc:Choice Requires="x14">
        <oleObject progId="Equation.3" shapeId="5139" r:id="rId39">
          <objectPr defaultSize="0" autoPict="0" r:id="rId40">
            <anchor moveWithCells="1" sizeWithCells="1">
              <from>
                <xdr:col>0</xdr:col>
                <xdr:colOff>295275</xdr:colOff>
                <xdr:row>36</xdr:row>
                <xdr:rowOff>28575</xdr:rowOff>
              </from>
              <to>
                <xdr:col>0</xdr:col>
                <xdr:colOff>800100</xdr:colOff>
                <xdr:row>37</xdr:row>
                <xdr:rowOff>9525</xdr:rowOff>
              </to>
            </anchor>
          </objectPr>
        </oleObject>
      </mc:Choice>
      <mc:Fallback>
        <oleObject progId="Equation.3" shapeId="5139" r:id="rId39"/>
      </mc:Fallback>
    </mc:AlternateContent>
    <mc:AlternateContent xmlns:mc="http://schemas.openxmlformats.org/markup-compatibility/2006">
      <mc:Choice Requires="x14">
        <oleObject progId="Equation.3" shapeId="5140" r:id="rId41">
          <objectPr defaultSize="0" autoPict="0" r:id="rId42">
            <anchor moveWithCells="1" sizeWithCells="1">
              <from>
                <xdr:col>0</xdr:col>
                <xdr:colOff>333375</xdr:colOff>
                <xdr:row>37</xdr:row>
                <xdr:rowOff>28575</xdr:rowOff>
              </from>
              <to>
                <xdr:col>0</xdr:col>
                <xdr:colOff>904875</xdr:colOff>
                <xdr:row>38</xdr:row>
                <xdr:rowOff>0</xdr:rowOff>
              </to>
            </anchor>
          </objectPr>
        </oleObject>
      </mc:Choice>
      <mc:Fallback>
        <oleObject progId="Equation.3" shapeId="5140" r:id="rId41"/>
      </mc:Fallback>
    </mc:AlternateContent>
    <mc:AlternateContent xmlns:mc="http://schemas.openxmlformats.org/markup-compatibility/2006">
      <mc:Choice Requires="x14">
        <oleObject progId="Equation.3" shapeId="5141" r:id="rId43">
          <objectPr defaultSize="0" autoPict="0" r:id="rId34">
            <anchor moveWithCells="1" sizeWithCells="1">
              <from>
                <xdr:col>11</xdr:col>
                <xdr:colOff>28575</xdr:colOff>
                <xdr:row>35</xdr:row>
                <xdr:rowOff>9525</xdr:rowOff>
              </from>
              <to>
                <xdr:col>11</xdr:col>
                <xdr:colOff>295275</xdr:colOff>
                <xdr:row>36</xdr:row>
                <xdr:rowOff>19050</xdr:rowOff>
              </to>
            </anchor>
          </objectPr>
        </oleObject>
      </mc:Choice>
      <mc:Fallback>
        <oleObject progId="Equation.3" shapeId="5141" r:id="rId43"/>
      </mc:Fallback>
    </mc:AlternateContent>
    <mc:AlternateContent xmlns:mc="http://schemas.openxmlformats.org/markup-compatibility/2006">
      <mc:Choice Requires="x14">
        <oleObject progId="Equation.3" shapeId="5142" r:id="rId44">
          <objectPr defaultSize="0" autoPict="0" r:id="rId45">
            <anchor moveWithCells="1" sizeWithCells="1">
              <from>
                <xdr:col>0</xdr:col>
                <xdr:colOff>28575</xdr:colOff>
                <xdr:row>49</xdr:row>
                <xdr:rowOff>9525</xdr:rowOff>
              </from>
              <to>
                <xdr:col>0</xdr:col>
                <xdr:colOff>523875</xdr:colOff>
                <xdr:row>50</xdr:row>
                <xdr:rowOff>0</xdr:rowOff>
              </to>
            </anchor>
          </objectPr>
        </oleObject>
      </mc:Choice>
      <mc:Fallback>
        <oleObject progId="Equation.3" shapeId="5142" r:id="rId44"/>
      </mc:Fallback>
    </mc:AlternateContent>
    <mc:AlternateContent xmlns:mc="http://schemas.openxmlformats.org/markup-compatibility/2006">
      <mc:Choice Requires="x14">
        <oleObject progId="Equation.3" shapeId="5143" r:id="rId46">
          <objectPr defaultSize="0" autoPict="0" r:id="rId47">
            <anchor moveWithCells="1" sizeWithCells="1">
              <from>
                <xdr:col>0</xdr:col>
                <xdr:colOff>76200</xdr:colOff>
                <xdr:row>49</xdr:row>
                <xdr:rowOff>209550</xdr:rowOff>
              </from>
              <to>
                <xdr:col>0</xdr:col>
                <xdr:colOff>647700</xdr:colOff>
                <xdr:row>50</xdr:row>
                <xdr:rowOff>219075</xdr:rowOff>
              </to>
            </anchor>
          </objectPr>
        </oleObject>
      </mc:Choice>
      <mc:Fallback>
        <oleObject progId="Equation.3" shapeId="5143" r:id="rId46"/>
      </mc:Fallback>
    </mc:AlternateContent>
    <mc:AlternateContent xmlns:mc="http://schemas.openxmlformats.org/markup-compatibility/2006">
      <mc:Choice Requires="x14">
        <oleObject progId="Equation.3" shapeId="5144" r:id="rId48">
          <objectPr defaultSize="0" autoPict="0" r:id="rId49">
            <anchor moveWithCells="1" sizeWithCells="1">
              <from>
                <xdr:col>0</xdr:col>
                <xdr:colOff>28575</xdr:colOff>
                <xdr:row>51</xdr:row>
                <xdr:rowOff>19050</xdr:rowOff>
              </from>
              <to>
                <xdr:col>0</xdr:col>
                <xdr:colOff>523875</xdr:colOff>
                <xdr:row>52</xdr:row>
                <xdr:rowOff>9525</xdr:rowOff>
              </to>
            </anchor>
          </objectPr>
        </oleObject>
      </mc:Choice>
      <mc:Fallback>
        <oleObject progId="Equation.3" shapeId="5144" r:id="rId48"/>
      </mc:Fallback>
    </mc:AlternateContent>
    <mc:AlternateContent xmlns:mc="http://schemas.openxmlformats.org/markup-compatibility/2006">
      <mc:Choice Requires="x14">
        <oleObject progId="Equation.3" shapeId="5145" r:id="rId50">
          <objectPr defaultSize="0" autoPict="0" r:id="rId51">
            <anchor moveWithCells="1" sizeWithCells="1">
              <from>
                <xdr:col>0</xdr:col>
                <xdr:colOff>38100</xdr:colOff>
                <xdr:row>52</xdr:row>
                <xdr:rowOff>9525</xdr:rowOff>
              </from>
              <to>
                <xdr:col>0</xdr:col>
                <xdr:colOff>609600</xdr:colOff>
                <xdr:row>53</xdr:row>
                <xdr:rowOff>19050</xdr:rowOff>
              </to>
            </anchor>
          </objectPr>
        </oleObject>
      </mc:Choice>
      <mc:Fallback>
        <oleObject progId="Equation.3" shapeId="5145" r:id="rId50"/>
      </mc:Fallback>
    </mc:AlternateContent>
    <mc:AlternateContent xmlns:mc="http://schemas.openxmlformats.org/markup-compatibility/2006">
      <mc:Choice Requires="x14">
        <oleObject progId="Equation.3" shapeId="5146" r:id="rId52">
          <objectPr defaultSize="0" autoPict="0" r:id="rId53">
            <anchor moveWithCells="1" sizeWithCells="1">
              <from>
                <xdr:col>0</xdr:col>
                <xdr:colOff>19050</xdr:colOff>
                <xdr:row>53</xdr:row>
                <xdr:rowOff>28575</xdr:rowOff>
              </from>
              <to>
                <xdr:col>0</xdr:col>
                <xdr:colOff>514350</xdr:colOff>
                <xdr:row>54</xdr:row>
                <xdr:rowOff>28575</xdr:rowOff>
              </to>
            </anchor>
          </objectPr>
        </oleObject>
      </mc:Choice>
      <mc:Fallback>
        <oleObject progId="Equation.3" shapeId="5146" r:id="rId52"/>
      </mc:Fallback>
    </mc:AlternateContent>
    <mc:AlternateContent xmlns:mc="http://schemas.openxmlformats.org/markup-compatibility/2006">
      <mc:Choice Requires="x14">
        <oleObject progId="Equation.3" shapeId="5147" r:id="rId54">
          <objectPr defaultSize="0" autoPict="0" r:id="rId55">
            <anchor moveWithCells="1" sizeWithCells="1">
              <from>
                <xdr:col>0</xdr:col>
                <xdr:colOff>19050</xdr:colOff>
                <xdr:row>54</xdr:row>
                <xdr:rowOff>9525</xdr:rowOff>
              </from>
              <to>
                <xdr:col>0</xdr:col>
                <xdr:colOff>590550</xdr:colOff>
                <xdr:row>55</xdr:row>
                <xdr:rowOff>19050</xdr:rowOff>
              </to>
            </anchor>
          </objectPr>
        </oleObject>
      </mc:Choice>
      <mc:Fallback>
        <oleObject progId="Equation.3" shapeId="5147" r:id="rId54"/>
      </mc:Fallback>
    </mc:AlternateContent>
    <mc:AlternateContent xmlns:mc="http://schemas.openxmlformats.org/markup-compatibility/2006">
      <mc:Choice Requires="x14">
        <oleObject progId="Equation.3" shapeId="5148" r:id="rId56">
          <objectPr defaultSize="0" autoPict="0" r:id="rId57">
            <anchor moveWithCells="1" sizeWithCells="1">
              <from>
                <xdr:col>0</xdr:col>
                <xdr:colOff>38100</xdr:colOff>
                <xdr:row>1</xdr:row>
                <xdr:rowOff>19050</xdr:rowOff>
              </from>
              <to>
                <xdr:col>0</xdr:col>
                <xdr:colOff>190500</xdr:colOff>
                <xdr:row>2</xdr:row>
                <xdr:rowOff>9525</xdr:rowOff>
              </to>
            </anchor>
          </objectPr>
        </oleObject>
      </mc:Choice>
      <mc:Fallback>
        <oleObject progId="Equation.3" shapeId="5148" r:id="rId56"/>
      </mc:Fallback>
    </mc:AlternateContent>
    <mc:AlternateContent xmlns:mc="http://schemas.openxmlformats.org/markup-compatibility/2006">
      <mc:Choice Requires="x14">
        <oleObject progId="Equation.3" shapeId="5149" r:id="rId58">
          <objectPr defaultSize="0" autoPict="0" r:id="rId59">
            <anchor moveWithCells="1" sizeWithCells="1">
              <from>
                <xdr:col>0</xdr:col>
                <xdr:colOff>314325</xdr:colOff>
                <xdr:row>2</xdr:row>
                <xdr:rowOff>9525</xdr:rowOff>
              </from>
              <to>
                <xdr:col>0</xdr:col>
                <xdr:colOff>666750</xdr:colOff>
                <xdr:row>3</xdr:row>
                <xdr:rowOff>19050</xdr:rowOff>
              </to>
            </anchor>
          </objectPr>
        </oleObject>
      </mc:Choice>
      <mc:Fallback>
        <oleObject progId="Equation.3" shapeId="5149" r:id="rId58"/>
      </mc:Fallback>
    </mc:AlternateContent>
    <mc:AlternateContent xmlns:mc="http://schemas.openxmlformats.org/markup-compatibility/2006">
      <mc:Choice Requires="x14">
        <oleObject progId="Equation.3" shapeId="5150" r:id="rId60">
          <objectPr defaultSize="0" autoPict="0" r:id="rId61">
            <anchor moveWithCells="1" sizeWithCells="1">
              <from>
                <xdr:col>0</xdr:col>
                <xdr:colOff>323850</xdr:colOff>
                <xdr:row>3</xdr:row>
                <xdr:rowOff>0</xdr:rowOff>
              </from>
              <to>
                <xdr:col>0</xdr:col>
                <xdr:colOff>742950</xdr:colOff>
                <xdr:row>4</xdr:row>
                <xdr:rowOff>28575</xdr:rowOff>
              </to>
            </anchor>
          </objectPr>
        </oleObject>
      </mc:Choice>
      <mc:Fallback>
        <oleObject progId="Equation.3" shapeId="5150" r:id="rId60"/>
      </mc:Fallback>
    </mc:AlternateContent>
    <mc:AlternateContent xmlns:mc="http://schemas.openxmlformats.org/markup-compatibility/2006">
      <mc:Choice Requires="x14">
        <oleObject progId="Equation.3" shapeId="5151" r:id="rId62">
          <objectPr defaultSize="0" autoPict="0" r:id="rId63">
            <anchor moveWithCells="1" sizeWithCells="1">
              <from>
                <xdr:col>0</xdr:col>
                <xdr:colOff>57150</xdr:colOff>
                <xdr:row>4</xdr:row>
                <xdr:rowOff>0</xdr:rowOff>
              </from>
              <to>
                <xdr:col>0</xdr:col>
                <xdr:colOff>247650</xdr:colOff>
                <xdr:row>5</xdr:row>
                <xdr:rowOff>0</xdr:rowOff>
              </to>
            </anchor>
          </objectPr>
        </oleObject>
      </mc:Choice>
      <mc:Fallback>
        <oleObject progId="Equation.3" shapeId="5151" r:id="rId62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43"/>
  <sheetViews>
    <sheetView tabSelected="1" topLeftCell="A4" zoomScale="80" zoomScaleNormal="80" workbookViewId="0">
      <selection activeCell="L39" sqref="L39"/>
    </sheetView>
  </sheetViews>
  <sheetFormatPr defaultRowHeight="15" x14ac:dyDescent="0.25"/>
  <cols>
    <col min="15" max="15" width="34.140625" customWidth="1"/>
    <col min="16" max="16" width="21.85546875" customWidth="1"/>
    <col min="17" max="17" width="29" customWidth="1"/>
  </cols>
  <sheetData>
    <row r="1" spans="1:24" x14ac:dyDescent="0.25">
      <c r="A1" s="59" t="s">
        <v>33</v>
      </c>
      <c r="B1" s="62">
        <v>1.502E-2</v>
      </c>
      <c r="C1" s="10"/>
    </row>
    <row r="2" spans="1:24" x14ac:dyDescent="0.25">
      <c r="A2" s="60" t="s">
        <v>34</v>
      </c>
      <c r="B2" s="63">
        <v>0.01</v>
      </c>
      <c r="C2" s="58" t="s">
        <v>21</v>
      </c>
      <c r="D2" s="48"/>
      <c r="E2" s="48"/>
      <c r="N2" t="s">
        <v>39</v>
      </c>
      <c r="O2" t="s">
        <v>22</v>
      </c>
    </row>
    <row r="3" spans="1:24" ht="18" x14ac:dyDescent="0.35">
      <c r="A3" s="61" t="s">
        <v>35</v>
      </c>
      <c r="B3" s="64">
        <v>6429</v>
      </c>
      <c r="C3" s="65">
        <v>2.5</v>
      </c>
      <c r="N3" s="54" t="s">
        <v>32</v>
      </c>
      <c r="O3" s="54"/>
      <c r="P3" s="54"/>
      <c r="Q3" s="54"/>
    </row>
    <row r="4" spans="1:24" x14ac:dyDescent="0.25">
      <c r="A4" s="50" t="s">
        <v>36</v>
      </c>
      <c r="B4" s="49">
        <v>1</v>
      </c>
      <c r="N4" s="54">
        <v>2</v>
      </c>
      <c r="O4" s="54">
        <v>4</v>
      </c>
      <c r="P4" s="54">
        <f>I8/I10</f>
        <v>1.051929330333794</v>
      </c>
      <c r="Q4" s="55">
        <f t="shared" ref="Q4" si="0">20*LOG10(P4)</f>
        <v>0.43973128918731058</v>
      </c>
    </row>
    <row r="5" spans="1:24" x14ac:dyDescent="0.25">
      <c r="A5" s="47" t="s">
        <v>37</v>
      </c>
      <c r="B5" s="46">
        <f>2*PI()*C3*10^6/$B$3</f>
        <v>2443.2980662543114</v>
      </c>
    </row>
    <row r="6" spans="1:24" x14ac:dyDescent="0.25">
      <c r="A6" t="s">
        <v>18</v>
      </c>
      <c r="B6" s="51" t="s">
        <v>23</v>
      </c>
      <c r="C6" t="s">
        <v>24</v>
      </c>
      <c r="D6" t="s">
        <v>25</v>
      </c>
      <c r="E6" t="s">
        <v>26</v>
      </c>
      <c r="F6" t="s">
        <v>27</v>
      </c>
      <c r="G6" t="s">
        <v>28</v>
      </c>
      <c r="H6" t="s">
        <v>29</v>
      </c>
      <c r="I6" t="s">
        <v>30</v>
      </c>
      <c r="J6" t="s">
        <v>31</v>
      </c>
      <c r="K6" t="s">
        <v>18</v>
      </c>
      <c r="L6" t="s">
        <v>19</v>
      </c>
      <c r="M6" t="s">
        <v>38</v>
      </c>
      <c r="N6" t="s">
        <v>39</v>
      </c>
      <c r="P6" t="s">
        <v>18</v>
      </c>
      <c r="Q6" t="s">
        <v>19</v>
      </c>
      <c r="R6" t="s">
        <v>20</v>
      </c>
      <c r="S6" t="s">
        <v>14</v>
      </c>
    </row>
    <row r="7" spans="1:24" x14ac:dyDescent="0.25">
      <c r="A7">
        <v>1</v>
      </c>
      <c r="B7">
        <f>$B$5*$B$1/2*(((2*A7-1)^2+4*($B$2/$B$1)^2)^(1/2)-2*A7+1)</f>
        <v>12.206723390848069</v>
      </c>
      <c r="C7" t="str">
        <f t="shared" ref="C7:C29" si="1">IMPRODUCT(IMEXP(COMPLEX(0,$B$5*$B$1*(2*A7-1))),$B$4^(2*A7-1))</f>
        <v>0.539650098004719-0.841889405874368i</v>
      </c>
      <c r="D7">
        <f t="shared" ref="D7:D29" si="2">IMABS(C7)</f>
        <v>0.99999999999999956</v>
      </c>
      <c r="E7">
        <f t="shared" ref="E7:E29" si="3">IMARGUMENT(C7)</f>
        <v>-1.0007748879377176</v>
      </c>
      <c r="F7">
        <f t="shared" ref="F7:F29" si="4">(1-1/2*B7/($B$5*$B$2)^2)*BESSELJ(B7,0)</f>
        <v>9.1210419684239041E-2</v>
      </c>
      <c r="G7">
        <f t="shared" ref="G7:G29" si="5">(1+1/2*B7/($B$5*$B$2)^2)*BESSELJ(B7,1)</f>
        <v>-0.20735168849254126</v>
      </c>
      <c r="H7" t="str">
        <f t="shared" ref="H7:H29" si="6">IMSUB(1,IMPRODUCT(COMPLEX(F7,G7),IMEXP(COMPLEX(0,-B7))))</f>
        <v>0.841648935345402+0.161984578594501i</v>
      </c>
      <c r="I7" s="256">
        <f t="shared" ref="I7:I29" si="7">IMABS(H7)</f>
        <v>0.8570950554462945</v>
      </c>
      <c r="J7">
        <f t="shared" ref="J7:J29" si="8">IMARGUMENT(H7)</f>
        <v>0.19013610429277872</v>
      </c>
      <c r="K7" s="256">
        <v>1</v>
      </c>
      <c r="L7">
        <v>2</v>
      </c>
      <c r="M7" s="258">
        <f>I7/I8</f>
        <v>1.0857811569922713</v>
      </c>
      <c r="N7" s="257">
        <f>20*LOG10(M7)</f>
        <v>0.71484600988028102</v>
      </c>
      <c r="P7" s="54">
        <v>1</v>
      </c>
      <c r="Q7" s="54">
        <v>2</v>
      </c>
      <c r="R7" s="54">
        <f>I7/I8</f>
        <v>1.0857811569922713</v>
      </c>
      <c r="S7" s="55">
        <f>20*LOG10(R7)</f>
        <v>0.71484600988028102</v>
      </c>
    </row>
    <row r="8" spans="1:24" x14ac:dyDescent="0.25">
      <c r="A8">
        <f>A7+1</f>
        <v>2</v>
      </c>
      <c r="B8">
        <f>$B$5*$B$1/2*(((2*A8-1)^2+4*($B$2/$B$1)^2)^(1/2)-2*A8+1)</f>
        <v>5.1787213992977223</v>
      </c>
      <c r="C8" t="str">
        <f t="shared" si="1"/>
        <v>-0.990317877891944-0.13881822908969i</v>
      </c>
      <c r="D8">
        <f t="shared" si="2"/>
        <v>1.0000000000000004</v>
      </c>
      <c r="E8">
        <f t="shared" si="3"/>
        <v>-3.0023246638135577</v>
      </c>
      <c r="F8">
        <f t="shared" si="4"/>
        <v>-0.11707315928933612</v>
      </c>
      <c r="G8">
        <f t="shared" si="5"/>
        <v>-0.34368818733387657</v>
      </c>
      <c r="H8" t="str">
        <f t="shared" si="6"/>
        <v>0.745647363261637+0.259099268472674i</v>
      </c>
      <c r="I8" s="256">
        <f t="shared" si="7"/>
        <v>0.78938103680168703</v>
      </c>
      <c r="J8">
        <f t="shared" si="8"/>
        <v>0.33443013034554986</v>
      </c>
      <c r="K8" s="256">
        <f>K7+1</f>
        <v>2</v>
      </c>
      <c r="L8">
        <f>L7+1</f>
        <v>3</v>
      </c>
      <c r="M8" s="258">
        <f>I8/I9</f>
        <v>1.0513125012903013</v>
      </c>
      <c r="N8" s="257">
        <f>20*LOG10(M8)</f>
        <v>0.43463657390504562</v>
      </c>
      <c r="P8" s="54">
        <v>1</v>
      </c>
      <c r="Q8" s="54">
        <v>3</v>
      </c>
      <c r="R8" s="54">
        <f>I$7/I9</f>
        <v>1.141495304011422</v>
      </c>
      <c r="S8" s="55">
        <f t="shared" ref="S8:S16" si="9">20*LOG10(R8)</f>
        <v>1.149482583785326</v>
      </c>
    </row>
    <row r="9" spans="1:24" x14ac:dyDescent="0.25">
      <c r="A9">
        <f t="shared" ref="A9:A29" si="10">A8+1</f>
        <v>3</v>
      </c>
      <c r="B9">
        <f t="shared" ref="B9:B29" si="11">$B$5*$B$1/2*(((2*A9-1)^2+4*($B$2/$B$1)^2)^(1/2)-2*A9+1)</f>
        <v>3.1976678669979881</v>
      </c>
      <c r="C9" t="str">
        <f t="shared" si="1"/>
        <v>0.287375341372116+0.957818048050495i</v>
      </c>
      <c r="D9">
        <f t="shared" si="2"/>
        <v>1.0000000000000004</v>
      </c>
      <c r="E9">
        <f t="shared" si="3"/>
        <v>1.2793108674910054</v>
      </c>
      <c r="F9">
        <f t="shared" si="4"/>
        <v>-0.31872168516284227</v>
      </c>
      <c r="G9">
        <f t="shared" si="5"/>
        <v>0.26298258483370873</v>
      </c>
      <c r="H9" t="str">
        <f t="shared" si="6"/>
        <v>0.696518359889786+0.280432249634159i</v>
      </c>
      <c r="I9" s="256">
        <f t="shared" si="7"/>
        <v>0.75085289657724097</v>
      </c>
      <c r="J9">
        <f t="shared" si="8"/>
        <v>0.38276298933439823</v>
      </c>
      <c r="K9" s="256">
        <f t="shared" ref="K9:L24" si="12">K8+1</f>
        <v>3</v>
      </c>
      <c r="L9">
        <f t="shared" si="12"/>
        <v>4</v>
      </c>
      <c r="M9" s="258">
        <f>I9/I10</f>
        <v>1.0005867228276424</v>
      </c>
      <c r="N9" s="257">
        <f>20*LOG10(M9)</f>
        <v>5.0947152822660713E-3</v>
      </c>
      <c r="P9" s="54">
        <v>1</v>
      </c>
      <c r="Q9" s="54">
        <v>4</v>
      </c>
      <c r="R9" s="54">
        <f>I$7/I10</f>
        <v>1.142165045363932</v>
      </c>
      <c r="S9" s="55">
        <f t="shared" si="9"/>
        <v>1.154577299067592</v>
      </c>
      <c r="U9" s="54"/>
      <c r="V9" s="54"/>
      <c r="W9" s="54"/>
      <c r="X9" s="55"/>
    </row>
    <row r="10" spans="1:24" x14ac:dyDescent="0.25">
      <c r="A10">
        <f t="shared" si="10"/>
        <v>4</v>
      </c>
      <c r="B10">
        <f t="shared" si="11"/>
        <v>2.3032020883426458</v>
      </c>
      <c r="C10" t="str">
        <f t="shared" si="1"/>
        <v>0.750327544211684-0.661066242064487i</v>
      </c>
      <c r="D10">
        <f t="shared" si="2"/>
        <v>0.99999999999999989</v>
      </c>
      <c r="E10">
        <f t="shared" si="3"/>
        <v>-0.72223890838504035</v>
      </c>
      <c r="F10">
        <f t="shared" si="4"/>
        <v>5.3708180254152277E-2</v>
      </c>
      <c r="G10">
        <f t="shared" si="5"/>
        <v>0.54033725894976015</v>
      </c>
      <c r="H10" t="str">
        <f t="shared" si="6"/>
        <v>0.634135083382267+0.401237815794888i</v>
      </c>
      <c r="I10" s="256">
        <f t="shared" si="7"/>
        <v>0.7504126123674143</v>
      </c>
      <c r="J10">
        <f t="shared" si="8"/>
        <v>0.56414038234416364</v>
      </c>
      <c r="K10" s="256">
        <f t="shared" si="12"/>
        <v>4</v>
      </c>
      <c r="L10">
        <f t="shared" si="12"/>
        <v>5</v>
      </c>
      <c r="M10" s="258">
        <f t="shared" ref="M10:M28" si="13">I10/I11</f>
        <v>1.0902344526368017</v>
      </c>
      <c r="N10" s="257">
        <f t="shared" ref="N10:N27" si="14">20*LOG10(M10)</f>
        <v>0.75039804206746397</v>
      </c>
      <c r="P10" s="54">
        <v>1</v>
      </c>
      <c r="Q10" s="54">
        <v>5</v>
      </c>
      <c r="R10" s="54">
        <f>I$7/I11</f>
        <v>1.2452276830532341</v>
      </c>
      <c r="S10" s="55">
        <f t="shared" si="9"/>
        <v>1.9049753411350545</v>
      </c>
      <c r="U10" s="54"/>
      <c r="V10" s="54"/>
      <c r="W10" s="54"/>
      <c r="X10" s="55"/>
    </row>
    <row r="11" spans="1:24" x14ac:dyDescent="0.25">
      <c r="A11">
        <f t="shared" si="10"/>
        <v>5</v>
      </c>
      <c r="B11">
        <f t="shared" si="11"/>
        <v>1.7976563186920456</v>
      </c>
      <c r="C11" t="str">
        <f t="shared" si="1"/>
        <v>-0.91398219234565-0.405754300131298i</v>
      </c>
      <c r="D11">
        <f t="shared" si="2"/>
        <v>1.0000000000000002</v>
      </c>
      <c r="E11">
        <f t="shared" si="3"/>
        <v>-2.7237886842600632</v>
      </c>
      <c r="F11">
        <f t="shared" si="4"/>
        <v>0.34083530380100902</v>
      </c>
      <c r="G11">
        <f t="shared" si="5"/>
        <v>0.58235166238924019</v>
      </c>
      <c r="H11" t="str">
        <f t="shared" si="6"/>
        <v>0.509230039480503+0.463084235162815i</v>
      </c>
      <c r="I11" s="256">
        <f t="shared" si="7"/>
        <v>0.6883038878036678</v>
      </c>
      <c r="J11">
        <f t="shared" si="8"/>
        <v>0.7379739863056487</v>
      </c>
      <c r="K11" s="256">
        <f t="shared" si="12"/>
        <v>5</v>
      </c>
      <c r="L11">
        <f t="shared" si="12"/>
        <v>6</v>
      </c>
      <c r="M11" s="258">
        <f t="shared" si="13"/>
        <v>1.1197319288981549</v>
      </c>
      <c r="N11" s="257">
        <f t="shared" si="14"/>
        <v>0.98228124384568716</v>
      </c>
      <c r="P11" s="425">
        <v>1</v>
      </c>
      <c r="Q11" s="425">
        <v>6</v>
      </c>
      <c r="R11" s="425">
        <f>I7/I12</f>
        <v>1.394321195462578</v>
      </c>
      <c r="S11" s="263">
        <f t="shared" si="9"/>
        <v>2.8872565849807419</v>
      </c>
    </row>
    <row r="12" spans="1:24" x14ac:dyDescent="0.25">
      <c r="A12">
        <f t="shared" si="10"/>
        <v>6</v>
      </c>
      <c r="B12">
        <f t="shared" si="11"/>
        <v>1.4734369136149279</v>
      </c>
      <c r="C12" t="str">
        <f t="shared" si="1"/>
        <v>0.0129491178401799+0.999916156658728i</v>
      </c>
      <c r="D12">
        <f t="shared" si="2"/>
        <v>1.0000000000000004</v>
      </c>
      <c r="E12">
        <f t="shared" si="3"/>
        <v>1.557846847043477</v>
      </c>
      <c r="F12">
        <f t="shared" si="4"/>
        <v>0.5259477112779084</v>
      </c>
      <c r="G12">
        <f t="shared" si="5"/>
        <v>0.55476291137353939</v>
      </c>
      <c r="H12" t="str">
        <f t="shared" si="6"/>
        <v>0.396739167894068+0.46953088426745i</v>
      </c>
      <c r="I12" s="256">
        <f t="shared" si="7"/>
        <v>0.61470417163238045</v>
      </c>
      <c r="J12">
        <f t="shared" si="8"/>
        <v>0.86923012138729228</v>
      </c>
      <c r="K12" s="256">
        <f t="shared" si="12"/>
        <v>6</v>
      </c>
      <c r="L12">
        <f t="shared" si="12"/>
        <v>7</v>
      </c>
      <c r="M12" s="258">
        <f t="shared" si="13"/>
        <v>1.1226060993704707</v>
      </c>
      <c r="N12" s="257">
        <f>20*LOG10(M12)</f>
        <v>1.0045479501858523</v>
      </c>
      <c r="P12" s="54">
        <v>2</v>
      </c>
      <c r="Q12" s="54">
        <v>4</v>
      </c>
      <c r="R12">
        <f>I8/I10</f>
        <v>1.051929330333794</v>
      </c>
      <c r="S12" s="55">
        <f t="shared" si="9"/>
        <v>0.43973128918731058</v>
      </c>
    </row>
    <row r="13" spans="1:24" x14ac:dyDescent="0.25">
      <c r="A13">
        <f t="shared" si="10"/>
        <v>7</v>
      </c>
      <c r="B13">
        <f t="shared" si="11"/>
        <v>1.24804007990252</v>
      </c>
      <c r="C13" t="str">
        <f t="shared" si="1"/>
        <v>0.903168240472244-0.429286768259017i</v>
      </c>
      <c r="D13">
        <f t="shared" si="2"/>
        <v>1</v>
      </c>
      <c r="E13">
        <f t="shared" si="3"/>
        <v>-0.44370292883154555</v>
      </c>
      <c r="F13">
        <f t="shared" si="4"/>
        <v>0.64623018877466798</v>
      </c>
      <c r="G13">
        <f t="shared" si="5"/>
        <v>0.51069051603786331</v>
      </c>
      <c r="H13" t="str">
        <f t="shared" si="6"/>
        <v>0.310706712617213+0.450880276818352i</v>
      </c>
      <c r="I13">
        <f t="shared" si="7"/>
        <v>0.54756888634142564</v>
      </c>
      <c r="J13">
        <f t="shared" si="8"/>
        <v>0.96741562971895267</v>
      </c>
      <c r="K13">
        <f t="shared" si="12"/>
        <v>7</v>
      </c>
      <c r="L13">
        <f t="shared" si="12"/>
        <v>8</v>
      </c>
      <c r="M13" s="44">
        <f t="shared" si="13"/>
        <v>1.1168308825575173</v>
      </c>
      <c r="N13" s="66">
        <f t="shared" si="14"/>
        <v>0.95974829073356871</v>
      </c>
      <c r="P13" s="286">
        <v>2</v>
      </c>
      <c r="Q13" s="54">
        <v>5</v>
      </c>
      <c r="R13" s="45">
        <f>I8/I11</f>
        <v>1.1468495976690611</v>
      </c>
      <c r="S13" s="55">
        <f t="shared" si="9"/>
        <v>1.1901293312547734</v>
      </c>
    </row>
    <row r="14" spans="1:24" x14ac:dyDescent="0.25">
      <c r="A14">
        <f t="shared" si="10"/>
        <v>8</v>
      </c>
      <c r="B14">
        <f t="shared" si="11"/>
        <v>1.0823362251722723</v>
      </c>
      <c r="C14" t="str">
        <f t="shared" si="1"/>
        <v>-0.767194928789066-0.641414017028269i</v>
      </c>
      <c r="D14">
        <f t="shared" si="2"/>
        <v>1.0000000000000004</v>
      </c>
      <c r="E14">
        <f t="shared" si="3"/>
        <v>-2.4452527047075918</v>
      </c>
      <c r="F14">
        <f t="shared" si="4"/>
        <v>0.72723427860931333</v>
      </c>
      <c r="G14">
        <f t="shared" si="5"/>
        <v>0.46612115235679547</v>
      </c>
      <c r="H14" t="str">
        <f t="shared" si="6"/>
        <v>0.24712189593731+0.423453875979195i</v>
      </c>
      <c r="I14">
        <f t="shared" si="7"/>
        <v>0.4902880954433364</v>
      </c>
      <c r="J14">
        <f t="shared" si="8"/>
        <v>1.0425331303440795</v>
      </c>
      <c r="K14">
        <f t="shared" si="12"/>
        <v>8</v>
      </c>
      <c r="L14">
        <f t="shared" si="12"/>
        <v>9</v>
      </c>
      <c r="M14" s="44">
        <f t="shared" si="13"/>
        <v>1.1087345092118186</v>
      </c>
      <c r="N14" s="66">
        <f t="shared" si="14"/>
        <v>0.89655130192170462</v>
      </c>
      <c r="P14" s="286">
        <v>2</v>
      </c>
      <c r="Q14" s="54">
        <v>6</v>
      </c>
      <c r="R14">
        <f>I8/I12</f>
        <v>1.2841641121540508</v>
      </c>
      <c r="S14" s="55">
        <f t="shared" si="9"/>
        <v>2.1724105751004612</v>
      </c>
    </row>
    <row r="15" spans="1:24" x14ac:dyDescent="0.25">
      <c r="A15">
        <f t="shared" si="10"/>
        <v>9</v>
      </c>
      <c r="B15">
        <f t="shared" si="11"/>
        <v>0.95541710776099054</v>
      </c>
      <c r="C15" t="str">
        <f t="shared" si="1"/>
        <v>-0.262475249631787+0.964938725168977i</v>
      </c>
      <c r="D15">
        <f t="shared" si="2"/>
        <v>0.99999999999999956</v>
      </c>
      <c r="E15">
        <f t="shared" si="3"/>
        <v>1.8363828265969715</v>
      </c>
      <c r="F15">
        <f t="shared" si="4"/>
        <v>0.7838607465790316</v>
      </c>
      <c r="G15">
        <f t="shared" si="5"/>
        <v>0.42557517081719964</v>
      </c>
      <c r="H15" t="str">
        <f t="shared" si="6"/>
        <v>0.199996743533225+0.394394074101123i</v>
      </c>
      <c r="I15">
        <f t="shared" si="7"/>
        <v>0.44220513691043517</v>
      </c>
      <c r="J15">
        <f t="shared" si="8"/>
        <v>1.1014858550643081</v>
      </c>
      <c r="K15">
        <f t="shared" si="12"/>
        <v>9</v>
      </c>
      <c r="L15">
        <f t="shared" si="12"/>
        <v>10</v>
      </c>
      <c r="M15" s="44">
        <f t="shared" si="13"/>
        <v>1.1004976700858942</v>
      </c>
      <c r="N15" s="66">
        <f t="shared" si="14"/>
        <v>0.83178254851135891</v>
      </c>
      <c r="P15" s="45"/>
    </row>
    <row r="16" spans="1:24" x14ac:dyDescent="0.25">
      <c r="A16">
        <f t="shared" si="10"/>
        <v>10</v>
      </c>
      <c r="B16">
        <f t="shared" si="11"/>
        <v>0.85510734982395309</v>
      </c>
      <c r="C16" t="str">
        <f t="shared" si="1"/>
        <v>0.986390919791473-0.164417010533982i</v>
      </c>
      <c r="D16">
        <f t="shared" si="2"/>
        <v>0.99999999999999989</v>
      </c>
      <c r="E16">
        <f t="shared" si="3"/>
        <v>-0.16516694927907521</v>
      </c>
      <c r="F16">
        <f t="shared" si="4"/>
        <v>0.82479310424426244</v>
      </c>
      <c r="G16">
        <f t="shared" si="5"/>
        <v>0.38992652235091291</v>
      </c>
      <c r="H16" t="str">
        <f t="shared" si="6"/>
        <v>0.164567632318535+0.366577572515973i</v>
      </c>
      <c r="I16">
        <f t="shared" si="7"/>
        <v>0.4018228742600799</v>
      </c>
      <c r="J16">
        <f t="shared" si="8"/>
        <v>1.148832654464407</v>
      </c>
      <c r="K16">
        <f t="shared" si="12"/>
        <v>10</v>
      </c>
      <c r="L16">
        <f t="shared" si="12"/>
        <v>11</v>
      </c>
      <c r="M16" s="44">
        <f t="shared" si="13"/>
        <v>1.0928414036591423</v>
      </c>
      <c r="N16" s="66">
        <f t="shared" si="14"/>
        <v>0.77114280874161178</v>
      </c>
      <c r="P16" s="286">
        <v>3</v>
      </c>
      <c r="Q16">
        <v>5</v>
      </c>
      <c r="R16">
        <f>I9/I11</f>
        <v>1.0908741180776458</v>
      </c>
      <c r="S16" s="55">
        <f t="shared" si="9"/>
        <v>0.75549275734972876</v>
      </c>
    </row>
    <row r="17" spans="1:21" x14ac:dyDescent="0.25">
      <c r="A17">
        <f t="shared" si="10"/>
        <v>11</v>
      </c>
      <c r="B17">
        <f t="shared" si="11"/>
        <v>0.77384032795872248</v>
      </c>
      <c r="C17" t="str">
        <f t="shared" si="1"/>
        <v>-0.561270743497879-0.827632256798476i</v>
      </c>
      <c r="D17">
        <f t="shared" si="2"/>
        <v>1</v>
      </c>
      <c r="E17">
        <f t="shared" si="3"/>
        <v>-2.1667167251540969</v>
      </c>
      <c r="F17">
        <f t="shared" si="4"/>
        <v>0.85524883192690859</v>
      </c>
      <c r="G17">
        <f t="shared" si="5"/>
        <v>0.35890396098223321</v>
      </c>
      <c r="H17" t="str">
        <f t="shared" si="6"/>
        <v>0.137465319624003+0.34102278937009i</v>
      </c>
      <c r="I17">
        <f t="shared" si="7"/>
        <v>0.36768635678943279</v>
      </c>
      <c r="J17">
        <f t="shared" si="8"/>
        <v>1.1876228345606181</v>
      </c>
      <c r="K17">
        <f t="shared" si="12"/>
        <v>11</v>
      </c>
      <c r="L17">
        <f t="shared" si="12"/>
        <v>12</v>
      </c>
      <c r="M17" s="44">
        <f t="shared" si="13"/>
        <v>1.0859565334484522</v>
      </c>
      <c r="N17" s="67">
        <f t="shared" si="14"/>
        <v>0.71624885015285977</v>
      </c>
      <c r="P17" s="45"/>
    </row>
    <row r="18" spans="1:21" x14ac:dyDescent="0.25">
      <c r="A18">
        <f t="shared" si="10"/>
        <v>12</v>
      </c>
      <c r="B18">
        <f t="shared" si="11"/>
        <v>0.70666768735620744</v>
      </c>
      <c r="C18" t="str">
        <f t="shared" si="1"/>
        <v>-0.517667499146708+0.85558188405739i</v>
      </c>
      <c r="D18">
        <f t="shared" si="2"/>
        <v>0.99999999999999989</v>
      </c>
      <c r="E18">
        <f t="shared" si="3"/>
        <v>2.1149188061494431</v>
      </c>
      <c r="F18">
        <f t="shared" si="4"/>
        <v>0.87847785794720479</v>
      </c>
      <c r="G18">
        <f t="shared" si="5"/>
        <v>0.33192842473494522</v>
      </c>
      <c r="H18" t="str">
        <f t="shared" si="6"/>
        <v>0.116369290910504+0.317956909037257i</v>
      </c>
      <c r="I18">
        <f t="shared" si="7"/>
        <v>0.33858294090449981</v>
      </c>
      <c r="J18">
        <f t="shared" si="8"/>
        <v>1.2199474666772352</v>
      </c>
      <c r="K18">
        <f t="shared" si="12"/>
        <v>12</v>
      </c>
      <c r="L18">
        <f t="shared" si="12"/>
        <v>13</v>
      </c>
      <c r="M18" s="44">
        <f t="shared" si="13"/>
        <v>1.0798405153287582</v>
      </c>
      <c r="N18" s="67">
        <f t="shared" si="14"/>
        <v>0.66719236108597524</v>
      </c>
      <c r="P18" s="45"/>
    </row>
    <row r="19" spans="1:21" x14ac:dyDescent="0.25">
      <c r="A19">
        <f t="shared" si="10"/>
        <v>13</v>
      </c>
      <c r="B19">
        <f t="shared" si="11"/>
        <v>0.65021775962273387</v>
      </c>
      <c r="C19" t="str">
        <f t="shared" si="1"/>
        <v>0.993580611360438+0.113126339676569i</v>
      </c>
      <c r="D19">
        <f t="shared" si="2"/>
        <v>1</v>
      </c>
      <c r="E19">
        <f t="shared" si="3"/>
        <v>0.11336903027441976</v>
      </c>
      <c r="F19">
        <f t="shared" si="4"/>
        <v>0.89657599146301159</v>
      </c>
      <c r="G19">
        <f t="shared" si="5"/>
        <v>0.30839543461050034</v>
      </c>
      <c r="H19" t="str">
        <f t="shared" si="6"/>
        <v>0.09967836930967+0.297283053448371i</v>
      </c>
      <c r="I19">
        <f t="shared" si="7"/>
        <v>0.313549025155273</v>
      </c>
      <c r="J19">
        <f t="shared" si="8"/>
        <v>1.2472787486851296</v>
      </c>
      <c r="K19">
        <f t="shared" si="12"/>
        <v>13</v>
      </c>
      <c r="L19">
        <f t="shared" si="12"/>
        <v>14</v>
      </c>
      <c r="M19" s="44">
        <f t="shared" si="13"/>
        <v>1.0744250057016458</v>
      </c>
      <c r="N19" s="67">
        <f t="shared" si="14"/>
        <v>0.6235221471943091</v>
      </c>
      <c r="P19" s="45"/>
    </row>
    <row r="20" spans="1:21" x14ac:dyDescent="0.25">
      <c r="A20">
        <f t="shared" si="10"/>
        <v>14</v>
      </c>
      <c r="B20">
        <f t="shared" si="11"/>
        <v>0.60211427864988698</v>
      </c>
      <c r="C20" t="str">
        <f t="shared" si="1"/>
        <v>-0.312082685123529-0.950054944540624i</v>
      </c>
      <c r="D20">
        <f t="shared" si="2"/>
        <v>0.99999999999999989</v>
      </c>
      <c r="E20">
        <f t="shared" si="3"/>
        <v>-1.8881807456016266</v>
      </c>
      <c r="F20">
        <f t="shared" si="4"/>
        <v>0.91093810162179412</v>
      </c>
      <c r="G20">
        <f t="shared" si="5"/>
        <v>0.28776351387420629</v>
      </c>
      <c r="H20" t="str">
        <f t="shared" si="6"/>
        <v>0.086274226763273+0.278785358701805i</v>
      </c>
      <c r="I20">
        <f t="shared" si="7"/>
        <v>0.29182960512959394</v>
      </c>
      <c r="J20">
        <f t="shared" si="8"/>
        <v>1.2706791005785856</v>
      </c>
      <c r="K20">
        <f t="shared" si="12"/>
        <v>14</v>
      </c>
      <c r="L20">
        <f t="shared" si="12"/>
        <v>15</v>
      </c>
      <c r="M20" s="44">
        <f t="shared" si="13"/>
        <v>1.0696251933279026</v>
      </c>
      <c r="N20" s="67">
        <f t="shared" si="14"/>
        <v>0.58463246986605166</v>
      </c>
      <c r="P20" s="45"/>
    </row>
    <row r="21" spans="1:21" x14ac:dyDescent="0.25">
      <c r="A21">
        <f t="shared" si="10"/>
        <v>15</v>
      </c>
      <c r="B21">
        <f t="shared" si="11"/>
        <v>0.56063447476280792</v>
      </c>
      <c r="C21" t="str">
        <f t="shared" si="1"/>
        <v>-0.732956900984472+0.680275077670231i</v>
      </c>
      <c r="D21">
        <f t="shared" si="2"/>
        <v>0.99999999999999989</v>
      </c>
      <c r="E21">
        <f t="shared" si="3"/>
        <v>2.3934547856999804</v>
      </c>
      <c r="F21">
        <f t="shared" si="4"/>
        <v>0.92251906346744061</v>
      </c>
      <c r="G21">
        <f t="shared" si="5"/>
        <v>0.26957370456709651</v>
      </c>
      <c r="H21" t="str">
        <f t="shared" si="6"/>
        <v>0.075363362121334+0.262218406194738i</v>
      </c>
      <c r="I21">
        <f t="shared" si="7"/>
        <v>0.27283351864743438</v>
      </c>
      <c r="J21">
        <f t="shared" si="8"/>
        <v>1.2909325589323637</v>
      </c>
      <c r="K21">
        <f t="shared" si="12"/>
        <v>15</v>
      </c>
      <c r="L21">
        <f t="shared" si="12"/>
        <v>16</v>
      </c>
      <c r="M21" s="44">
        <f t="shared" si="13"/>
        <v>1.0653585139807085</v>
      </c>
      <c r="N21" s="67">
        <f t="shared" si="14"/>
        <v>0.54991561920238763</v>
      </c>
      <c r="P21" s="45"/>
    </row>
    <row r="22" spans="1:21" x14ac:dyDescent="0.25">
      <c r="A22">
        <f t="shared" si="10"/>
        <v>16</v>
      </c>
      <c r="B22">
        <f t="shared" si="11"/>
        <v>0.5244989760968819</v>
      </c>
      <c r="C22" t="str">
        <f t="shared" si="1"/>
        <v>0.92418311935338+0.381949685040133i</v>
      </c>
      <c r="D22">
        <f t="shared" si="2"/>
        <v>1.0000000000000002</v>
      </c>
      <c r="E22">
        <f t="shared" si="3"/>
        <v>0.39190500982495818</v>
      </c>
      <c r="F22">
        <f t="shared" si="4"/>
        <v>0.93198909834585253</v>
      </c>
      <c r="G22">
        <f t="shared" si="5"/>
        <v>0.2534454796425783</v>
      </c>
      <c r="H22" t="str">
        <f t="shared" si="6"/>
        <v>0.066373306624982+0.247344876648784i</v>
      </c>
      <c r="I22">
        <f t="shared" si="7"/>
        <v>0.25609549749407162</v>
      </c>
      <c r="J22">
        <f t="shared" si="8"/>
        <v>1.3086293953916048</v>
      </c>
      <c r="K22">
        <f t="shared" si="12"/>
        <v>16</v>
      </c>
      <c r="L22">
        <f t="shared" si="12"/>
        <v>17</v>
      </c>
      <c r="M22" s="44">
        <f t="shared" si="13"/>
        <v>1.0615510478581336</v>
      </c>
      <c r="N22" s="67">
        <f t="shared" si="14"/>
        <v>0.51881766707362953</v>
      </c>
      <c r="P22" s="45"/>
    </row>
    <row r="23" spans="1:21" x14ac:dyDescent="0.25">
      <c r="A23">
        <f t="shared" si="10"/>
        <v>17</v>
      </c>
      <c r="B23">
        <f t="shared" si="11"/>
        <v>0.49273783764245876</v>
      </c>
      <c r="C23" t="str">
        <f t="shared" si="1"/>
        <v>-0.0388386683073397-0.999245494282617i</v>
      </c>
      <c r="D23">
        <f t="shared" si="2"/>
        <v>0.99999999999999944</v>
      </c>
      <c r="E23">
        <f t="shared" si="3"/>
        <v>-1.6096447660502922</v>
      </c>
      <c r="F23">
        <f t="shared" si="4"/>
        <v>0.93982919250926544</v>
      </c>
      <c r="G23">
        <f t="shared" si="5"/>
        <v>0.23906579177479989</v>
      </c>
      <c r="H23" t="str">
        <f t="shared" si="6"/>
        <v>0.058884260078531+0.233949840695809i</v>
      </c>
      <c r="I23">
        <f t="shared" si="7"/>
        <v>0.2412465213150036</v>
      </c>
      <c r="J23">
        <f t="shared" si="8"/>
        <v>1.3242219821520955</v>
      </c>
      <c r="K23">
        <f t="shared" si="12"/>
        <v>17</v>
      </c>
      <c r="L23">
        <f t="shared" si="12"/>
        <v>18</v>
      </c>
      <c r="M23" s="44">
        <f t="shared" si="13"/>
        <v>1.0581389513682238</v>
      </c>
      <c r="N23" s="67">
        <f t="shared" si="14"/>
        <v>0.49085403167882224</v>
      </c>
      <c r="P23" s="45"/>
    </row>
    <row r="24" spans="1:21" x14ac:dyDescent="0.25">
      <c r="A24">
        <f t="shared" si="10"/>
        <v>18</v>
      </c>
      <c r="B24">
        <f t="shared" si="11"/>
        <v>0.46460236015023776</v>
      </c>
      <c r="C24" t="str">
        <f t="shared" si="1"/>
        <v>-0.891748516849838+0.452531305763606i</v>
      </c>
      <c r="D24">
        <f t="shared" si="2"/>
        <v>1.0000000000000002</v>
      </c>
      <c r="E24">
        <f t="shared" si="3"/>
        <v>2.6719907652542707</v>
      </c>
      <c r="F24">
        <f t="shared" si="4"/>
        <v>0.9463914197728388</v>
      </c>
      <c r="G24">
        <f t="shared" si="5"/>
        <v>0.22617734813361232</v>
      </c>
      <c r="H24" t="str">
        <f t="shared" si="6"/>
        <v>0.05258357028067+0.221844587326988i</v>
      </c>
      <c r="I24">
        <f t="shared" si="7"/>
        <v>0.2279913436728328</v>
      </c>
      <c r="J24">
        <f t="shared" si="8"/>
        <v>1.338062554321336</v>
      </c>
      <c r="K24">
        <f t="shared" si="12"/>
        <v>18</v>
      </c>
      <c r="L24">
        <f t="shared" si="12"/>
        <v>19</v>
      </c>
      <c r="M24" s="44">
        <f t="shared" si="13"/>
        <v>1.0550679668045488</v>
      </c>
      <c r="N24" s="67">
        <f t="shared" si="14"/>
        <v>0.46560875016039066</v>
      </c>
      <c r="P24" s="45"/>
    </row>
    <row r="25" spans="1:21" x14ac:dyDescent="0.25">
      <c r="A25">
        <f t="shared" si="10"/>
        <v>19</v>
      </c>
      <c r="B25">
        <f t="shared" si="11"/>
        <v>0.43950542968668421</v>
      </c>
      <c r="C25" t="str">
        <f t="shared" si="1"/>
        <v>0.783547741449242+0.621331583673156i</v>
      </c>
      <c r="D25">
        <f t="shared" si="2"/>
        <v>1.0000000000000002</v>
      </c>
      <c r="E25">
        <f t="shared" si="3"/>
        <v>0.67044098937924812</v>
      </c>
      <c r="F25">
        <f t="shared" si="4"/>
        <v>0.95193808753529663</v>
      </c>
      <c r="G25">
        <f t="shared" si="5"/>
        <v>0.21456813853661691</v>
      </c>
      <c r="H25" t="str">
        <f t="shared" si="6"/>
        <v>0.047234989320629+0.210865936083962i</v>
      </c>
      <c r="I25">
        <f t="shared" si="7"/>
        <v>0.21609161764558452</v>
      </c>
      <c r="J25">
        <f t="shared" si="8"/>
        <v>1.3504292979966148</v>
      </c>
      <c r="K25">
        <f t="shared" ref="K25:L28" si="15">K24+1</f>
        <v>19</v>
      </c>
      <c r="L25">
        <f t="shared" si="15"/>
        <v>20</v>
      </c>
      <c r="M25" s="44">
        <f t="shared" si="13"/>
        <v>1.0522922854793275</v>
      </c>
      <c r="N25" s="67">
        <f t="shared" si="14"/>
        <v>0.44272773057470655</v>
      </c>
      <c r="P25" s="45"/>
      <c r="U25" s="53"/>
    </row>
    <row r="26" spans="1:21" x14ac:dyDescent="0.25">
      <c r="A26">
        <f t="shared" si="10"/>
        <v>20</v>
      </c>
      <c r="B26">
        <f t="shared" si="11"/>
        <v>0.41698016936129617</v>
      </c>
      <c r="C26" t="str">
        <f t="shared" si="1"/>
        <v>0.237399110855419-0.971412199925992i</v>
      </c>
      <c r="D26">
        <f t="shared" si="2"/>
        <v>0.99999999999999956</v>
      </c>
      <c r="E26">
        <f t="shared" si="3"/>
        <v>-1.3311087864957747</v>
      </c>
      <c r="F26">
        <f t="shared" si="4"/>
        <v>0.95666774954253631</v>
      </c>
      <c r="G26">
        <f t="shared" si="5"/>
        <v>0.20406270198179427</v>
      </c>
      <c r="H26" t="str">
        <f t="shared" si="6"/>
        <v>0.042657589452035+0.200873787043263i</v>
      </c>
      <c r="I26">
        <f t="shared" si="7"/>
        <v>0.20535322802176875</v>
      </c>
      <c r="J26">
        <f t="shared" si="8"/>
        <v>1.3615447363177082</v>
      </c>
      <c r="K26">
        <f t="shared" si="15"/>
        <v>20</v>
      </c>
      <c r="L26">
        <f t="shared" si="15"/>
        <v>21</v>
      </c>
      <c r="M26" s="44">
        <f t="shared" si="13"/>
        <v>1.0497732918395415</v>
      </c>
      <c r="N26" s="67">
        <f t="shared" si="14"/>
        <v>0.42191038646944623</v>
      </c>
      <c r="P26" s="45"/>
    </row>
    <row r="27" spans="1:21" x14ac:dyDescent="0.25">
      <c r="A27">
        <f t="shared" si="10"/>
        <v>21</v>
      </c>
      <c r="B27">
        <f t="shared" si="11"/>
        <v>0.39665066648961289</v>
      </c>
      <c r="C27" t="str">
        <f t="shared" si="1"/>
        <v>-0.981802370943199+0.189905514428392i</v>
      </c>
      <c r="D27">
        <f t="shared" si="2"/>
        <v>0.99999999999999956</v>
      </c>
      <c r="E27">
        <f t="shared" si="3"/>
        <v>2.9505267448087884</v>
      </c>
      <c r="F27">
        <f t="shared" si="4"/>
        <v>0.96073286668119884</v>
      </c>
      <c r="G27">
        <f t="shared" si="5"/>
        <v>0.19451505963748</v>
      </c>
      <c r="H27" t="str">
        <f t="shared" si="6"/>
        <v>0.038711079511672+0.191748170509221i</v>
      </c>
      <c r="I27">
        <f t="shared" si="7"/>
        <v>0.1956167389836368</v>
      </c>
      <c r="J27">
        <f t="shared" si="8"/>
        <v>1.3715889251775237</v>
      </c>
      <c r="K27">
        <f t="shared" si="15"/>
        <v>21</v>
      </c>
      <c r="L27">
        <f t="shared" si="15"/>
        <v>22</v>
      </c>
      <c r="M27" s="44">
        <f t="shared" si="13"/>
        <v>1.0474783940032857</v>
      </c>
      <c r="N27" s="67">
        <f t="shared" si="14"/>
        <v>0.4029014735891463</v>
      </c>
      <c r="P27" s="45"/>
    </row>
    <row r="28" spans="1:21" x14ac:dyDescent="0.25">
      <c r="A28">
        <f t="shared" si="10"/>
        <v>22</v>
      </c>
      <c r="B28">
        <f t="shared" si="11"/>
        <v>0.37821085280813316</v>
      </c>
      <c r="C28" t="str">
        <f t="shared" si="1"/>
        <v>0.582514934257315+0.812819999364679i</v>
      </c>
      <c r="D28">
        <f t="shared" si="2"/>
        <v>1.0000000000000004</v>
      </c>
      <c r="E28">
        <f t="shared" si="3"/>
        <v>0.94897696893376604</v>
      </c>
      <c r="F28">
        <f t="shared" si="4"/>
        <v>0.96425203333713705</v>
      </c>
      <c r="G28">
        <f t="shared" si="5"/>
        <v>0.18580307201949772</v>
      </c>
      <c r="H28" t="str">
        <f t="shared" si="6"/>
        <v>0.035285425113976+0.183386352734234i</v>
      </c>
      <c r="I28">
        <f t="shared" si="7"/>
        <v>0.18675014215426691</v>
      </c>
      <c r="J28">
        <f t="shared" si="8"/>
        <v>1.3807090820489905</v>
      </c>
      <c r="K28">
        <f t="shared" si="15"/>
        <v>22</v>
      </c>
      <c r="L28">
        <f t="shared" si="15"/>
        <v>23</v>
      </c>
      <c r="M28" s="44">
        <f t="shared" si="13"/>
        <v>1.0453800074229491</v>
      </c>
      <c r="N28" s="67">
        <f>20*LOG10(M28)</f>
        <v>0.38548380180593084</v>
      </c>
      <c r="P28" s="45"/>
    </row>
    <row r="29" spans="1:21" x14ac:dyDescent="0.25">
      <c r="A29">
        <f t="shared" si="10"/>
        <v>23</v>
      </c>
      <c r="B29">
        <f t="shared" si="11"/>
        <v>0.36140900657504887</v>
      </c>
      <c r="C29" t="str">
        <f t="shared" si="1"/>
        <v>0.49533769106403-0.86870050754639i</v>
      </c>
      <c r="D29">
        <f t="shared" si="2"/>
        <v>1</v>
      </c>
      <c r="E29">
        <f t="shared" si="3"/>
        <v>-1.0525728069412568</v>
      </c>
      <c r="F29">
        <f t="shared" si="4"/>
        <v>0.96731859297302014</v>
      </c>
      <c r="G29">
        <f t="shared" si="5"/>
        <v>0.17782395508262969</v>
      </c>
      <c r="H29" t="str">
        <f t="shared" si="6"/>
        <v>0.03229340600679+0.175700219847875i</v>
      </c>
      <c r="I29">
        <f t="shared" si="7"/>
        <v>0.178643307532387</v>
      </c>
      <c r="J29">
        <f t="shared" si="8"/>
        <v>1.3890267190911554</v>
      </c>
    </row>
    <row r="34" spans="1:18" x14ac:dyDescent="0.25">
      <c r="A34" t="s">
        <v>330</v>
      </c>
      <c r="B34" t="s">
        <v>331</v>
      </c>
      <c r="C34" t="s">
        <v>59</v>
      </c>
      <c r="D34" t="s">
        <v>333</v>
      </c>
      <c r="E34" t="s">
        <v>37</v>
      </c>
      <c r="F34" t="s">
        <v>332</v>
      </c>
      <c r="G34" t="s">
        <v>335</v>
      </c>
      <c r="H34" t="s">
        <v>336</v>
      </c>
      <c r="I34" t="s">
        <v>18</v>
      </c>
      <c r="J34" t="s">
        <v>19</v>
      </c>
      <c r="K34" t="s">
        <v>337</v>
      </c>
      <c r="L34" t="s">
        <v>338</v>
      </c>
      <c r="M34" s="43" t="s">
        <v>339</v>
      </c>
      <c r="N34" s="43" t="s">
        <v>340</v>
      </c>
      <c r="O34" s="43" t="s">
        <v>341</v>
      </c>
      <c r="P34" s="43" t="s">
        <v>342</v>
      </c>
      <c r="Q34" s="43" t="s">
        <v>343</v>
      </c>
      <c r="R34" s="43" t="s">
        <v>344</v>
      </c>
    </row>
    <row r="35" spans="1:18" x14ac:dyDescent="0.25">
      <c r="A35">
        <v>1.502E-2</v>
      </c>
      <c r="B35">
        <v>0.01</v>
      </c>
      <c r="C35" s="53">
        <v>2500000</v>
      </c>
      <c r="D35">
        <v>6397</v>
      </c>
      <c r="E35" s="53">
        <f>2*PI()*C35/D35</f>
        <v>2455.5202857509717</v>
      </c>
      <c r="F35" s="53">
        <f>E35*B35</f>
        <v>24.555202857509716</v>
      </c>
      <c r="G35">
        <v>2.8310590999999899E-2</v>
      </c>
      <c r="H35">
        <v>2.5808911E-2</v>
      </c>
      <c r="I35">
        <v>1</v>
      </c>
      <c r="J35">
        <v>2</v>
      </c>
      <c r="K35">
        <f>G35/H35</f>
        <v>1.0969308623676488</v>
      </c>
      <c r="L35">
        <f>20*LOG10(K35)</f>
        <v>0.80358511232470353</v>
      </c>
      <c r="M35">
        <f>$E$35/2*(SQRT((2*I35-1)^2*$A$35^2+4*$B$35^2)-(2*I35-1)*$A$35)</f>
        <v>12.267785630727246</v>
      </c>
      <c r="N35">
        <f>$E$35/2*(SQRT((2*J35-1)^2*$A$35^2+4*$B$35^2)-(2*J35-1)*$A$35)</f>
        <v>5.2046271496146712</v>
      </c>
      <c r="O35" s="45" t="str">
        <f>IMSUB(COMPLEX(1,0),IMPRODUCT(IMSUM((1-M35^2/2/$F$35^2)*BESSELJ(M35,0),IMPRODUCT(COMPLEX(0,1),(1-M35^2/2/$F$35^2+M35/$F$35^2),BESSELJ(M35,1))),IMEXP(COMPLEX(0,-M35))))</f>
        <v>0.860384175854465+0.142780695917144i</v>
      </c>
      <c r="P35" s="45" t="str">
        <f>IMSUB(COMPLEX(1,0),IMPRODUCT(IMSUM((1-N35^2/2/$F$35^2)*BESSELJ(N35,0),IMPRODUCT(COMPLEX(0,1),(1-N35^2/2/$F$35^2+N35/$F$35^2),BESSELJ(N35,1))),IMEXP(COMPLEX(0,-N35))))</f>
        <v>0.751752375200511+0.253701980473588i</v>
      </c>
      <c r="Q35">
        <f>20*LOG10(IMABS(IMDIV(O35,P35)))</f>
        <v>0.82190102121543052</v>
      </c>
      <c r="R35" s="142">
        <f>(L35-Q35)/(2*A35)</f>
        <v>-0.60971733990436028</v>
      </c>
    </row>
    <row r="42" spans="1:18" x14ac:dyDescent="0.25">
      <c r="A42" t="s">
        <v>334</v>
      </c>
    </row>
    <row r="43" spans="1:18" x14ac:dyDescent="0.25">
      <c r="A43">
        <v>-0.61014999999999997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2"/>
  <sheetViews>
    <sheetView topLeftCell="B1" workbookViewId="0">
      <selection activeCell="O40" sqref="O40"/>
    </sheetView>
  </sheetViews>
  <sheetFormatPr defaultRowHeight="15" x14ac:dyDescent="0.25"/>
  <cols>
    <col min="1" max="1" width="24.7109375" customWidth="1"/>
    <col min="8" max="8" width="24.140625" customWidth="1"/>
    <col min="14" max="14" width="11.85546875" customWidth="1"/>
    <col min="19" max="19" width="11.42578125" customWidth="1"/>
    <col min="21" max="21" width="6" customWidth="1"/>
    <col min="22" max="22" width="5.5703125" customWidth="1"/>
    <col min="23" max="23" width="6.7109375" customWidth="1"/>
    <col min="24" max="24" width="10.7109375" customWidth="1"/>
  </cols>
  <sheetData>
    <row r="1" spans="1:21" x14ac:dyDescent="0.25">
      <c r="A1" s="277" t="s">
        <v>1</v>
      </c>
      <c r="B1" s="231">
        <v>5</v>
      </c>
    </row>
    <row r="3" spans="1:21" x14ac:dyDescent="0.25">
      <c r="A3" s="1" t="s">
        <v>154</v>
      </c>
      <c r="B3" s="6">
        <v>1</v>
      </c>
      <c r="C3" s="1">
        <v>2</v>
      </c>
      <c r="D3" s="93">
        <v>3</v>
      </c>
      <c r="E3" s="1">
        <v>4</v>
      </c>
      <c r="F3" s="1">
        <v>5</v>
      </c>
      <c r="G3" s="7">
        <v>6</v>
      </c>
      <c r="H3" s="271" t="s">
        <v>160</v>
      </c>
      <c r="I3" s="269" t="s">
        <v>152</v>
      </c>
      <c r="J3" s="279" t="s">
        <v>139</v>
      </c>
      <c r="K3" s="269" t="s">
        <v>144</v>
      </c>
      <c r="L3" s="279" t="s">
        <v>145</v>
      </c>
      <c r="M3" s="270" t="s">
        <v>157</v>
      </c>
      <c r="N3" s="440" t="s">
        <v>203</v>
      </c>
    </row>
    <row r="4" spans="1:21" x14ac:dyDescent="0.25">
      <c r="A4" s="13" t="s">
        <v>155</v>
      </c>
      <c r="B4" s="322">
        <v>50.83</v>
      </c>
      <c r="C4" s="323">
        <v>47.41</v>
      </c>
      <c r="D4" s="291">
        <v>44.78</v>
      </c>
      <c r="E4" s="323">
        <v>42.41</v>
      </c>
      <c r="F4" s="323">
        <v>38.5</v>
      </c>
      <c r="G4" s="324">
        <v>36.450000000000003</v>
      </c>
      <c r="H4" s="272" t="s">
        <v>169</v>
      </c>
      <c r="I4" s="69">
        <f>20*LOG10(B4/C4)</f>
        <v>0.60500308767493893</v>
      </c>
      <c r="J4" s="39">
        <f>20*LOG10(C4/D4)</f>
        <v>0.49571732151890335</v>
      </c>
      <c r="K4" s="69">
        <f t="shared" ref="K4:M10" si="0">20*LOG10(D4/E4)</f>
        <v>0.47231633566603731</v>
      </c>
      <c r="L4" s="39">
        <f t="shared" si="0"/>
        <v>0.84015085902417752</v>
      </c>
      <c r="M4" s="70">
        <f t="shared" si="0"/>
        <v>0.47526393709014503</v>
      </c>
      <c r="N4" s="45">
        <f>AVERAGE(I4:M4)</f>
        <v>0.57769030819484046</v>
      </c>
      <c r="P4" s="45">
        <v>0.60500308767493893</v>
      </c>
      <c r="Q4" s="45">
        <v>0.49571732151890335</v>
      </c>
      <c r="R4" s="45">
        <v>0.47231633566603731</v>
      </c>
      <c r="S4" s="45">
        <v>0.84015085902417752</v>
      </c>
      <c r="T4" s="45">
        <v>0.47526393709014503</v>
      </c>
    </row>
    <row r="5" spans="1:21" x14ac:dyDescent="0.25">
      <c r="A5" s="13"/>
      <c r="B5" s="325">
        <v>50.65</v>
      </c>
      <c r="C5" s="39">
        <v>47.07</v>
      </c>
      <c r="D5" s="69">
        <v>44.68</v>
      </c>
      <c r="E5" s="39">
        <v>42.13</v>
      </c>
      <c r="F5" s="39">
        <v>38.42</v>
      </c>
      <c r="G5" s="70">
        <v>36.380000000000003</v>
      </c>
      <c r="H5" s="13"/>
      <c r="I5" s="69">
        <f t="shared" ref="I5:I10" si="1">20*LOG10(B5/C5)</f>
        <v>0.63670502779400173</v>
      </c>
      <c r="J5" s="39">
        <f t="shared" ref="J5:J10" si="2">20*LOG10(C5/D5)</f>
        <v>0.45262067726055377</v>
      </c>
      <c r="K5" s="69">
        <f t="shared" si="0"/>
        <v>0.51043410633447295</v>
      </c>
      <c r="L5" s="39">
        <f t="shared" si="0"/>
        <v>0.80068197202345803</v>
      </c>
      <c r="M5" s="70">
        <f t="shared" si="0"/>
        <v>0.4738933159642017</v>
      </c>
      <c r="N5" s="45">
        <f t="shared" ref="N5:N10" si="3">AVERAGE(I5:M5)</f>
        <v>0.57486701987533773</v>
      </c>
      <c r="P5" s="45">
        <v>0.63670502779400173</v>
      </c>
      <c r="Q5" s="45">
        <v>0.45262067726055377</v>
      </c>
      <c r="R5" s="45">
        <v>0.51043410633447295</v>
      </c>
      <c r="S5" s="45">
        <v>0.80068197202345803</v>
      </c>
      <c r="T5" s="45">
        <v>0.4738933159642017</v>
      </c>
    </row>
    <row r="6" spans="1:21" x14ac:dyDescent="0.25">
      <c r="A6" s="13"/>
      <c r="B6" s="325">
        <v>50.63</v>
      </c>
      <c r="C6" s="39">
        <v>47.32</v>
      </c>
      <c r="D6" s="69">
        <v>44.5</v>
      </c>
      <c r="E6" s="39">
        <v>42.17</v>
      </c>
      <c r="F6" s="39">
        <v>38.39</v>
      </c>
      <c r="G6" s="70">
        <v>36.17</v>
      </c>
      <c r="H6" s="13"/>
      <c r="I6" s="69">
        <f t="shared" si="1"/>
        <v>0.58726382861896453</v>
      </c>
      <c r="J6" s="39">
        <f t="shared" si="2"/>
        <v>0.5336944994992241</v>
      </c>
      <c r="K6" s="69">
        <f t="shared" si="0"/>
        <v>0.46712819932136274</v>
      </c>
      <c r="L6" s="39">
        <f t="shared" si="0"/>
        <v>0.81570977794917021</v>
      </c>
      <c r="M6" s="70">
        <f t="shared" si="0"/>
        <v>0.51739206711570407</v>
      </c>
      <c r="N6" s="45">
        <f t="shared" si="3"/>
        <v>0.58423767450088504</v>
      </c>
      <c r="P6" s="45">
        <v>0.58726382861896453</v>
      </c>
      <c r="Q6" s="45">
        <v>0.5336944994992241</v>
      </c>
      <c r="R6" s="45">
        <v>0.46712819932136274</v>
      </c>
      <c r="S6" s="45">
        <v>0.81570977794917021</v>
      </c>
      <c r="T6" s="45">
        <v>0.51739206711570407</v>
      </c>
    </row>
    <row r="7" spans="1:21" x14ac:dyDescent="0.25">
      <c r="A7" s="13"/>
      <c r="B7" s="325">
        <v>50.47</v>
      </c>
      <c r="C7" s="39">
        <v>47.06</v>
      </c>
      <c r="D7" s="69">
        <v>44.49</v>
      </c>
      <c r="E7" s="39">
        <v>42.23</v>
      </c>
      <c r="F7" s="39">
        <v>38.369999999999997</v>
      </c>
      <c r="G7" s="70">
        <v>36.270000000000003</v>
      </c>
      <c r="H7" s="13"/>
      <c r="I7" s="69">
        <f t="shared" si="1"/>
        <v>0.60762763787366725</v>
      </c>
      <c r="J7" s="39">
        <f t="shared" si="2"/>
        <v>0.4877903418391597</v>
      </c>
      <c r="K7" s="69">
        <f t="shared" si="0"/>
        <v>0.45282648646273715</v>
      </c>
      <c r="L7" s="39">
        <f t="shared" si="0"/>
        <v>0.83258564453182682</v>
      </c>
      <c r="M7" s="70">
        <f t="shared" si="0"/>
        <v>0.48888487235763972</v>
      </c>
      <c r="N7" s="45">
        <f t="shared" si="3"/>
        <v>0.57394299661300607</v>
      </c>
      <c r="P7" s="45">
        <v>0.60762763787366725</v>
      </c>
      <c r="Q7" s="45">
        <v>0.4877903418391597</v>
      </c>
      <c r="R7" s="45">
        <v>0.45282648646273715</v>
      </c>
      <c r="S7" s="45">
        <v>0.83258564453182682</v>
      </c>
      <c r="T7" s="45">
        <v>0.48888487235763972</v>
      </c>
    </row>
    <row r="8" spans="1:21" x14ac:dyDescent="0.25">
      <c r="A8" s="13"/>
      <c r="B8" s="325">
        <v>50.54</v>
      </c>
      <c r="C8" s="39">
        <v>47</v>
      </c>
      <c r="D8" s="69">
        <v>44.54</v>
      </c>
      <c r="E8" s="39">
        <v>42.06</v>
      </c>
      <c r="F8" s="39">
        <v>38.29</v>
      </c>
      <c r="G8" s="70">
        <v>36.43</v>
      </c>
      <c r="H8" s="13"/>
      <c r="I8" s="69">
        <f t="shared" si="1"/>
        <v>0.63074759296356964</v>
      </c>
      <c r="J8" s="39">
        <f t="shared" si="2"/>
        <v>0.4669529047539609</v>
      </c>
      <c r="K8" s="69">
        <f t="shared" si="0"/>
        <v>0.4976188869543407</v>
      </c>
      <c r="L8" s="39">
        <f t="shared" si="0"/>
        <v>0.81567804005229383</v>
      </c>
      <c r="M8" s="70">
        <f t="shared" si="0"/>
        <v>0.43252390211543307</v>
      </c>
      <c r="N8" s="45">
        <f t="shared" si="3"/>
        <v>0.56870426536791974</v>
      </c>
      <c r="P8" s="45">
        <v>0.63074759296356964</v>
      </c>
      <c r="Q8" s="45">
        <v>0.4669529047539609</v>
      </c>
      <c r="R8" s="45">
        <v>0.4976188869543407</v>
      </c>
      <c r="S8" s="45">
        <v>0.81567804005229383</v>
      </c>
      <c r="T8" s="45">
        <v>0.43252390211543307</v>
      </c>
    </row>
    <row r="9" spans="1:21" x14ac:dyDescent="0.25">
      <c r="A9" s="13"/>
      <c r="B9" s="325">
        <v>50.52</v>
      </c>
      <c r="C9" s="39">
        <v>47.09</v>
      </c>
      <c r="D9" s="69">
        <v>44.56</v>
      </c>
      <c r="E9" s="39">
        <v>42.17</v>
      </c>
      <c r="F9" s="39">
        <v>38.25</v>
      </c>
      <c r="G9" s="70">
        <v>36.14</v>
      </c>
      <c r="H9" s="13"/>
      <c r="I9" s="69">
        <f t="shared" si="1"/>
        <v>0.61069302881141274</v>
      </c>
      <c r="J9" s="39">
        <f t="shared" si="2"/>
        <v>0.47967016554099934</v>
      </c>
      <c r="K9" s="69">
        <f t="shared" si="0"/>
        <v>0.47883162301618126</v>
      </c>
      <c r="L9" s="39">
        <f t="shared" si="0"/>
        <v>0.84744323050454196</v>
      </c>
      <c r="M9" s="70">
        <f t="shared" si="0"/>
        <v>0.49286582529446649</v>
      </c>
      <c r="N9" s="45">
        <f t="shared" si="3"/>
        <v>0.58190077463352041</v>
      </c>
      <c r="P9" s="45">
        <v>0.61069302881141274</v>
      </c>
      <c r="Q9" s="45">
        <v>0.47967016554099934</v>
      </c>
      <c r="R9" s="45">
        <v>0.47883162301618126</v>
      </c>
      <c r="S9" s="45">
        <v>0.84744323050454196</v>
      </c>
      <c r="T9" s="45">
        <v>0.49286582529446649</v>
      </c>
    </row>
    <row r="10" spans="1:21" ht="15.75" thickBot="1" x14ac:dyDescent="0.3">
      <c r="A10" s="13"/>
      <c r="B10" s="395">
        <v>50.51</v>
      </c>
      <c r="C10" s="278">
        <v>47.05</v>
      </c>
      <c r="D10" s="72">
        <v>44.52</v>
      </c>
      <c r="E10" s="278">
        <v>42.11</v>
      </c>
      <c r="F10" s="278">
        <v>38.29</v>
      </c>
      <c r="G10" s="73">
        <v>36.15</v>
      </c>
      <c r="H10" s="13"/>
      <c r="I10" s="69">
        <f t="shared" si="1"/>
        <v>0.61635481498147648</v>
      </c>
      <c r="J10" s="39">
        <f t="shared" si="2"/>
        <v>0.48008944201209891</v>
      </c>
      <c r="K10" s="69">
        <f t="shared" si="0"/>
        <v>0.48339828484811287</v>
      </c>
      <c r="L10" s="39">
        <f t="shared" si="0"/>
        <v>0.82599750145154949</v>
      </c>
      <c r="M10" s="70">
        <f t="shared" si="0"/>
        <v>0.49954129434275968</v>
      </c>
      <c r="N10" s="45">
        <f t="shared" si="3"/>
        <v>0.58107626752719954</v>
      </c>
      <c r="P10" s="45">
        <v>0.61635481498147648</v>
      </c>
      <c r="Q10" s="45">
        <v>0.48008944201209891</v>
      </c>
      <c r="R10" s="45">
        <v>0.48339828484811287</v>
      </c>
      <c r="S10" s="45">
        <v>0.82599750145154949</v>
      </c>
      <c r="T10" s="45">
        <v>0.49954129434275968</v>
      </c>
    </row>
    <row r="11" spans="1:21" ht="15.75" thickBot="1" x14ac:dyDescent="0.3">
      <c r="A11" s="13"/>
      <c r="B11" s="36"/>
      <c r="C11" s="13"/>
      <c r="D11" s="36"/>
      <c r="E11" s="13"/>
      <c r="F11" s="13"/>
      <c r="G11" s="30"/>
      <c r="H11" s="13"/>
      <c r="I11" s="36"/>
      <c r="J11" s="13"/>
      <c r="K11" s="36"/>
      <c r="L11" s="13"/>
      <c r="M11" s="36"/>
      <c r="N11" s="441">
        <f>STDEV(N4:N10)/7^0.5</f>
        <v>2.0385443957172144E-3</v>
      </c>
      <c r="O11" t="s">
        <v>7</v>
      </c>
      <c r="P11" s="441">
        <f>STDEV(P4:P10)/7^0.5</f>
        <v>6.2621293808943074E-3</v>
      </c>
      <c r="Q11" s="441">
        <f t="shared" ref="Q11:T11" si="4">STDEV(Q4:Q10)/7^0.5</f>
        <v>9.6610452634276426E-3</v>
      </c>
      <c r="R11" s="441">
        <f t="shared" si="4"/>
        <v>7.256792302936515E-3</v>
      </c>
      <c r="S11" s="441">
        <f t="shared" si="4"/>
        <v>6.0844290271185849E-3</v>
      </c>
      <c r="T11" s="441">
        <f t="shared" si="4"/>
        <v>1.0093553089608879E-2</v>
      </c>
    </row>
    <row r="12" spans="1:21" ht="15.75" thickBot="1" x14ac:dyDescent="0.3">
      <c r="A12" s="13"/>
      <c r="B12" s="36"/>
      <c r="C12" s="13"/>
      <c r="D12" s="36"/>
      <c r="E12" s="13"/>
      <c r="F12" s="13"/>
      <c r="G12" s="30"/>
      <c r="H12" s="13"/>
      <c r="I12" s="36"/>
      <c r="J12" s="13"/>
      <c r="K12" s="36"/>
      <c r="L12" s="13"/>
      <c r="M12" s="36"/>
      <c r="N12" s="441">
        <f>N11/$N$16</f>
        <v>3.5300539021067825E-3</v>
      </c>
      <c r="O12" t="s">
        <v>258</v>
      </c>
      <c r="P12" s="441">
        <f>P11/$N$16</f>
        <v>1.0843842450998531E-2</v>
      </c>
      <c r="Q12" s="441">
        <f t="shared" ref="Q12:T12" si="5">Q11/$N$16</f>
        <v>1.6729589310020544E-2</v>
      </c>
      <c r="R12" s="441">
        <f t="shared" si="5"/>
        <v>1.2566254646981485E-2</v>
      </c>
      <c r="S12" s="441">
        <f t="shared" si="5"/>
        <v>1.0536126892500211E-2</v>
      </c>
      <c r="T12" s="441">
        <f t="shared" si="5"/>
        <v>1.7478543290473658E-2</v>
      </c>
    </row>
    <row r="13" spans="1:21" x14ac:dyDescent="0.25">
      <c r="A13" s="13"/>
      <c r="B13" s="36"/>
      <c r="C13" s="13"/>
      <c r="D13" s="36"/>
      <c r="E13" s="13"/>
      <c r="F13" s="13"/>
      <c r="G13" s="30"/>
      <c r="H13" s="13"/>
      <c r="I13" s="36"/>
      <c r="J13" s="13"/>
      <c r="K13" s="36"/>
      <c r="L13" s="13"/>
      <c r="M13" s="30"/>
    </row>
    <row r="14" spans="1:21" x14ac:dyDescent="0.25">
      <c r="A14" s="31"/>
      <c r="B14" s="42"/>
      <c r="C14" s="31"/>
      <c r="D14" s="42"/>
      <c r="E14" s="31"/>
      <c r="F14" s="31"/>
      <c r="G14" s="33"/>
      <c r="H14" s="31"/>
      <c r="I14" s="42"/>
      <c r="J14" s="31"/>
      <c r="K14" s="42"/>
      <c r="L14" s="31"/>
      <c r="M14" s="33"/>
    </row>
    <row r="15" spans="1:21" ht="15.75" thickBot="1" x14ac:dyDescent="0.3">
      <c r="A15" s="31" t="s">
        <v>156</v>
      </c>
      <c r="B15" s="72">
        <f>AVERAGE(B4:B14)</f>
        <v>50.592857142857142</v>
      </c>
      <c r="C15" s="278">
        <f>AVERAGE(C4:C14)</f>
        <v>47.142857142857146</v>
      </c>
      <c r="D15" s="72">
        <f t="shared" ref="D15:G15" si="6">AVERAGE(D4:D14)</f>
        <v>44.581428571428567</v>
      </c>
      <c r="E15" s="278">
        <f t="shared" si="6"/>
        <v>42.182857142857145</v>
      </c>
      <c r="F15" s="278">
        <f t="shared" si="6"/>
        <v>38.35857142857143</v>
      </c>
      <c r="G15" s="73">
        <f t="shared" si="6"/>
        <v>36.284285714285723</v>
      </c>
      <c r="H15" s="271" t="s">
        <v>158</v>
      </c>
      <c r="I15" s="268">
        <f>AVERAGE(I4:I14)</f>
        <v>0.61348500267400452</v>
      </c>
      <c r="J15" s="280">
        <f t="shared" ref="J15:M15" si="7">AVERAGE(J4:J14)</f>
        <v>0.48521933606069995</v>
      </c>
      <c r="K15" s="268">
        <f t="shared" si="7"/>
        <v>0.48036484608617785</v>
      </c>
      <c r="L15" s="278">
        <f t="shared" si="7"/>
        <v>0.82546386079100265</v>
      </c>
      <c r="M15" s="73">
        <f t="shared" si="7"/>
        <v>0.48290931632576434</v>
      </c>
      <c r="N15" t="s">
        <v>163</v>
      </c>
      <c r="S15" t="s">
        <v>296</v>
      </c>
      <c r="U15" t="s">
        <v>297</v>
      </c>
    </row>
    <row r="16" spans="1:21" ht="15.75" thickBot="1" x14ac:dyDescent="0.3">
      <c r="A16" s="1" t="s">
        <v>161</v>
      </c>
      <c r="B16" s="248">
        <f>AVERAGE(B4:B14)</f>
        <v>50.592857142857142</v>
      </c>
      <c r="C16" s="274">
        <f t="shared" ref="C16:G16" si="8">AVERAGE(C4:C14)</f>
        <v>47.142857142857146</v>
      </c>
      <c r="D16" s="248">
        <f t="shared" si="8"/>
        <v>44.581428571428567</v>
      </c>
      <c r="E16" s="274">
        <f t="shared" si="8"/>
        <v>42.182857142857145</v>
      </c>
      <c r="F16" s="274">
        <f t="shared" si="8"/>
        <v>38.35857142857143</v>
      </c>
      <c r="G16" s="249">
        <f t="shared" si="8"/>
        <v>36.284285714285723</v>
      </c>
      <c r="H16" t="s">
        <v>164</v>
      </c>
      <c r="I16" s="248">
        <f>20*LOG10(B16/C16)</f>
        <v>0.61346612513041388</v>
      </c>
      <c r="J16" s="274">
        <f>20*LOG10(C16/D16)</f>
        <v>0.48523837847620455</v>
      </c>
      <c r="K16" s="248">
        <f t="shared" ref="K16" si="9">20*LOG10(D16/E16)</f>
        <v>0.48035977532953017</v>
      </c>
      <c r="L16" s="274">
        <f t="shared" ref="L16" si="10">20*LOG10(E16/F16)</f>
        <v>0.82547135224374169</v>
      </c>
      <c r="M16" s="249">
        <f t="shared" ref="M16" si="11">20*LOG10(F16/G16)</f>
        <v>0.48287693000024401</v>
      </c>
      <c r="N16" s="331">
        <f>AVERAGE(I16:M16)</f>
        <v>0.57748251223602687</v>
      </c>
      <c r="O16" s="45" t="s">
        <v>204</v>
      </c>
      <c r="U16" t="s">
        <v>298</v>
      </c>
    </row>
    <row r="17" spans="2:26" ht="18" x14ac:dyDescent="0.35">
      <c r="B17" s="93" t="s">
        <v>162</v>
      </c>
      <c r="C17" s="6"/>
      <c r="D17" s="6"/>
      <c r="E17" s="6"/>
      <c r="F17" s="6"/>
      <c r="G17" s="7"/>
      <c r="H17" s="271" t="s">
        <v>160</v>
      </c>
      <c r="I17" s="310" t="s">
        <v>151</v>
      </c>
      <c r="J17" s="431" t="s">
        <v>140</v>
      </c>
      <c r="K17" s="279" t="s">
        <v>141</v>
      </c>
      <c r="L17" s="270" t="s">
        <v>159</v>
      </c>
      <c r="M17" s="440" t="s">
        <v>282</v>
      </c>
      <c r="O17" s="269" t="s">
        <v>151</v>
      </c>
      <c r="P17" s="431" t="s">
        <v>140</v>
      </c>
      <c r="Q17" s="279" t="s">
        <v>141</v>
      </c>
      <c r="R17" s="270" t="s">
        <v>159</v>
      </c>
      <c r="S17" t="s">
        <v>279</v>
      </c>
      <c r="T17" t="s">
        <v>283</v>
      </c>
      <c r="U17" t="s">
        <v>18</v>
      </c>
      <c r="V17" t="s">
        <v>277</v>
      </c>
      <c r="W17" t="s">
        <v>278</v>
      </c>
      <c r="X17" t="s">
        <v>280</v>
      </c>
      <c r="Y17" t="s">
        <v>299</v>
      </c>
      <c r="Z17" t="s">
        <v>258</v>
      </c>
    </row>
    <row r="18" spans="2:26" x14ac:dyDescent="0.25">
      <c r="H18" s="272" t="s">
        <v>14</v>
      </c>
      <c r="I18" s="311">
        <f t="shared" ref="I18:I24" si="12">20*LOG10(B4/D4)</f>
        <v>1.1007204091938414</v>
      </c>
      <c r="J18" s="398">
        <f t="shared" ref="J18:L24" si="13">20*LOG10(C4/E4)</f>
        <v>0.96803365718494117</v>
      </c>
      <c r="K18" s="39">
        <f t="shared" si="13"/>
        <v>1.3124671946902164</v>
      </c>
      <c r="L18" s="70">
        <f t="shared" si="13"/>
        <v>1.315414796114323</v>
      </c>
      <c r="M18" s="45">
        <f>AVERAGE(I18:L18)</f>
        <v>1.1741590142958307</v>
      </c>
      <c r="O18" s="45">
        <v>1.1007204091938414</v>
      </c>
      <c r="P18" s="45">
        <v>0.96803365718494117</v>
      </c>
      <c r="Q18" s="45">
        <v>1.3124671946902164</v>
      </c>
      <c r="R18" s="45">
        <v>1.315414796114323</v>
      </c>
      <c r="S18" s="45">
        <f>STDEV(O18:R18)</f>
        <v>0.17025788305251854</v>
      </c>
      <c r="T18" s="45">
        <f>S18^2</f>
        <v>2.8987746741525083E-2</v>
      </c>
      <c r="U18" s="286">
        <v>4</v>
      </c>
      <c r="V18" s="286">
        <v>7</v>
      </c>
      <c r="W18">
        <f>U18*V18</f>
        <v>28</v>
      </c>
      <c r="X18" s="45">
        <f>STDEV(M18:M24)</f>
        <v>1.0880462453099052E-2</v>
      </c>
      <c r="Y18" s="52">
        <f>(U18*(U18-1)/W18/(W18-1)*SUM(T18:T24)+(V18-1)/V18/(W18-1)*X18^2)^0.5</f>
        <v>5.6350391507534084E-2</v>
      </c>
      <c r="Z18" s="52">
        <f>Y18/M27</f>
        <v>4.8178268313907771E-2</v>
      </c>
    </row>
    <row r="19" spans="2:26" x14ac:dyDescent="0.25">
      <c r="H19" s="13"/>
      <c r="I19" s="311">
        <f t="shared" si="12"/>
        <v>1.0893257050545559</v>
      </c>
      <c r="J19" s="398">
        <f t="shared" si="13"/>
        <v>0.96305478359502694</v>
      </c>
      <c r="K19" s="39">
        <f t="shared" si="13"/>
        <v>1.3111160783579312</v>
      </c>
      <c r="L19" s="70">
        <f t="shared" si="13"/>
        <v>1.27457528798766</v>
      </c>
      <c r="M19" s="45">
        <f t="shared" ref="M19:M24" si="14">AVERAGE(I19:L19)</f>
        <v>1.1595179637487936</v>
      </c>
      <c r="O19" s="45">
        <v>1.0893257050545559</v>
      </c>
      <c r="P19" s="45">
        <v>0.96305478359502694</v>
      </c>
      <c r="Q19" s="45">
        <v>1.3111160783579312</v>
      </c>
      <c r="R19" s="45">
        <v>1.27457528798766</v>
      </c>
      <c r="S19" s="45">
        <f t="shared" ref="S19:S24" si="15">STDEV(O19:R19)</f>
        <v>0.16303875873626097</v>
      </c>
      <c r="T19" s="45">
        <f t="shared" ref="T19:T24" si="16">S19^2</f>
        <v>2.6581636850260715E-2</v>
      </c>
    </row>
    <row r="20" spans="2:26" x14ac:dyDescent="0.25">
      <c r="H20" s="13"/>
      <c r="I20" s="311">
        <f t="shared" si="12"/>
        <v>1.1209583281181872</v>
      </c>
      <c r="J20" s="398">
        <f t="shared" si="13"/>
        <v>1.0008226988205851</v>
      </c>
      <c r="K20" s="39">
        <f t="shared" si="13"/>
        <v>1.2828379772705325</v>
      </c>
      <c r="L20" s="70">
        <f t="shared" si="13"/>
        <v>1.3331018450648746</v>
      </c>
      <c r="M20" s="45">
        <f t="shared" si="14"/>
        <v>1.1844302123185448</v>
      </c>
      <c r="O20" s="45">
        <v>1.1209583281181872</v>
      </c>
      <c r="P20" s="45">
        <v>1.0008226988205851</v>
      </c>
      <c r="Q20" s="45">
        <v>1.2828379772705325</v>
      </c>
      <c r="R20" s="45">
        <v>1.3331018450648746</v>
      </c>
      <c r="S20" s="45">
        <f t="shared" si="15"/>
        <v>0.15223637506977117</v>
      </c>
      <c r="T20" s="45">
        <f t="shared" si="16"/>
        <v>2.3175913894384045E-2</v>
      </c>
    </row>
    <row r="21" spans="2:26" x14ac:dyDescent="0.25">
      <c r="H21" s="13"/>
      <c r="I21" s="311">
        <f t="shared" si="12"/>
        <v>1.0954179797128276</v>
      </c>
      <c r="J21" s="398">
        <f t="shared" si="13"/>
        <v>0.94061682830189575</v>
      </c>
      <c r="K21" s="39">
        <f t="shared" si="13"/>
        <v>1.285412130994563</v>
      </c>
      <c r="L21" s="70">
        <f t="shared" si="13"/>
        <v>1.3214705168894658</v>
      </c>
      <c r="M21" s="45">
        <f t="shared" si="14"/>
        <v>1.1607293639746881</v>
      </c>
      <c r="O21" s="45">
        <v>1.0954179797128276</v>
      </c>
      <c r="P21" s="45">
        <v>0.94061682830189575</v>
      </c>
      <c r="Q21" s="45">
        <v>1.285412130994563</v>
      </c>
      <c r="R21" s="45">
        <v>1.3214705168894658</v>
      </c>
      <c r="S21" s="45">
        <f t="shared" si="15"/>
        <v>0.17710506853899921</v>
      </c>
      <c r="T21" s="45">
        <f t="shared" si="16"/>
        <v>3.1366205302203611E-2</v>
      </c>
    </row>
    <row r="22" spans="2:26" x14ac:dyDescent="0.25">
      <c r="H22" s="13"/>
      <c r="I22" s="311">
        <f t="shared" si="12"/>
        <v>1.0977004977175311</v>
      </c>
      <c r="J22" s="398">
        <f t="shared" si="13"/>
        <v>0.96457179170830365</v>
      </c>
      <c r="K22" s="39">
        <f t="shared" si="13"/>
        <v>1.3132969270066353</v>
      </c>
      <c r="L22" s="70">
        <f t="shared" si="13"/>
        <v>1.2482019421677284</v>
      </c>
      <c r="M22" s="45">
        <f t="shared" si="14"/>
        <v>1.1559427896500496</v>
      </c>
      <c r="O22" s="45">
        <v>1.0977004977175311</v>
      </c>
      <c r="P22" s="45">
        <v>0.96457179170830365</v>
      </c>
      <c r="Q22" s="45">
        <v>1.3132969270066353</v>
      </c>
      <c r="R22" s="45">
        <v>1.2482019421677284</v>
      </c>
      <c r="S22" s="45">
        <f t="shared" si="15"/>
        <v>0.15629789846026673</v>
      </c>
      <c r="T22" s="45">
        <f t="shared" si="16"/>
        <v>2.4429033063095851E-2</v>
      </c>
    </row>
    <row r="23" spans="2:26" x14ac:dyDescent="0.25">
      <c r="H23" s="13"/>
      <c r="I23" s="311">
        <f t="shared" si="12"/>
        <v>1.0903631943524135</v>
      </c>
      <c r="J23" s="398">
        <f t="shared" si="13"/>
        <v>0.95850178855718027</v>
      </c>
      <c r="K23" s="39">
        <f t="shared" si="13"/>
        <v>1.3262748535207214</v>
      </c>
      <c r="L23" s="70">
        <f t="shared" si="13"/>
        <v>1.3403090557990089</v>
      </c>
      <c r="M23" s="45">
        <f t="shared" si="14"/>
        <v>1.1788622230573309</v>
      </c>
      <c r="O23" s="45">
        <v>1.0903631943524135</v>
      </c>
      <c r="P23" s="45">
        <v>0.95850178855718027</v>
      </c>
      <c r="Q23" s="45">
        <v>1.3262748535207214</v>
      </c>
      <c r="R23" s="45">
        <v>1.3403090557990089</v>
      </c>
      <c r="S23" s="45">
        <f t="shared" si="15"/>
        <v>0.18635661386820113</v>
      </c>
      <c r="T23" s="45">
        <f t="shared" si="16"/>
        <v>3.4728787532421812E-2</v>
      </c>
    </row>
    <row r="24" spans="2:26" ht="15.75" thickBot="1" x14ac:dyDescent="0.3">
      <c r="H24" s="13"/>
      <c r="I24" s="311">
        <f t="shared" si="12"/>
        <v>1.0964442569935755</v>
      </c>
      <c r="J24" s="398">
        <f t="shared" si="13"/>
        <v>0.96348772686021278</v>
      </c>
      <c r="K24" s="39">
        <f t="shared" si="13"/>
        <v>1.3093957862996635</v>
      </c>
      <c r="L24" s="70">
        <f t="shared" si="13"/>
        <v>1.3255387957943097</v>
      </c>
      <c r="M24" s="45">
        <f t="shared" si="14"/>
        <v>1.1737166414869404</v>
      </c>
      <c r="O24" s="45">
        <v>1.0964442569935755</v>
      </c>
      <c r="P24" s="45">
        <v>0.96348772686021278</v>
      </c>
      <c r="Q24" s="45">
        <v>1.3093957862996635</v>
      </c>
      <c r="R24" s="45">
        <v>1.3255387957943097</v>
      </c>
      <c r="S24" s="45">
        <f t="shared" si="15"/>
        <v>0.17476271038760394</v>
      </c>
      <c r="T24" s="45">
        <f t="shared" si="16"/>
        <v>3.0542004942021528E-2</v>
      </c>
    </row>
    <row r="25" spans="2:26" ht="15.75" thickBot="1" x14ac:dyDescent="0.3">
      <c r="H25" s="13"/>
      <c r="I25" s="451"/>
      <c r="J25" s="13"/>
      <c r="K25" s="13"/>
      <c r="L25" s="30"/>
      <c r="M25" s="446">
        <f>STDEV(M18:M24)/7^0.5</f>
        <v>4.1124282571822664E-3</v>
      </c>
      <c r="N25" s="447" t="s">
        <v>257</v>
      </c>
      <c r="O25" s="446">
        <f>STDEV(O18:O24)/7^0.5</f>
        <v>4.0052164342387004E-3</v>
      </c>
      <c r="P25" s="446">
        <f t="shared" ref="P25:R25" si="17">STDEV(P18:P24)/7^0.5</f>
        <v>6.7842604230892159E-3</v>
      </c>
      <c r="Q25" s="446">
        <f t="shared" si="17"/>
        <v>5.9840647841409673E-3</v>
      </c>
      <c r="R25" s="446">
        <f t="shared" si="17"/>
        <v>1.2826744160970412E-2</v>
      </c>
      <c r="S25" s="442"/>
    </row>
    <row r="26" spans="2:26" x14ac:dyDescent="0.25">
      <c r="H26" s="13"/>
      <c r="I26" s="451"/>
      <c r="J26" s="13"/>
      <c r="K26" s="13"/>
      <c r="L26" s="30"/>
      <c r="M26" s="219">
        <f>M25/$M$27</f>
        <v>3.5160300877365379E-3</v>
      </c>
      <c r="N26" t="s">
        <v>258</v>
      </c>
      <c r="O26" s="219">
        <f>O25/$M$27</f>
        <v>3.4243664837399677E-3</v>
      </c>
      <c r="P26" s="219">
        <f t="shared" ref="P26:R26" si="18">P25/$M$27</f>
        <v>5.8003841717997129E-3</v>
      </c>
      <c r="Q26" s="219">
        <f t="shared" si="18"/>
        <v>5.1162355942035278E-3</v>
      </c>
      <c r="R26" s="219">
        <f t="shared" si="18"/>
        <v>1.0966566606701556E-2</v>
      </c>
      <c r="S26" s="219"/>
    </row>
    <row r="27" spans="2:26" x14ac:dyDescent="0.25">
      <c r="H27" s="13"/>
      <c r="I27" s="451"/>
      <c r="J27" s="13"/>
      <c r="K27" s="13"/>
      <c r="L27" s="30"/>
      <c r="M27" s="52">
        <f>AVERAGE(M18:M24)</f>
        <v>1.1696226012188828</v>
      </c>
      <c r="N27" s="272" t="s">
        <v>286</v>
      </c>
    </row>
    <row r="28" spans="2:26" ht="15.75" thickBot="1" x14ac:dyDescent="0.3">
      <c r="H28" s="31"/>
      <c r="I28" s="452"/>
      <c r="J28" s="31"/>
      <c r="K28" s="31"/>
      <c r="L28" s="33"/>
    </row>
    <row r="29" spans="2:26" ht="15.75" thickBot="1" x14ac:dyDescent="0.3">
      <c r="H29" s="1" t="s">
        <v>158</v>
      </c>
      <c r="I29" s="312">
        <f>AVERAGE(I18:I28)</f>
        <v>1.0987043387347046</v>
      </c>
      <c r="J29" s="280">
        <f t="shared" ref="J29:L29" si="19">AVERAGE(J18:J28)</f>
        <v>0.96558418214687791</v>
      </c>
      <c r="K29" s="278">
        <f t="shared" si="19"/>
        <v>1.3058287068771806</v>
      </c>
      <c r="L29" s="72">
        <f t="shared" si="19"/>
        <v>1.3083731771167673</v>
      </c>
      <c r="M29" s="446">
        <f>AVERAGE(I29:L29)</f>
        <v>1.1696226012188826</v>
      </c>
    </row>
    <row r="30" spans="2:26" ht="15.75" thickBot="1" x14ac:dyDescent="0.3">
      <c r="H30" s="41" t="s">
        <v>165</v>
      </c>
      <c r="I30" s="453">
        <f>I29/2</f>
        <v>0.54935216936735232</v>
      </c>
      <c r="J30" s="281">
        <f t="shared" ref="J30:L30" si="20">J29/2</f>
        <v>0.48279209107343896</v>
      </c>
      <c r="K30" s="274">
        <f t="shared" si="20"/>
        <v>0.65291435343859028</v>
      </c>
      <c r="L30" s="249">
        <f t="shared" si="20"/>
        <v>0.65418658855838363</v>
      </c>
      <c r="M30" s="331">
        <f>AVERAGE(H30:L30)</f>
        <v>0.58481130060944131</v>
      </c>
      <c r="N30" s="45" t="s">
        <v>204</v>
      </c>
      <c r="P30" s="45">
        <f>N16</f>
        <v>0.57748251223602687</v>
      </c>
    </row>
    <row r="31" spans="2:26" x14ac:dyDescent="0.25">
      <c r="H31" s="271" t="s">
        <v>160</v>
      </c>
      <c r="I31" s="269" t="s">
        <v>166</v>
      </c>
      <c r="J31" s="279" t="s">
        <v>142</v>
      </c>
      <c r="K31" s="270" t="s">
        <v>146</v>
      </c>
      <c r="P31" s="45">
        <f>M30</f>
        <v>0.58481130060944131</v>
      </c>
    </row>
    <row r="32" spans="2:26" x14ac:dyDescent="0.25">
      <c r="H32" s="272" t="s">
        <v>14</v>
      </c>
      <c r="I32" s="69">
        <f t="shared" ref="I32:I38" si="21">20*LOG10(B4/E4)</f>
        <v>1.573036744859879</v>
      </c>
      <c r="J32" s="39">
        <f t="shared" ref="J32:K38" si="22">20*LOG10(C4/F4)</f>
        <v>1.8081845162091184</v>
      </c>
      <c r="K32" s="70">
        <f t="shared" si="22"/>
        <v>1.7877311317803608</v>
      </c>
      <c r="P32" s="45">
        <f>L44</f>
        <v>0.57320613899574535</v>
      </c>
    </row>
    <row r="33" spans="8:17" ht="15.75" thickBot="1" x14ac:dyDescent="0.3">
      <c r="H33" s="13"/>
      <c r="I33" s="69">
        <f t="shared" si="21"/>
        <v>1.5997598113890288</v>
      </c>
      <c r="J33" s="39">
        <f t="shared" si="22"/>
        <v>1.7637367556184855</v>
      </c>
      <c r="K33" s="70">
        <f t="shared" si="22"/>
        <v>1.7850093943221328</v>
      </c>
      <c r="P33" s="45">
        <f>K58</f>
        <v>0.58481130060944131</v>
      </c>
    </row>
    <row r="34" spans="8:17" ht="15.75" thickBot="1" x14ac:dyDescent="0.3">
      <c r="H34" s="13"/>
      <c r="I34" s="69">
        <f t="shared" si="21"/>
        <v>1.5880865274395499</v>
      </c>
      <c r="J34" s="39">
        <f t="shared" si="22"/>
        <v>1.8165324767697568</v>
      </c>
      <c r="K34" s="70">
        <f t="shared" si="22"/>
        <v>1.8002300443862373</v>
      </c>
      <c r="P34" s="432">
        <f>AVERAGE(P30:P33)</f>
        <v>0.58007781311266382</v>
      </c>
      <c r="Q34" t="s">
        <v>275</v>
      </c>
    </row>
    <row r="35" spans="8:17" x14ac:dyDescent="0.25">
      <c r="H35" s="13"/>
      <c r="I35" s="69">
        <f t="shared" si="21"/>
        <v>1.548244466175563</v>
      </c>
      <c r="J35" s="39">
        <f t="shared" si="22"/>
        <v>1.7732024728337226</v>
      </c>
      <c r="K35" s="70">
        <f t="shared" si="22"/>
        <v>1.7742970033522021</v>
      </c>
    </row>
    <row r="36" spans="8:17" x14ac:dyDescent="0.25">
      <c r="H36" s="13"/>
      <c r="I36" s="69">
        <f t="shared" si="21"/>
        <v>1.5953193846718718</v>
      </c>
      <c r="J36" s="39">
        <f t="shared" si="22"/>
        <v>1.7802498317605966</v>
      </c>
      <c r="K36" s="70">
        <f t="shared" si="22"/>
        <v>1.7458208291220689</v>
      </c>
    </row>
    <row r="37" spans="8:17" x14ac:dyDescent="0.25">
      <c r="H37" s="13"/>
      <c r="I37" s="69">
        <f t="shared" si="21"/>
        <v>1.5691948173685941</v>
      </c>
      <c r="J37" s="39">
        <f t="shared" si="22"/>
        <v>1.8059450190617223</v>
      </c>
      <c r="K37" s="70">
        <f t="shared" si="22"/>
        <v>1.8191406788151894</v>
      </c>
    </row>
    <row r="38" spans="8:17" x14ac:dyDescent="0.25">
      <c r="H38" s="13"/>
      <c r="I38" s="69">
        <f t="shared" si="21"/>
        <v>1.579842541841689</v>
      </c>
      <c r="J38" s="39">
        <f t="shared" si="22"/>
        <v>1.7894852283117615</v>
      </c>
      <c r="K38" s="70">
        <f t="shared" si="22"/>
        <v>1.8089370806424221</v>
      </c>
    </row>
    <row r="39" spans="8:17" x14ac:dyDescent="0.25">
      <c r="H39" s="13"/>
      <c r="I39" s="36"/>
      <c r="J39" s="13"/>
      <c r="K39" s="30"/>
    </row>
    <row r="40" spans="8:17" x14ac:dyDescent="0.25">
      <c r="H40" s="13"/>
      <c r="I40" s="36"/>
      <c r="J40" s="13"/>
      <c r="K40" s="30"/>
    </row>
    <row r="41" spans="8:17" x14ac:dyDescent="0.25">
      <c r="H41" s="13"/>
      <c r="I41" s="36"/>
      <c r="J41" s="13"/>
      <c r="K41" s="30"/>
    </row>
    <row r="42" spans="8:17" x14ac:dyDescent="0.25">
      <c r="H42" s="31"/>
      <c r="I42" s="42"/>
      <c r="J42" s="31"/>
      <c r="K42" s="33"/>
    </row>
    <row r="43" spans="8:17" ht="15.75" thickBot="1" x14ac:dyDescent="0.3">
      <c r="H43" s="1" t="s">
        <v>158</v>
      </c>
      <c r="I43" s="268">
        <f>AVERAGE(I32:I42)</f>
        <v>1.5790691848208824</v>
      </c>
      <c r="J43" s="280">
        <f t="shared" ref="J43:K43" si="23">AVERAGE(J32:J42)</f>
        <v>1.7910480429378806</v>
      </c>
      <c r="K43" s="73">
        <f t="shared" si="23"/>
        <v>1.7887380232029451</v>
      </c>
    </row>
    <row r="44" spans="8:17" ht="15.75" thickBot="1" x14ac:dyDescent="0.3">
      <c r="H44" s="41" t="s">
        <v>165</v>
      </c>
      <c r="I44" s="273">
        <f>I43/3</f>
        <v>0.52635639494029418</v>
      </c>
      <c r="J44" s="281">
        <f t="shared" ref="J44:K44" si="24">J43/3</f>
        <v>0.59701601431262685</v>
      </c>
      <c r="K44" s="249">
        <f t="shared" si="24"/>
        <v>0.59624600773431502</v>
      </c>
      <c r="L44" s="331">
        <f>AVERAGE(G44:K44)</f>
        <v>0.57320613899574535</v>
      </c>
      <c r="M44" s="45" t="s">
        <v>204</v>
      </c>
    </row>
    <row r="45" spans="8:17" x14ac:dyDescent="0.25">
      <c r="H45" s="271" t="s">
        <v>160</v>
      </c>
      <c r="I45" s="279" t="s">
        <v>167</v>
      </c>
      <c r="J45" s="270" t="s">
        <v>143</v>
      </c>
    </row>
    <row r="46" spans="8:17" x14ac:dyDescent="0.25">
      <c r="H46" s="272" t="s">
        <v>14</v>
      </c>
      <c r="I46" s="39">
        <f t="shared" ref="I46:J52" si="25">20*LOG10(B4/F4)</f>
        <v>2.4131876038840581</v>
      </c>
      <c r="J46" s="70">
        <f t="shared" si="25"/>
        <v>2.2834484532992629</v>
      </c>
    </row>
    <row r="47" spans="8:17" x14ac:dyDescent="0.25">
      <c r="H47" s="13"/>
      <c r="I47" s="39">
        <f t="shared" si="25"/>
        <v>2.4004417834124867</v>
      </c>
      <c r="J47" s="70">
        <f t="shared" si="25"/>
        <v>2.2376300715826867</v>
      </c>
    </row>
    <row r="48" spans="8:17" x14ac:dyDescent="0.25">
      <c r="H48" s="13"/>
      <c r="I48" s="39">
        <f t="shared" si="25"/>
        <v>2.4037963053887208</v>
      </c>
      <c r="J48" s="70">
        <f t="shared" si="25"/>
        <v>2.3339245438854603</v>
      </c>
    </row>
    <row r="49" spans="8:12" x14ac:dyDescent="0.25">
      <c r="H49" s="13"/>
      <c r="I49" s="39">
        <f t="shared" si="25"/>
        <v>2.3808301107073899</v>
      </c>
      <c r="J49" s="70">
        <f t="shared" si="25"/>
        <v>2.2620873451913632</v>
      </c>
    </row>
    <row r="50" spans="8:12" x14ac:dyDescent="0.25">
      <c r="H50" s="13"/>
      <c r="I50" s="39">
        <f t="shared" si="25"/>
        <v>2.4109974247241666</v>
      </c>
      <c r="J50" s="70">
        <f t="shared" si="25"/>
        <v>2.2127737338760309</v>
      </c>
    </row>
    <row r="51" spans="8:12" x14ac:dyDescent="0.25">
      <c r="H51" s="13"/>
      <c r="I51" s="39">
        <f t="shared" si="25"/>
        <v>2.4166380478731346</v>
      </c>
      <c r="J51" s="70">
        <f t="shared" si="25"/>
        <v>2.2988108443561899</v>
      </c>
    </row>
    <row r="52" spans="8:12" x14ac:dyDescent="0.25">
      <c r="H52" s="13"/>
      <c r="I52" s="39">
        <f t="shared" si="25"/>
        <v>2.4058400432932396</v>
      </c>
      <c r="J52" s="70">
        <f t="shared" si="25"/>
        <v>2.2890265226545221</v>
      </c>
    </row>
    <row r="53" spans="8:12" x14ac:dyDescent="0.25">
      <c r="H53" s="13"/>
      <c r="I53" s="13"/>
      <c r="J53" s="30"/>
    </row>
    <row r="54" spans="8:12" x14ac:dyDescent="0.25">
      <c r="H54" s="13"/>
      <c r="I54" s="13"/>
      <c r="J54" s="30"/>
    </row>
    <row r="55" spans="8:12" x14ac:dyDescent="0.25">
      <c r="H55" s="13"/>
      <c r="I55" s="13"/>
      <c r="J55" s="30"/>
    </row>
    <row r="56" spans="8:12" x14ac:dyDescent="0.25">
      <c r="H56" s="31"/>
      <c r="I56" s="31"/>
      <c r="J56" s="33"/>
    </row>
    <row r="57" spans="8:12" ht="15.75" thickBot="1" x14ac:dyDescent="0.3">
      <c r="H57" s="1" t="s">
        <v>158</v>
      </c>
      <c r="I57" s="280">
        <f>AVERAGE(I46:I56)</f>
        <v>2.4045330456118852</v>
      </c>
      <c r="J57" s="275">
        <f>AVERAGE(J46:J56)</f>
        <v>2.2739573592636448</v>
      </c>
    </row>
    <row r="58" spans="8:12" ht="15.75" thickBot="1" x14ac:dyDescent="0.3">
      <c r="H58" s="41" t="s">
        <v>165</v>
      </c>
      <c r="I58" s="281">
        <f>I57/4</f>
        <v>0.6011332614029713</v>
      </c>
      <c r="J58" s="276">
        <f>J57/4</f>
        <v>0.56848933981591121</v>
      </c>
      <c r="K58" s="331">
        <f>AVERAGE(F58:J58)</f>
        <v>0.58481130060944131</v>
      </c>
      <c r="L58" s="45" t="s">
        <v>204</v>
      </c>
    </row>
    <row r="59" spans="8:12" x14ac:dyDescent="0.25">
      <c r="H59" s="271" t="s">
        <v>160</v>
      </c>
      <c r="I59" s="279" t="s">
        <v>223</v>
      </c>
    </row>
    <row r="60" spans="8:12" x14ac:dyDescent="0.25">
      <c r="H60" s="272" t="s">
        <v>14</v>
      </c>
      <c r="I60" s="39">
        <f>20*LOG10(B4/G4)</f>
        <v>2.8884515409742022</v>
      </c>
    </row>
    <row r="61" spans="8:12" x14ac:dyDescent="0.25">
      <c r="H61" s="13"/>
      <c r="I61" s="39">
        <f t="shared" ref="I61:I66" si="26">20*LOG10(B5/G5)</f>
        <v>2.8743350993766885</v>
      </c>
    </row>
    <row r="62" spans="8:12" x14ac:dyDescent="0.25">
      <c r="H62" s="13"/>
      <c r="I62" s="39">
        <f t="shared" si="26"/>
        <v>2.9211883725044241</v>
      </c>
    </row>
    <row r="63" spans="8:12" x14ac:dyDescent="0.25">
      <c r="H63" s="13"/>
      <c r="I63" s="39">
        <f t="shared" si="26"/>
        <v>2.8697149830650304</v>
      </c>
    </row>
    <row r="64" spans="8:12" x14ac:dyDescent="0.25">
      <c r="H64" s="13"/>
      <c r="I64" s="39">
        <f t="shared" si="26"/>
        <v>2.8435213268396002</v>
      </c>
    </row>
    <row r="65" spans="8:11" x14ac:dyDescent="0.25">
      <c r="H65" s="13"/>
      <c r="I65" s="39">
        <f t="shared" si="26"/>
        <v>2.9095038731676013</v>
      </c>
    </row>
    <row r="66" spans="8:11" x14ac:dyDescent="0.25">
      <c r="H66" s="13"/>
      <c r="I66" s="39">
        <f t="shared" si="26"/>
        <v>2.9053813376359976</v>
      </c>
    </row>
    <row r="67" spans="8:11" x14ac:dyDescent="0.25">
      <c r="H67" s="13"/>
      <c r="I67" s="13"/>
    </row>
    <row r="68" spans="8:11" x14ac:dyDescent="0.25">
      <c r="H68" s="13"/>
      <c r="I68" s="13"/>
    </row>
    <row r="69" spans="8:11" x14ac:dyDescent="0.25">
      <c r="H69" s="13"/>
      <c r="I69" s="13"/>
    </row>
    <row r="70" spans="8:11" x14ac:dyDescent="0.25">
      <c r="H70" s="31"/>
      <c r="I70" s="31"/>
    </row>
    <row r="71" spans="8:11" ht="15.75" thickBot="1" x14ac:dyDescent="0.3">
      <c r="H71" s="1" t="s">
        <v>158</v>
      </c>
      <c r="I71" s="399">
        <f>AVERAGE(I60:I70)</f>
        <v>2.8874423619376488</v>
      </c>
    </row>
    <row r="72" spans="8:11" ht="15.75" thickBot="1" x14ac:dyDescent="0.3">
      <c r="H72" s="41" t="s">
        <v>165</v>
      </c>
      <c r="I72" s="281">
        <f>I71/5</f>
        <v>0.57748847238752976</v>
      </c>
      <c r="J72" s="331">
        <f>AVERAGE(E72:I72)</f>
        <v>0.57748847238752976</v>
      </c>
      <c r="K72" s="45" t="s">
        <v>204</v>
      </c>
    </row>
  </sheetData>
  <pageMargins left="0.7" right="0.7" top="0.75" bottom="0.75" header="0.3" footer="0.3"/>
  <pageSetup paperSize="9" orientation="portrait" horizontalDpi="1200" verticalDpi="1200" r:id="rId1"/>
  <ignoredErrors>
    <ignoredError sqref="B15:C1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72"/>
  <sheetViews>
    <sheetView topLeftCell="A13" workbookViewId="0">
      <selection activeCell="N71" sqref="N71"/>
    </sheetView>
  </sheetViews>
  <sheetFormatPr defaultRowHeight="15" x14ac:dyDescent="0.25"/>
  <cols>
    <col min="1" max="1" width="22.85546875" customWidth="1"/>
    <col min="8" max="8" width="23.42578125" customWidth="1"/>
    <col min="14" max="14" width="11.28515625" customWidth="1"/>
    <col min="19" max="19" width="10.85546875" customWidth="1"/>
    <col min="21" max="21" width="6" customWidth="1"/>
    <col min="22" max="22" width="6.42578125" customWidth="1"/>
    <col min="23" max="23" width="6.7109375" customWidth="1"/>
    <col min="24" max="24" width="11" customWidth="1"/>
  </cols>
  <sheetData>
    <row r="1" spans="1:19" x14ac:dyDescent="0.25">
      <c r="A1" s="277" t="s">
        <v>1</v>
      </c>
      <c r="B1" s="231">
        <v>10</v>
      </c>
    </row>
    <row r="3" spans="1:19" x14ac:dyDescent="0.25">
      <c r="A3" s="1" t="s">
        <v>154</v>
      </c>
      <c r="B3" s="6">
        <v>1</v>
      </c>
      <c r="C3" s="1">
        <v>2</v>
      </c>
      <c r="D3" s="93">
        <v>3</v>
      </c>
      <c r="E3" s="1">
        <v>4</v>
      </c>
      <c r="F3" s="1">
        <v>5</v>
      </c>
      <c r="G3" s="7">
        <v>6</v>
      </c>
      <c r="H3" s="271" t="s">
        <v>160</v>
      </c>
      <c r="I3" s="269" t="s">
        <v>152</v>
      </c>
      <c r="J3" s="279" t="s">
        <v>139</v>
      </c>
      <c r="K3" s="269" t="s">
        <v>144</v>
      </c>
      <c r="L3" s="279" t="s">
        <v>145</v>
      </c>
      <c r="M3" s="270" t="s">
        <v>157</v>
      </c>
    </row>
    <row r="4" spans="1:19" x14ac:dyDescent="0.25">
      <c r="A4" s="13" t="s">
        <v>155</v>
      </c>
      <c r="B4" s="322">
        <v>21.43</v>
      </c>
      <c r="C4" s="323">
        <v>18.059999999999999</v>
      </c>
      <c r="D4" s="323">
        <v>16.18</v>
      </c>
      <c r="E4" s="291">
        <v>13.73</v>
      </c>
      <c r="F4" s="323">
        <v>11.52</v>
      </c>
      <c r="G4" s="324">
        <v>10.119999999999999</v>
      </c>
      <c r="H4" s="272" t="s">
        <v>169</v>
      </c>
      <c r="I4" s="69">
        <f>20*LOG10(B4/C4)</f>
        <v>1.4860885012868335</v>
      </c>
      <c r="J4" s="39">
        <f>20*LOG10(C4/D4)</f>
        <v>0.95478457402466865</v>
      </c>
      <c r="K4" s="69">
        <f t="shared" ref="K4:M10" si="0">20*LOG10(D4/E4)</f>
        <v>1.4261596007899671</v>
      </c>
      <c r="L4" s="39">
        <f t="shared" si="0"/>
        <v>1.5243611629912381</v>
      </c>
      <c r="M4" s="70">
        <f t="shared" si="0"/>
        <v>1.1254393316682592</v>
      </c>
    </row>
    <row r="5" spans="1:19" x14ac:dyDescent="0.25">
      <c r="A5" s="13"/>
      <c r="B5" s="325">
        <v>21.24</v>
      </c>
      <c r="C5" s="39">
        <v>18.27</v>
      </c>
      <c r="D5" s="39">
        <v>15.79</v>
      </c>
      <c r="E5" s="69">
        <v>13.22</v>
      </c>
      <c r="F5" s="39">
        <v>11.43</v>
      </c>
      <c r="G5" s="70">
        <v>10.199999999999999</v>
      </c>
      <c r="H5" s="13"/>
      <c r="I5" s="69">
        <f t="shared" ref="I5:J10" si="1">20*LOG10(B5/C5)</f>
        <v>1.3083193011378726</v>
      </c>
      <c r="J5" s="39">
        <f t="shared" si="1"/>
        <v>1.2671283468848711</v>
      </c>
      <c r="K5" s="69">
        <f t="shared" si="0"/>
        <v>1.5430134971734553</v>
      </c>
      <c r="L5" s="39">
        <f t="shared" si="0"/>
        <v>1.2637044950867948</v>
      </c>
      <c r="M5" s="70">
        <f t="shared" si="0"/>
        <v>0.98892117266728363</v>
      </c>
    </row>
    <row r="6" spans="1:19" x14ac:dyDescent="0.25">
      <c r="A6" s="13"/>
      <c r="B6" s="325">
        <v>21.42</v>
      </c>
      <c r="C6" s="39">
        <v>18.36</v>
      </c>
      <c r="D6" s="39">
        <v>15.67</v>
      </c>
      <c r="E6" s="69">
        <v>13.27</v>
      </c>
      <c r="F6" s="39">
        <v>11.56</v>
      </c>
      <c r="G6" s="70">
        <v>9.84</v>
      </c>
      <c r="H6" s="13"/>
      <c r="I6" s="69">
        <f t="shared" si="1"/>
        <v>1.3389357926122645</v>
      </c>
      <c r="J6" s="39">
        <f t="shared" si="1"/>
        <v>1.3760736079326699</v>
      </c>
      <c r="K6" s="69">
        <f t="shared" si="0"/>
        <v>1.4439614720830927</v>
      </c>
      <c r="L6" s="39">
        <f t="shared" si="0"/>
        <v>1.1982617755985043</v>
      </c>
      <c r="M6" s="70">
        <f t="shared" si="0"/>
        <v>1.3992547130633748</v>
      </c>
    </row>
    <row r="7" spans="1:19" x14ac:dyDescent="0.25">
      <c r="A7" s="13"/>
      <c r="B7" s="325">
        <v>21.22</v>
      </c>
      <c r="C7" s="39">
        <v>18.14</v>
      </c>
      <c r="D7" s="39">
        <v>15.5</v>
      </c>
      <c r="E7" s="69">
        <v>13.37</v>
      </c>
      <c r="F7" s="39">
        <v>11.43</v>
      </c>
      <c r="G7" s="70">
        <v>10.199999999999999</v>
      </c>
      <c r="H7" s="13"/>
      <c r="I7" s="69">
        <f t="shared" si="1"/>
        <v>1.3621619368249072</v>
      </c>
      <c r="J7" s="39">
        <f t="shared" si="1"/>
        <v>1.3661116910756999</v>
      </c>
      <c r="K7" s="69">
        <f t="shared" si="0"/>
        <v>1.2840058181661431</v>
      </c>
      <c r="L7" s="39">
        <f t="shared" si="0"/>
        <v>1.3617035373340531</v>
      </c>
      <c r="M7" s="70">
        <f t="shared" si="0"/>
        <v>0.98892117266728363</v>
      </c>
    </row>
    <row r="8" spans="1:19" x14ac:dyDescent="0.25">
      <c r="A8" s="13"/>
      <c r="B8" s="325">
        <v>21.24</v>
      </c>
      <c r="C8" s="39">
        <v>18.48</v>
      </c>
      <c r="D8" s="39">
        <v>15.48</v>
      </c>
      <c r="E8" s="69">
        <v>13.5</v>
      </c>
      <c r="F8" s="39">
        <v>11.49</v>
      </c>
      <c r="G8" s="70">
        <v>10.220000000000001</v>
      </c>
      <c r="H8" s="13"/>
      <c r="I8" s="69">
        <f t="shared" si="1"/>
        <v>1.2090509105068712</v>
      </c>
      <c r="J8" s="39">
        <f t="shared" si="1"/>
        <v>1.5386202107442815</v>
      </c>
      <c r="K8" s="69">
        <f t="shared" si="0"/>
        <v>1.188743757037354</v>
      </c>
      <c r="L8" s="39">
        <f t="shared" si="0"/>
        <v>1.4002747961344177</v>
      </c>
      <c r="M8" s="70">
        <f t="shared" si="0"/>
        <v>1.0173826577918252</v>
      </c>
    </row>
    <row r="9" spans="1:19" x14ac:dyDescent="0.25">
      <c r="A9" s="13"/>
      <c r="B9" s="325">
        <v>21.27</v>
      </c>
      <c r="C9" s="39">
        <v>18.57</v>
      </c>
      <c r="D9" s="39">
        <v>15.32</v>
      </c>
      <c r="E9" s="69">
        <v>13.01</v>
      </c>
      <c r="F9" s="39">
        <v>11.88</v>
      </c>
      <c r="G9" s="70">
        <v>9.9499999999999993</v>
      </c>
      <c r="H9" s="13"/>
      <c r="I9" s="69">
        <f t="shared" si="1"/>
        <v>1.1791117232589712</v>
      </c>
      <c r="J9" s="39">
        <f t="shared" si="1"/>
        <v>1.6710627688639055</v>
      </c>
      <c r="K9" s="69">
        <f t="shared" si="0"/>
        <v>1.4196293746999786</v>
      </c>
      <c r="L9" s="39">
        <f t="shared" si="0"/>
        <v>0.78921711832822872</v>
      </c>
      <c r="M9" s="70">
        <f t="shared" si="0"/>
        <v>1.5398671979889875</v>
      </c>
    </row>
    <row r="10" spans="1:19" x14ac:dyDescent="0.25">
      <c r="A10" s="13"/>
      <c r="B10" s="395">
        <v>21.47</v>
      </c>
      <c r="C10" s="278">
        <v>18.649999999999999</v>
      </c>
      <c r="D10" s="278">
        <v>15.71</v>
      </c>
      <c r="E10" s="72">
        <v>13.44</v>
      </c>
      <c r="F10" s="278">
        <v>11.61</v>
      </c>
      <c r="G10" s="73">
        <v>10.34</v>
      </c>
      <c r="H10" s="13"/>
      <c r="I10" s="69">
        <f t="shared" si="1"/>
        <v>1.2230641658308459</v>
      </c>
      <c r="J10" s="39">
        <f t="shared" si="1"/>
        <v>1.4900530220946608</v>
      </c>
      <c r="K10" s="69">
        <f t="shared" si="0"/>
        <v>1.3555383264433378</v>
      </c>
      <c r="L10" s="39">
        <f t="shared" si="0"/>
        <v>1.2713409795846515</v>
      </c>
      <c r="M10" s="70">
        <f t="shared" si="0"/>
        <v>1.006233619613002</v>
      </c>
    </row>
    <row r="11" spans="1:19" x14ac:dyDescent="0.25">
      <c r="A11" s="13"/>
      <c r="B11" s="36"/>
      <c r="C11" s="13"/>
      <c r="D11" s="36"/>
      <c r="E11" s="13"/>
      <c r="F11" s="13"/>
      <c r="G11" s="30"/>
      <c r="H11" s="13"/>
      <c r="I11" s="36"/>
      <c r="J11" s="13"/>
      <c r="K11" s="36"/>
      <c r="L11" s="13"/>
      <c r="M11" s="30"/>
    </row>
    <row r="12" spans="1:19" x14ac:dyDescent="0.25">
      <c r="A12" s="13"/>
      <c r="B12" s="36"/>
      <c r="C12" s="13"/>
      <c r="D12" s="36"/>
      <c r="E12" s="13"/>
      <c r="F12" s="13"/>
      <c r="G12" s="30"/>
      <c r="H12" s="13"/>
      <c r="I12" s="36"/>
      <c r="J12" s="13"/>
      <c r="K12" s="36"/>
      <c r="L12" s="13"/>
      <c r="M12" s="30"/>
    </row>
    <row r="13" spans="1:19" x14ac:dyDescent="0.25">
      <c r="A13" s="13"/>
      <c r="B13" s="36"/>
      <c r="C13" s="13"/>
      <c r="D13" s="36"/>
      <c r="E13" s="13"/>
      <c r="F13" s="13"/>
      <c r="G13" s="30"/>
      <c r="H13" s="13"/>
      <c r="I13" s="36"/>
      <c r="J13" s="13"/>
      <c r="K13" s="36"/>
      <c r="L13" s="13"/>
      <c r="M13" s="30"/>
      <c r="S13" t="s">
        <v>276</v>
      </c>
    </row>
    <row r="14" spans="1:19" x14ac:dyDescent="0.25">
      <c r="A14" s="31"/>
      <c r="B14" s="42"/>
      <c r="C14" s="31"/>
      <c r="D14" s="42"/>
      <c r="E14" s="31"/>
      <c r="F14" s="31"/>
      <c r="G14" s="33"/>
      <c r="H14" s="31"/>
      <c r="I14" s="42"/>
      <c r="J14" s="31"/>
      <c r="K14" s="42"/>
      <c r="L14" s="31"/>
      <c r="M14" s="33"/>
      <c r="S14" t="s">
        <v>281</v>
      </c>
    </row>
    <row r="15" spans="1:19" ht="15.75" thickBot="1" x14ac:dyDescent="0.3">
      <c r="A15" s="31" t="s">
        <v>156</v>
      </c>
      <c r="B15" s="72">
        <f>AVERAGE(B4:B14)</f>
        <v>21.327142857142857</v>
      </c>
      <c r="C15" s="278">
        <f>AVERAGE(C4:C14)</f>
        <v>18.361428571428572</v>
      </c>
      <c r="D15" s="72">
        <f t="shared" ref="D15:G15" si="2">AVERAGE(D4:D14)</f>
        <v>15.664285714285715</v>
      </c>
      <c r="E15" s="278">
        <f t="shared" si="2"/>
        <v>13.362857142857143</v>
      </c>
      <c r="F15" s="278">
        <f t="shared" si="2"/>
        <v>11.56</v>
      </c>
      <c r="G15" s="73">
        <f t="shared" si="2"/>
        <v>10.124285714285715</v>
      </c>
      <c r="H15" s="271" t="s">
        <v>158</v>
      </c>
      <c r="I15" s="268">
        <f>AVERAGE(I4:I14)</f>
        <v>1.300961761636938</v>
      </c>
      <c r="J15" s="280">
        <f t="shared" ref="J15:M15" si="3">AVERAGE(J4:J14)</f>
        <v>1.3805477459458224</v>
      </c>
      <c r="K15" s="266">
        <f t="shared" si="3"/>
        <v>1.3801502637704757</v>
      </c>
      <c r="L15" s="278">
        <f t="shared" si="3"/>
        <v>1.2584091235796984</v>
      </c>
      <c r="M15" s="73">
        <f t="shared" si="3"/>
        <v>1.1522885522085737</v>
      </c>
      <c r="N15" t="s">
        <v>163</v>
      </c>
    </row>
    <row r="16" spans="1:19" ht="15.75" thickBot="1" x14ac:dyDescent="0.3">
      <c r="A16" s="1" t="s">
        <v>161</v>
      </c>
      <c r="B16" s="248">
        <f>AVERAGE(B4:B14)</f>
        <v>21.327142857142857</v>
      </c>
      <c r="C16" s="274">
        <f t="shared" ref="C16:G16" si="4">AVERAGE(C4:C14)</f>
        <v>18.361428571428572</v>
      </c>
      <c r="D16" s="248">
        <f t="shared" si="4"/>
        <v>15.664285714285715</v>
      </c>
      <c r="E16" s="274">
        <f t="shared" si="4"/>
        <v>13.362857142857143</v>
      </c>
      <c r="F16" s="274">
        <f t="shared" si="4"/>
        <v>11.56</v>
      </c>
      <c r="G16" s="249">
        <f t="shared" si="4"/>
        <v>10.124285714285715</v>
      </c>
      <c r="H16" t="s">
        <v>164</v>
      </c>
      <c r="I16" s="248">
        <f>20*LOG10(B16/C16)</f>
        <v>1.3005242099328183</v>
      </c>
      <c r="J16" s="274">
        <f>20*LOG10(C16/D16)</f>
        <v>1.3799174305568571</v>
      </c>
      <c r="K16" s="248">
        <f t="shared" ref="K16:M16" si="5">20*LOG10(D16/E16)</f>
        <v>1.3802254088211274</v>
      </c>
      <c r="L16" s="274">
        <f t="shared" si="5"/>
        <v>1.2588298294743647</v>
      </c>
      <c r="M16" s="249">
        <f t="shared" si="5"/>
        <v>1.1518688267450088</v>
      </c>
      <c r="N16" s="331">
        <f>AVERAGE(I16:M16)</f>
        <v>1.2942731411060353</v>
      </c>
      <c r="O16" s="45" t="s">
        <v>204</v>
      </c>
      <c r="R16" t="s">
        <v>275</v>
      </c>
    </row>
    <row r="17" spans="2:26" ht="18" x14ac:dyDescent="0.35">
      <c r="B17" s="93" t="s">
        <v>162</v>
      </c>
      <c r="C17" s="6"/>
      <c r="D17" s="6"/>
      <c r="E17" s="6"/>
      <c r="F17" s="6"/>
      <c r="G17" s="7"/>
      <c r="H17" s="271" t="s">
        <v>160</v>
      </c>
      <c r="I17" s="269" t="s">
        <v>151</v>
      </c>
      <c r="J17" s="431" t="s">
        <v>140</v>
      </c>
      <c r="K17" s="279" t="s">
        <v>141</v>
      </c>
      <c r="L17" s="270" t="s">
        <v>159</v>
      </c>
      <c r="M17" s="440" t="s">
        <v>282</v>
      </c>
      <c r="O17" s="269" t="s">
        <v>151</v>
      </c>
      <c r="P17" s="431" t="s">
        <v>140</v>
      </c>
      <c r="Q17" s="279" t="s">
        <v>141</v>
      </c>
      <c r="R17" s="270" t="s">
        <v>159</v>
      </c>
      <c r="S17" t="s">
        <v>279</v>
      </c>
      <c r="T17" t="s">
        <v>283</v>
      </c>
      <c r="U17" t="s">
        <v>18</v>
      </c>
      <c r="V17" t="s">
        <v>277</v>
      </c>
      <c r="W17" t="s">
        <v>278</v>
      </c>
      <c r="X17" t="s">
        <v>280</v>
      </c>
      <c r="Y17" t="s">
        <v>257</v>
      </c>
      <c r="Z17" t="s">
        <v>258</v>
      </c>
    </row>
    <row r="18" spans="2:26" x14ac:dyDescent="0.25">
      <c r="H18" s="272" t="s">
        <v>14</v>
      </c>
      <c r="I18" s="69">
        <f>20*LOG10(B4/D4)</f>
        <v>2.4408730753115035</v>
      </c>
      <c r="J18" s="398">
        <f t="shared" ref="J18:L24" si="6">20*LOG10(C4/E4)</f>
        <v>2.3809441748146369</v>
      </c>
      <c r="K18" s="309">
        <f t="shared" si="6"/>
        <v>2.9505207637812045</v>
      </c>
      <c r="L18" s="70">
        <f t="shared" si="6"/>
        <v>2.649800494659496</v>
      </c>
      <c r="M18" s="45">
        <f>AVERAGE(I18:L18)</f>
        <v>2.6055346271417101</v>
      </c>
      <c r="O18" s="45">
        <v>2.4408730753115035</v>
      </c>
      <c r="P18" s="45">
        <v>2.3809441748146369</v>
      </c>
      <c r="Q18" s="45">
        <v>2.9505207637812045</v>
      </c>
      <c r="R18" s="45">
        <v>2.649800494659496</v>
      </c>
      <c r="S18" s="45">
        <f>STDEV(O18:R18)</f>
        <v>0.2572477401443708</v>
      </c>
      <c r="T18" s="45">
        <f>S18^2</f>
        <v>6.6176399809385722E-2</v>
      </c>
      <c r="U18" s="286">
        <v>4</v>
      </c>
      <c r="V18" s="286">
        <v>7</v>
      </c>
      <c r="W18">
        <f>U18*V18</f>
        <v>28</v>
      </c>
      <c r="X18" s="45">
        <f>STDEV(M18:M24)</f>
        <v>3.2584181782382836E-2</v>
      </c>
      <c r="Y18" s="52">
        <f>(U18*(U18-1)/W18/(W18-1)*SUM(T18:T24)+(V18-1)/V18/(W18-1)*X18^2)^0.5</f>
        <v>8.2893774951951646E-2</v>
      </c>
      <c r="Z18" s="52">
        <f>Y18/M27</f>
        <v>3.1604271955134364E-2</v>
      </c>
    </row>
    <row r="19" spans="2:26" x14ac:dyDescent="0.25">
      <c r="H19" s="13"/>
      <c r="I19" s="69">
        <f>20*LOG10(B5/D5)</f>
        <v>2.5754476480227444</v>
      </c>
      <c r="J19" s="398">
        <f t="shared" si="6"/>
        <v>2.810141844058327</v>
      </c>
      <c r="K19" s="309">
        <f t="shared" si="6"/>
        <v>2.806717992260249</v>
      </c>
      <c r="L19" s="70">
        <f t="shared" si="6"/>
        <v>2.2526256677540779</v>
      </c>
      <c r="M19" s="45">
        <f t="shared" ref="M19:M24" si="7">AVERAGE(I19:L19)</f>
        <v>2.6112332880238496</v>
      </c>
      <c r="O19" s="45">
        <v>2.5754476480227444</v>
      </c>
      <c r="P19" s="45">
        <v>2.810141844058327</v>
      </c>
      <c r="Q19" s="45">
        <v>2.806717992260249</v>
      </c>
      <c r="R19" s="45">
        <v>2.2526256677540779</v>
      </c>
      <c r="S19" s="45">
        <f t="shared" ref="S19:S24" si="8">STDEV(O19:R19)</f>
        <v>0.26309625652977964</v>
      </c>
      <c r="T19" s="45">
        <f t="shared" ref="T19:T24" si="9">S19^2</f>
        <v>6.9219640199983612E-2</v>
      </c>
    </row>
    <row r="20" spans="2:26" x14ac:dyDescent="0.25">
      <c r="H20" s="13"/>
      <c r="I20" s="69">
        <f t="shared" ref="I20:I21" si="10">20*LOG10(B6/D6)</f>
        <v>2.7150094005449348</v>
      </c>
      <c r="J20" s="398">
        <f t="shared" si="6"/>
        <v>2.8200350800157628</v>
      </c>
      <c r="K20" s="309">
        <f t="shared" si="6"/>
        <v>2.642223247681597</v>
      </c>
      <c r="L20" s="70">
        <f t="shared" si="6"/>
        <v>2.59751648866188</v>
      </c>
      <c r="M20" s="45">
        <f t="shared" si="7"/>
        <v>2.6936960542260437</v>
      </c>
      <c r="O20" s="45">
        <v>2.7150094005449348</v>
      </c>
      <c r="P20" s="45">
        <v>2.8200350800157628</v>
      </c>
      <c r="Q20" s="45">
        <v>2.642223247681597</v>
      </c>
      <c r="R20" s="45">
        <v>2.59751648866188</v>
      </c>
      <c r="S20" s="45">
        <f t="shared" si="8"/>
        <v>9.715240057846844E-2</v>
      </c>
      <c r="T20" s="45">
        <f t="shared" si="9"/>
        <v>9.4385889381591957E-3</v>
      </c>
    </row>
    <row r="21" spans="2:26" x14ac:dyDescent="0.25">
      <c r="H21" s="13"/>
      <c r="I21" s="69">
        <f t="shared" si="10"/>
        <v>2.7282736279006068</v>
      </c>
      <c r="J21" s="398">
        <f t="shared" si="6"/>
        <v>2.6501175092418414</v>
      </c>
      <c r="K21" s="309">
        <f t="shared" si="6"/>
        <v>2.6457093555001956</v>
      </c>
      <c r="L21" s="70">
        <f t="shared" si="6"/>
        <v>2.3506247100013362</v>
      </c>
      <c r="M21" s="45">
        <f t="shared" si="7"/>
        <v>2.5936813006609949</v>
      </c>
      <c r="O21" s="45">
        <v>2.7282736279006068</v>
      </c>
      <c r="P21" s="45">
        <v>2.6501175092418414</v>
      </c>
      <c r="Q21" s="45">
        <v>2.6457093555001956</v>
      </c>
      <c r="R21" s="45">
        <v>2.3506247100013362</v>
      </c>
      <c r="S21" s="45">
        <f t="shared" si="8"/>
        <v>0.1664167108437965</v>
      </c>
      <c r="T21" s="45">
        <f t="shared" si="9"/>
        <v>2.7694521648067776E-2</v>
      </c>
    </row>
    <row r="22" spans="2:26" x14ac:dyDescent="0.25">
      <c r="H22" s="13"/>
      <c r="I22" s="69">
        <f>20*LOG10(B8/D8)</f>
        <v>2.7476711212511518</v>
      </c>
      <c r="J22" s="398">
        <f t="shared" si="6"/>
        <v>2.7273639677816353</v>
      </c>
      <c r="K22" s="309">
        <f t="shared" si="6"/>
        <v>2.5890185531717731</v>
      </c>
      <c r="L22" s="70">
        <f t="shared" si="6"/>
        <v>2.4176574539262434</v>
      </c>
      <c r="M22" s="45">
        <f t="shared" si="7"/>
        <v>2.6204277740327004</v>
      </c>
      <c r="O22" s="45">
        <v>2.7476711212511518</v>
      </c>
      <c r="P22" s="45">
        <v>2.7273639677816353</v>
      </c>
      <c r="Q22" s="45">
        <v>2.5890185531717731</v>
      </c>
      <c r="R22" s="45">
        <v>2.4176574539262434</v>
      </c>
      <c r="S22" s="45">
        <f t="shared" si="8"/>
        <v>0.15245607106751621</v>
      </c>
      <c r="T22" s="45">
        <f t="shared" si="9"/>
        <v>2.3242853605343554E-2</v>
      </c>
    </row>
    <row r="23" spans="2:26" x14ac:dyDescent="0.25">
      <c r="H23" s="13"/>
      <c r="I23" s="69">
        <f>20*LOG10(B9/D9)</f>
        <v>2.8501744921228767</v>
      </c>
      <c r="J23" s="398">
        <f t="shared" si="6"/>
        <v>3.0906921435638828</v>
      </c>
      <c r="K23" s="309">
        <f t="shared" si="6"/>
        <v>2.2088464930282079</v>
      </c>
      <c r="L23" s="70">
        <f t="shared" si="6"/>
        <v>2.3290843163172168</v>
      </c>
      <c r="M23" s="45">
        <f t="shared" si="7"/>
        <v>2.6196993612580464</v>
      </c>
      <c r="O23" s="45">
        <v>2.8501744921228767</v>
      </c>
      <c r="P23" s="45">
        <v>3.0906921435638828</v>
      </c>
      <c r="Q23" s="45">
        <v>2.2088464930282079</v>
      </c>
      <c r="R23" s="45">
        <v>2.3290843163172168</v>
      </c>
      <c r="S23" s="45">
        <f t="shared" si="8"/>
        <v>0.41960702671666161</v>
      </c>
      <c r="T23" s="45">
        <f t="shared" si="9"/>
        <v>0.17607005686999716</v>
      </c>
    </row>
    <row r="24" spans="2:26" ht="15.75" thickBot="1" x14ac:dyDescent="0.3">
      <c r="H24" s="13"/>
      <c r="I24" s="69">
        <f>20*LOG10(B10/D10)</f>
        <v>2.7131171879255063</v>
      </c>
      <c r="J24" s="398">
        <f t="shared" si="6"/>
        <v>2.8455913485379996</v>
      </c>
      <c r="K24" s="309">
        <f t="shared" si="6"/>
        <v>2.6268793060279911</v>
      </c>
      <c r="L24" s="70">
        <f t="shared" si="6"/>
        <v>2.2775745991976541</v>
      </c>
      <c r="M24" s="45">
        <f t="shared" si="7"/>
        <v>2.6157906104222879</v>
      </c>
      <c r="O24" s="45">
        <v>2.7131171879255063</v>
      </c>
      <c r="P24" s="45">
        <v>2.8455913485379996</v>
      </c>
      <c r="Q24" s="45">
        <v>2.6268793060279911</v>
      </c>
      <c r="R24" s="45">
        <v>2.2775745991976541</v>
      </c>
      <c r="S24" s="45">
        <f t="shared" si="8"/>
        <v>0.24275767845456736</v>
      </c>
      <c r="T24" s="45">
        <f t="shared" si="9"/>
        <v>5.893129044865112E-2</v>
      </c>
    </row>
    <row r="25" spans="2:26" ht="15.75" thickBot="1" x14ac:dyDescent="0.3">
      <c r="H25" s="13"/>
      <c r="I25" s="36"/>
      <c r="J25" s="13"/>
      <c r="K25" s="443"/>
      <c r="L25" s="36"/>
      <c r="M25" s="446">
        <f>STDEV(M18:M24)/7^0.5</f>
        <v>1.231566309581519E-2</v>
      </c>
      <c r="N25" s="447" t="s">
        <v>257</v>
      </c>
      <c r="O25" s="446">
        <f>STDEV(O18:O24)/7^0.5</f>
        <v>5.0305830855099556E-2</v>
      </c>
      <c r="P25" s="446">
        <f t="shared" ref="P25:R25" si="11">STDEV(P18:P24)/7^0.5</f>
        <v>8.1594346293355505E-2</v>
      </c>
      <c r="Q25" s="446">
        <f t="shared" si="11"/>
        <v>8.6314162166949912E-2</v>
      </c>
      <c r="R25" s="446">
        <f t="shared" si="11"/>
        <v>5.8776793334108922E-2</v>
      </c>
      <c r="S25" s="442"/>
    </row>
    <row r="26" spans="2:26" x14ac:dyDescent="0.25">
      <c r="H26" s="13"/>
      <c r="I26" s="36"/>
      <c r="J26" s="13"/>
      <c r="K26" s="443"/>
      <c r="L26" s="30"/>
      <c r="M26" s="219">
        <f>M25/$M$27</f>
        <v>4.6954981361817128E-3</v>
      </c>
      <c r="N26" t="s">
        <v>258</v>
      </c>
      <c r="O26" s="219">
        <f>O25/$M$27</f>
        <v>1.9179717176532374E-2</v>
      </c>
      <c r="P26" s="219">
        <f t="shared" ref="P26:R26" si="12">P25/$M$27</f>
        <v>3.110884878570612E-2</v>
      </c>
      <c r="Q26" s="219">
        <f t="shared" si="12"/>
        <v>3.2908336678900751E-2</v>
      </c>
      <c r="R26" s="219">
        <f t="shared" si="12"/>
        <v>2.2409375882068837E-2</v>
      </c>
      <c r="S26" s="219"/>
    </row>
    <row r="27" spans="2:26" x14ac:dyDescent="0.25">
      <c r="H27" s="13"/>
      <c r="I27" s="36"/>
      <c r="J27" s="13"/>
      <c r="K27" s="443"/>
      <c r="L27" s="30"/>
      <c r="M27" s="52">
        <f>AVERAGE(M18:M24)</f>
        <v>2.6228661451093762</v>
      </c>
      <c r="N27" s="272" t="s">
        <v>286</v>
      </c>
    </row>
    <row r="28" spans="2:26" ht="15.75" thickBot="1" x14ac:dyDescent="0.3">
      <c r="H28" s="31"/>
      <c r="I28" s="42"/>
      <c r="J28" s="31"/>
      <c r="K28" s="444"/>
      <c r="L28" s="33"/>
    </row>
    <row r="29" spans="2:26" ht="15.75" thickBot="1" x14ac:dyDescent="0.3">
      <c r="H29" s="1" t="s">
        <v>158</v>
      </c>
      <c r="I29" s="268">
        <f>AVERAGE(I18:I28)</f>
        <v>2.68150950758276</v>
      </c>
      <c r="J29" s="280">
        <f t="shared" ref="J29:L29" si="13">AVERAGE(J18:J28)</f>
        <v>2.7606980097162976</v>
      </c>
      <c r="K29" s="445">
        <f t="shared" si="13"/>
        <v>2.638559387350174</v>
      </c>
      <c r="L29" s="72">
        <f t="shared" si="13"/>
        <v>2.4106976757882719</v>
      </c>
      <c r="M29" s="341">
        <f>AVERAGE(I29:L29)</f>
        <v>2.6228661451093758</v>
      </c>
      <c r="P29" s="45">
        <f>N16</f>
        <v>1.2942731411060353</v>
      </c>
    </row>
    <row r="30" spans="2:26" ht="15.75" thickBot="1" x14ac:dyDescent="0.3">
      <c r="H30" s="41" t="s">
        <v>165</v>
      </c>
      <c r="I30" s="273">
        <f>I29/2</f>
        <v>1.34075475379138</v>
      </c>
      <c r="J30" s="281">
        <f t="shared" ref="J30:L30" si="14">J29/2</f>
        <v>1.3803490048581488</v>
      </c>
      <c r="K30" s="274">
        <f t="shared" si="14"/>
        <v>1.319279693675087</v>
      </c>
      <c r="L30" s="249">
        <f t="shared" si="14"/>
        <v>1.2053488378941359</v>
      </c>
      <c r="M30" s="331">
        <f>AVERAGE(H30:L30)</f>
        <v>1.3114330725546879</v>
      </c>
      <c r="N30" s="45" t="s">
        <v>204</v>
      </c>
      <c r="P30" s="45">
        <f>M30</f>
        <v>1.3114330725546879</v>
      </c>
    </row>
    <row r="31" spans="2:26" x14ac:dyDescent="0.25">
      <c r="H31" s="271" t="s">
        <v>160</v>
      </c>
      <c r="I31" s="269" t="s">
        <v>166</v>
      </c>
      <c r="J31" s="279" t="s">
        <v>142</v>
      </c>
      <c r="K31" s="270" t="s">
        <v>146</v>
      </c>
      <c r="P31" s="45">
        <f>L44</f>
        <v>1.3190683160231089</v>
      </c>
    </row>
    <row r="32" spans="2:26" ht="15.75" thickBot="1" x14ac:dyDescent="0.3">
      <c r="H32" s="272" t="s">
        <v>14</v>
      </c>
      <c r="I32" s="69">
        <f>20*LOG10(B4/E4)</f>
        <v>3.8670326761014699</v>
      </c>
      <c r="J32" s="39">
        <f t="shared" ref="J32:K38" si="15">20*LOG10(C4/F4)</f>
        <v>3.9053053378058742</v>
      </c>
      <c r="K32" s="70">
        <f t="shared" si="15"/>
        <v>4.0759600954494646</v>
      </c>
      <c r="P32" s="45">
        <f>K58</f>
        <v>1.3114330725546881</v>
      </c>
    </row>
    <row r="33" spans="8:16" ht="15.75" thickBot="1" x14ac:dyDescent="0.3">
      <c r="H33" s="13"/>
      <c r="I33" s="69">
        <f t="shared" ref="I33:I38" si="16">20*LOG10(B5/E5)</f>
        <v>4.118461145196199</v>
      </c>
      <c r="J33" s="39">
        <f t="shared" si="15"/>
        <v>4.0738463391451214</v>
      </c>
      <c r="K33" s="70">
        <f t="shared" si="15"/>
        <v>3.7956391649275338</v>
      </c>
      <c r="P33" s="432">
        <f>AVERAGE(P29:P32)</f>
        <v>1.3090519005596302</v>
      </c>
    </row>
    <row r="34" spans="8:16" x14ac:dyDescent="0.25">
      <c r="H34" s="13"/>
      <c r="I34" s="69">
        <f t="shared" si="16"/>
        <v>4.1589708726280277</v>
      </c>
      <c r="J34" s="39">
        <f t="shared" si="15"/>
        <v>4.0182968556142669</v>
      </c>
      <c r="K34" s="70">
        <f t="shared" si="15"/>
        <v>4.041477960744972</v>
      </c>
    </row>
    <row r="35" spans="8:16" x14ac:dyDescent="0.25">
      <c r="H35" s="13"/>
      <c r="I35" s="69">
        <f t="shared" si="16"/>
        <v>4.0122794460667501</v>
      </c>
      <c r="J35" s="39">
        <f t="shared" si="15"/>
        <v>4.0118210465758954</v>
      </c>
      <c r="K35" s="70">
        <f t="shared" si="15"/>
        <v>3.6346305281674796</v>
      </c>
    </row>
    <row r="36" spans="8:16" x14ac:dyDescent="0.25">
      <c r="H36" s="13"/>
      <c r="I36" s="69">
        <f t="shared" si="16"/>
        <v>3.936414878288506</v>
      </c>
      <c r="J36" s="39">
        <f t="shared" si="15"/>
        <v>4.1276387639160541</v>
      </c>
      <c r="K36" s="70">
        <f t="shared" si="15"/>
        <v>3.6064012109635972</v>
      </c>
    </row>
    <row r="37" spans="8:16" x14ac:dyDescent="0.25">
      <c r="H37" s="13"/>
      <c r="I37" s="69">
        <f t="shared" si="16"/>
        <v>4.269803866822854</v>
      </c>
      <c r="J37" s="39">
        <f t="shared" si="15"/>
        <v>3.8799092618921134</v>
      </c>
      <c r="K37" s="70">
        <f t="shared" si="15"/>
        <v>3.7487136910171936</v>
      </c>
    </row>
    <row r="38" spans="8:16" x14ac:dyDescent="0.25">
      <c r="H38" s="13"/>
      <c r="I38" s="69">
        <f t="shared" si="16"/>
        <v>4.068655514368845</v>
      </c>
      <c r="J38" s="39">
        <f t="shared" si="15"/>
        <v>4.1169323281226502</v>
      </c>
      <c r="K38" s="70">
        <f t="shared" si="15"/>
        <v>3.6331129256409938</v>
      </c>
    </row>
    <row r="39" spans="8:16" x14ac:dyDescent="0.25">
      <c r="H39" s="13"/>
      <c r="I39" s="36"/>
      <c r="J39" s="13"/>
      <c r="K39" s="30"/>
    </row>
    <row r="40" spans="8:16" x14ac:dyDescent="0.25">
      <c r="H40" s="13"/>
      <c r="I40" s="36"/>
      <c r="J40" s="13"/>
      <c r="K40" s="30"/>
    </row>
    <row r="41" spans="8:16" x14ac:dyDescent="0.25">
      <c r="H41" s="13"/>
      <c r="I41" s="36"/>
      <c r="J41" s="13"/>
      <c r="K41" s="30"/>
    </row>
    <row r="42" spans="8:16" x14ac:dyDescent="0.25">
      <c r="H42" s="31"/>
      <c r="I42" s="42"/>
      <c r="J42" s="31"/>
      <c r="K42" s="33"/>
    </row>
    <row r="43" spans="8:16" ht="15.75" thickBot="1" x14ac:dyDescent="0.3">
      <c r="H43" s="1" t="s">
        <v>158</v>
      </c>
      <c r="I43" s="268">
        <f>AVERAGE(I32:I42)</f>
        <v>4.0616597713532361</v>
      </c>
      <c r="J43" s="280">
        <f t="shared" ref="J43:K43" si="17">AVERAGE(J32:J42)</f>
        <v>4.0191071332959964</v>
      </c>
      <c r="K43" s="73">
        <f t="shared" si="17"/>
        <v>3.790847939558748</v>
      </c>
    </row>
    <row r="44" spans="8:16" ht="15.75" thickBot="1" x14ac:dyDescent="0.3">
      <c r="H44" s="41" t="s">
        <v>165</v>
      </c>
      <c r="I44" s="273">
        <f>I43/3</f>
        <v>1.3538865904510786</v>
      </c>
      <c r="J44" s="281">
        <f t="shared" ref="J44:K44" si="18">J43/3</f>
        <v>1.3397023777653321</v>
      </c>
      <c r="K44" s="249">
        <f t="shared" si="18"/>
        <v>1.2636159798529161</v>
      </c>
      <c r="L44" s="331">
        <f>AVERAGE(G44:K44)</f>
        <v>1.3190683160231089</v>
      </c>
      <c r="M44" s="45" t="s">
        <v>204</v>
      </c>
    </row>
    <row r="45" spans="8:16" x14ac:dyDescent="0.25">
      <c r="H45" s="271" t="s">
        <v>160</v>
      </c>
      <c r="I45" s="279" t="s">
        <v>167</v>
      </c>
      <c r="J45" s="270" t="s">
        <v>143</v>
      </c>
    </row>
    <row r="46" spans="8:16" x14ac:dyDescent="0.25">
      <c r="H46" s="272" t="s">
        <v>14</v>
      </c>
      <c r="I46" s="39">
        <f>20*LOG10(B4/F4)</f>
        <v>5.391393839092709</v>
      </c>
      <c r="J46" s="70">
        <f>20*LOG10(C4/G4)</f>
        <v>5.0307446694741333</v>
      </c>
    </row>
    <row r="47" spans="8:16" x14ac:dyDescent="0.25">
      <c r="H47" s="13"/>
      <c r="I47" s="39">
        <f t="shared" ref="I47:J52" si="19">20*LOG10(B5/F5)</f>
        <v>5.3821656402829934</v>
      </c>
      <c r="J47" s="70">
        <f t="shared" si="19"/>
        <v>5.0627675118124049</v>
      </c>
    </row>
    <row r="48" spans="8:16" x14ac:dyDescent="0.25">
      <c r="H48" s="13"/>
      <c r="I48" s="39">
        <f t="shared" si="19"/>
        <v>5.3572326482265318</v>
      </c>
      <c r="J48" s="70">
        <f t="shared" si="19"/>
        <v>5.4175515686776423</v>
      </c>
    </row>
    <row r="49" spans="8:12" x14ac:dyDescent="0.25">
      <c r="H49" s="13"/>
      <c r="I49" s="39">
        <f t="shared" si="19"/>
        <v>5.3739829834008024</v>
      </c>
      <c r="J49" s="70">
        <f t="shared" si="19"/>
        <v>5.0007422192431781</v>
      </c>
    </row>
    <row r="50" spans="8:12" x14ac:dyDescent="0.25">
      <c r="H50" s="13"/>
      <c r="I50" s="39">
        <f t="shared" si="19"/>
        <v>5.3366896744229253</v>
      </c>
      <c r="J50" s="70">
        <f t="shared" si="19"/>
        <v>5.1450214217078791</v>
      </c>
    </row>
    <row r="51" spans="8:12" x14ac:dyDescent="0.25">
      <c r="H51" s="13"/>
      <c r="I51" s="39">
        <f t="shared" si="19"/>
        <v>5.0590209851510837</v>
      </c>
      <c r="J51" s="70">
        <f t="shared" si="19"/>
        <v>5.4197764598811009</v>
      </c>
    </row>
    <row r="52" spans="8:12" x14ac:dyDescent="0.25">
      <c r="H52" s="13"/>
      <c r="I52" s="39">
        <f t="shared" si="19"/>
        <v>5.3399964939534961</v>
      </c>
      <c r="J52" s="70">
        <f t="shared" si="19"/>
        <v>5.1231659477356528</v>
      </c>
    </row>
    <row r="53" spans="8:12" x14ac:dyDescent="0.25">
      <c r="H53" s="13"/>
      <c r="I53" s="13"/>
      <c r="J53" s="30"/>
    </row>
    <row r="54" spans="8:12" x14ac:dyDescent="0.25">
      <c r="H54" s="13"/>
      <c r="I54" s="13"/>
      <c r="J54" s="30"/>
    </row>
    <row r="55" spans="8:12" x14ac:dyDescent="0.25">
      <c r="H55" s="13"/>
      <c r="I55" s="13"/>
      <c r="J55" s="30"/>
    </row>
    <row r="56" spans="8:12" x14ac:dyDescent="0.25">
      <c r="H56" s="31"/>
      <c r="I56" s="31"/>
      <c r="J56" s="33"/>
    </row>
    <row r="57" spans="8:12" ht="15.75" thickBot="1" x14ac:dyDescent="0.3">
      <c r="H57" s="1" t="s">
        <v>158</v>
      </c>
      <c r="I57" s="280">
        <f>AVERAGE(I46:I56)</f>
        <v>5.3200688949329349</v>
      </c>
      <c r="J57" s="275">
        <f>AVERAGE(J46:J56)</f>
        <v>5.17139568550457</v>
      </c>
    </row>
    <row r="58" spans="8:12" ht="15.75" thickBot="1" x14ac:dyDescent="0.3">
      <c r="H58" s="41" t="s">
        <v>165</v>
      </c>
      <c r="I58" s="281">
        <f>I57/4</f>
        <v>1.3300172237332337</v>
      </c>
      <c r="J58" s="276">
        <f>J57/4</f>
        <v>1.2928489213761425</v>
      </c>
      <c r="K58" s="331">
        <f>AVERAGE(F58:J58)</f>
        <v>1.3114330725546881</v>
      </c>
      <c r="L58" s="45" t="s">
        <v>204</v>
      </c>
    </row>
    <row r="59" spans="8:12" x14ac:dyDescent="0.25">
      <c r="H59" s="271" t="s">
        <v>160</v>
      </c>
      <c r="I59" s="279" t="s">
        <v>223</v>
      </c>
    </row>
    <row r="60" spans="8:12" x14ac:dyDescent="0.25">
      <c r="H60" s="272" t="s">
        <v>14</v>
      </c>
      <c r="I60" s="39">
        <f>20*LOG10(B4/G4)</f>
        <v>6.5168331707609672</v>
      </c>
    </row>
    <row r="61" spans="8:12" x14ac:dyDescent="0.25">
      <c r="H61" s="13"/>
      <c r="I61" s="39">
        <f t="shared" ref="I61:I66" si="20">20*LOG10(B5/G5)</f>
        <v>6.3710868129502787</v>
      </c>
    </row>
    <row r="62" spans="8:12" x14ac:dyDescent="0.25">
      <c r="H62" s="13"/>
      <c r="I62" s="39">
        <f t="shared" si="20"/>
        <v>6.7564873612899081</v>
      </c>
    </row>
    <row r="63" spans="8:12" x14ac:dyDescent="0.25">
      <c r="H63" s="13"/>
      <c r="I63" s="39">
        <f t="shared" si="20"/>
        <v>6.3629041560680868</v>
      </c>
    </row>
    <row r="64" spans="8:12" x14ac:dyDescent="0.25">
      <c r="H64" s="13"/>
      <c r="I64" s="39">
        <f t="shared" si="20"/>
        <v>6.3540723322147485</v>
      </c>
    </row>
    <row r="65" spans="8:11" x14ac:dyDescent="0.25">
      <c r="H65" s="13"/>
      <c r="I65" s="39">
        <f t="shared" si="20"/>
        <v>6.5988881831400716</v>
      </c>
    </row>
    <row r="66" spans="8:11" x14ac:dyDescent="0.25">
      <c r="H66" s="13"/>
      <c r="I66" s="39">
        <f t="shared" si="20"/>
        <v>6.3462301135664987</v>
      </c>
    </row>
    <row r="67" spans="8:11" x14ac:dyDescent="0.25">
      <c r="H67" s="13"/>
      <c r="I67" s="13"/>
    </row>
    <row r="68" spans="8:11" x14ac:dyDescent="0.25">
      <c r="H68" s="13"/>
      <c r="I68" s="13"/>
    </row>
    <row r="69" spans="8:11" x14ac:dyDescent="0.25">
      <c r="H69" s="13"/>
      <c r="I69" s="13"/>
    </row>
    <row r="70" spans="8:11" x14ac:dyDescent="0.25">
      <c r="H70" s="31"/>
      <c r="I70" s="31"/>
    </row>
    <row r="71" spans="8:11" ht="15.75" thickBot="1" x14ac:dyDescent="0.3">
      <c r="H71" s="1" t="s">
        <v>158</v>
      </c>
      <c r="I71" s="399">
        <f>AVERAGE(I60:I70)</f>
        <v>6.4723574471415093</v>
      </c>
    </row>
    <row r="72" spans="8:11" ht="15.75" thickBot="1" x14ac:dyDescent="0.3">
      <c r="H72" s="41" t="s">
        <v>165</v>
      </c>
      <c r="I72" s="281">
        <f>I71/5</f>
        <v>1.2944714894283018</v>
      </c>
      <c r="J72" s="331">
        <f>AVERAGE(E72:I72)</f>
        <v>1.2944714894283018</v>
      </c>
      <c r="K72" s="45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72"/>
  <sheetViews>
    <sheetView topLeftCell="A7" workbookViewId="0">
      <selection activeCell="N36" sqref="N36"/>
    </sheetView>
  </sheetViews>
  <sheetFormatPr defaultRowHeight="15" x14ac:dyDescent="0.25"/>
  <cols>
    <col min="1" max="1" width="23" customWidth="1"/>
    <col min="8" max="8" width="23.28515625" customWidth="1"/>
    <col min="14" max="14" width="11.5703125" customWidth="1"/>
    <col min="19" max="19" width="11" customWidth="1"/>
    <col min="21" max="21" width="5.7109375" customWidth="1"/>
    <col min="22" max="22" width="5.5703125" customWidth="1"/>
    <col min="23" max="23" width="6.5703125" customWidth="1"/>
    <col min="24" max="24" width="10.5703125" customWidth="1"/>
  </cols>
  <sheetData>
    <row r="1" spans="1:18" x14ac:dyDescent="0.25">
      <c r="A1" s="277" t="s">
        <v>1</v>
      </c>
      <c r="B1" s="231">
        <v>16</v>
      </c>
    </row>
    <row r="3" spans="1:18" x14ac:dyDescent="0.25">
      <c r="A3" s="1" t="s">
        <v>154</v>
      </c>
      <c r="B3" s="6">
        <v>1</v>
      </c>
      <c r="C3" s="1">
        <v>2</v>
      </c>
      <c r="D3" s="93">
        <v>3</v>
      </c>
      <c r="E3" s="1">
        <v>4</v>
      </c>
      <c r="F3" s="1">
        <v>5</v>
      </c>
      <c r="G3" s="7">
        <v>6</v>
      </c>
      <c r="H3" s="271" t="s">
        <v>160</v>
      </c>
      <c r="I3" s="269" t="s">
        <v>152</v>
      </c>
      <c r="J3" s="279" t="s">
        <v>139</v>
      </c>
      <c r="K3" s="269" t="s">
        <v>144</v>
      </c>
      <c r="L3" s="279" t="s">
        <v>145</v>
      </c>
      <c r="M3" s="270" t="s">
        <v>157</v>
      </c>
    </row>
    <row r="4" spans="1:18" x14ac:dyDescent="0.25">
      <c r="A4" s="13" t="s">
        <v>155</v>
      </c>
      <c r="B4" s="323">
        <v>10.01</v>
      </c>
      <c r="C4" s="323">
        <v>7.32</v>
      </c>
      <c r="D4" s="323">
        <v>5.19</v>
      </c>
      <c r="E4" s="323">
        <v>3.72</v>
      </c>
      <c r="F4" s="323">
        <v>3.07</v>
      </c>
      <c r="G4" s="323">
        <v>2.37</v>
      </c>
      <c r="H4" s="272" t="s">
        <v>169</v>
      </c>
      <c r="I4" s="69">
        <f>20*LOG10(B4/C4)</f>
        <v>2.7184599284185356</v>
      </c>
      <c r="J4" s="39">
        <f>20*LOG10(C4/D4)</f>
        <v>2.9868744641986797</v>
      </c>
      <c r="K4" s="69">
        <f t="shared" ref="K4:M10" si="0">20*LOG10(D4/E4)</f>
        <v>2.8924883593312072</v>
      </c>
      <c r="L4" s="39">
        <f t="shared" si="0"/>
        <v>1.6680912880942211</v>
      </c>
      <c r="M4" s="70">
        <f t="shared" si="0"/>
        <v>2.2478005893416517</v>
      </c>
    </row>
    <row r="5" spans="1:18" x14ac:dyDescent="0.25">
      <c r="A5" s="13"/>
      <c r="B5" s="39">
        <v>9.91</v>
      </c>
      <c r="C5" s="39">
        <v>7.56</v>
      </c>
      <c r="D5" s="39">
        <v>5.26</v>
      </c>
      <c r="E5" s="39">
        <v>4.04</v>
      </c>
      <c r="F5" s="39">
        <v>2.89</v>
      </c>
      <c r="G5" s="39">
        <v>2.4900000000000002</v>
      </c>
      <c r="H5" s="13"/>
      <c r="I5" s="69">
        <f t="shared" ref="I5:J10" si="1">20*LOG10(B5/C5)</f>
        <v>2.3510371796813763</v>
      </c>
      <c r="J5" s="39">
        <f t="shared" si="1"/>
        <v>3.1507210269493497</v>
      </c>
      <c r="K5" s="69">
        <f t="shared" si="0"/>
        <v>2.2920875808626824</v>
      </c>
      <c r="L5" s="39">
        <f t="shared" si="0"/>
        <v>2.9096704470811412</v>
      </c>
      <c r="M5" s="70">
        <f t="shared" si="0"/>
        <v>1.2939699132162303</v>
      </c>
    </row>
    <row r="6" spans="1:18" x14ac:dyDescent="0.25">
      <c r="A6" s="13"/>
      <c r="B6" s="39">
        <v>9.9</v>
      </c>
      <c r="C6" s="39">
        <v>7.36</v>
      </c>
      <c r="D6" s="39">
        <v>5.38</v>
      </c>
      <c r="E6" s="39">
        <v>3.77</v>
      </c>
      <c r="F6" s="39">
        <v>3.06</v>
      </c>
      <c r="G6" s="39">
        <v>2.39</v>
      </c>
      <c r="H6" s="13"/>
      <c r="I6" s="69">
        <f t="shared" si="1"/>
        <v>2.5751476052010207</v>
      </c>
      <c r="J6" s="39">
        <f t="shared" si="1"/>
        <v>2.721910773422195</v>
      </c>
      <c r="K6" s="69">
        <f t="shared" si="0"/>
        <v>3.0888185092119267</v>
      </c>
      <c r="L6" s="39">
        <f t="shared" si="0"/>
        <v>1.8123984744842576</v>
      </c>
      <c r="M6" s="70">
        <f t="shared" si="0"/>
        <v>2.1464705106688458</v>
      </c>
    </row>
    <row r="7" spans="1:18" x14ac:dyDescent="0.25">
      <c r="A7" s="13"/>
      <c r="B7" s="39">
        <v>9.85</v>
      </c>
      <c r="C7" s="39">
        <v>7.65</v>
      </c>
      <c r="D7" s="39">
        <v>5.44</v>
      </c>
      <c r="E7" s="39">
        <v>3.97</v>
      </c>
      <c r="F7" s="39">
        <v>2.92</v>
      </c>
      <c r="G7" s="39">
        <v>2.2799999999999998</v>
      </c>
      <c r="H7" s="13"/>
      <c r="I7" s="69">
        <f t="shared" si="1"/>
        <v>2.1954959068798816</v>
      </c>
      <c r="J7" s="39">
        <f t="shared" si="1"/>
        <v>2.9612507091087541</v>
      </c>
      <c r="K7" s="69">
        <f t="shared" si="0"/>
        <v>2.7361678587012972</v>
      </c>
      <c r="L7" s="39">
        <f t="shared" si="0"/>
        <v>2.6681531062939357</v>
      </c>
      <c r="M7" s="70">
        <f t="shared" si="0"/>
        <v>2.1489600889592899</v>
      </c>
    </row>
    <row r="8" spans="1:18" x14ac:dyDescent="0.25">
      <c r="A8" s="13"/>
      <c r="B8" s="39">
        <v>10.07</v>
      </c>
      <c r="C8" s="39">
        <v>7.56</v>
      </c>
      <c r="D8" s="39">
        <v>5.31</v>
      </c>
      <c r="E8" s="39">
        <v>3.93</v>
      </c>
      <c r="F8" s="39">
        <v>2.88</v>
      </c>
      <c r="G8" s="39">
        <v>2.06</v>
      </c>
      <c r="H8" s="13"/>
      <c r="I8" s="69">
        <f t="shared" si="1"/>
        <v>2.4901535010482299</v>
      </c>
      <c r="J8" s="39">
        <f t="shared" si="1"/>
        <v>3.0685454883947494</v>
      </c>
      <c r="K8" s="69">
        <f t="shared" si="0"/>
        <v>2.6140394141208469</v>
      </c>
      <c r="L8" s="39">
        <f t="shared" si="0"/>
        <v>2.7000012523239181</v>
      </c>
      <c r="M8" s="70">
        <f t="shared" si="0"/>
        <v>2.9105053478015481</v>
      </c>
    </row>
    <row r="9" spans="1:18" x14ac:dyDescent="0.25">
      <c r="A9" s="13"/>
      <c r="B9" s="39">
        <v>10.02</v>
      </c>
      <c r="C9" s="39">
        <v>7.41</v>
      </c>
      <c r="D9" s="39">
        <v>5.24</v>
      </c>
      <c r="E9" s="39">
        <v>3.88</v>
      </c>
      <c r="F9" s="39">
        <v>2.91</v>
      </c>
      <c r="G9" s="39">
        <v>2.41</v>
      </c>
      <c r="H9" s="13"/>
      <c r="I9" s="69">
        <f t="shared" si="1"/>
        <v>2.6209902710379742</v>
      </c>
      <c r="J9" s="39">
        <f t="shared" si="1"/>
        <v>3.0097384199120296</v>
      </c>
      <c r="K9" s="69">
        <f t="shared" si="0"/>
        <v>2.6099912277903887</v>
      </c>
      <c r="L9" s="39">
        <f t="shared" si="0"/>
        <v>2.4987747321659985</v>
      </c>
      <c r="M9" s="70">
        <f t="shared" si="0"/>
        <v>1.6375189282207776</v>
      </c>
    </row>
    <row r="10" spans="1:18" x14ac:dyDescent="0.25">
      <c r="A10" s="13"/>
      <c r="B10" s="278">
        <v>9.9600000000000009</v>
      </c>
      <c r="C10" s="278">
        <v>7.5</v>
      </c>
      <c r="D10" s="278">
        <v>5.43</v>
      </c>
      <c r="E10" s="278">
        <v>3.93</v>
      </c>
      <c r="F10" s="278">
        <v>3.16</v>
      </c>
      <c r="G10" s="429">
        <v>2.17</v>
      </c>
      <c r="H10" s="13"/>
      <c r="I10" s="69">
        <f t="shared" si="1"/>
        <v>2.4639615006399742</v>
      </c>
      <c r="J10" s="39">
        <f t="shared" si="1"/>
        <v>2.8052286760570624</v>
      </c>
      <c r="K10" s="69">
        <f t="shared" si="0"/>
        <v>2.8081455842684049</v>
      </c>
      <c r="L10" s="39">
        <f t="shared" si="0"/>
        <v>1.8941093551404573</v>
      </c>
      <c r="M10" s="70">
        <f t="shared" si="0"/>
        <v>3.2645469753974869</v>
      </c>
    </row>
    <row r="11" spans="1:18" x14ac:dyDescent="0.25">
      <c r="A11" s="13"/>
      <c r="B11" s="36"/>
      <c r="C11" s="13"/>
      <c r="D11" s="36"/>
      <c r="E11" s="13"/>
      <c r="F11" s="13"/>
      <c r="G11" s="30"/>
      <c r="H11" s="13"/>
      <c r="I11" s="36"/>
      <c r="J11" s="13"/>
      <c r="K11" s="36"/>
      <c r="L11" s="13"/>
      <c r="M11" s="30"/>
    </row>
    <row r="12" spans="1:18" x14ac:dyDescent="0.25">
      <c r="A12" s="13"/>
      <c r="B12" s="36"/>
      <c r="C12" s="13"/>
      <c r="D12" s="36"/>
      <c r="E12" s="13"/>
      <c r="F12" s="13"/>
      <c r="G12" s="30"/>
      <c r="H12" s="13"/>
      <c r="I12" s="36"/>
      <c r="J12" s="13"/>
      <c r="K12" s="36"/>
      <c r="L12" s="13"/>
      <c r="M12" s="30"/>
    </row>
    <row r="13" spans="1:18" x14ac:dyDescent="0.25">
      <c r="A13" s="13"/>
      <c r="B13" s="36"/>
      <c r="C13" s="13"/>
      <c r="D13" s="36"/>
      <c r="E13" s="13"/>
      <c r="F13" s="13"/>
      <c r="G13" s="30"/>
      <c r="H13" s="13"/>
      <c r="I13" s="36"/>
      <c r="J13" s="13"/>
      <c r="K13" s="36"/>
      <c r="L13" s="13"/>
      <c r="M13" s="30"/>
    </row>
    <row r="14" spans="1:18" x14ac:dyDescent="0.25">
      <c r="A14" s="31"/>
      <c r="B14" s="42"/>
      <c r="C14" s="31"/>
      <c r="D14" s="42"/>
      <c r="E14" s="31"/>
      <c r="F14" s="31"/>
      <c r="G14" s="33"/>
      <c r="H14" s="31"/>
      <c r="I14" s="42"/>
      <c r="J14" s="31"/>
      <c r="K14" s="42"/>
      <c r="L14" s="31"/>
      <c r="M14" s="33"/>
    </row>
    <row r="15" spans="1:18" ht="15.75" thickBot="1" x14ac:dyDescent="0.3">
      <c r="A15" s="31" t="s">
        <v>156</v>
      </c>
      <c r="B15" s="72">
        <f>AVERAGE(B4:B14)</f>
        <v>9.9599999999999991</v>
      </c>
      <c r="C15" s="278">
        <f>AVERAGE(C4:C14)</f>
        <v>7.4799999999999995</v>
      </c>
      <c r="D15" s="72">
        <f t="shared" ref="D15:G15" si="2">AVERAGE(D4:D14)</f>
        <v>5.3214285714285712</v>
      </c>
      <c r="E15" s="278">
        <f t="shared" si="2"/>
        <v>3.891428571428571</v>
      </c>
      <c r="F15" s="278">
        <f t="shared" si="2"/>
        <v>2.9842857142857144</v>
      </c>
      <c r="G15" s="73">
        <f t="shared" si="2"/>
        <v>2.31</v>
      </c>
      <c r="H15" s="271" t="s">
        <v>158</v>
      </c>
      <c r="I15" s="268">
        <f>AVERAGE(I4:I14)</f>
        <v>2.4878922704152848</v>
      </c>
      <c r="J15" s="280">
        <f t="shared" ref="J15:M15" si="3">AVERAGE(J4:J14)</f>
        <v>2.9577527940061175</v>
      </c>
      <c r="K15" s="268">
        <f t="shared" si="3"/>
        <v>2.720248362040965</v>
      </c>
      <c r="L15" s="278">
        <f t="shared" si="3"/>
        <v>2.3073140936548469</v>
      </c>
      <c r="M15" s="73">
        <f t="shared" si="3"/>
        <v>2.2356817648008329</v>
      </c>
      <c r="N15" t="s">
        <v>163</v>
      </c>
    </row>
    <row r="16" spans="1:18" ht="15.75" thickBot="1" x14ac:dyDescent="0.3">
      <c r="A16" s="1" t="s">
        <v>161</v>
      </c>
      <c r="B16" s="248">
        <f>AVERAGE(B4:B14)</f>
        <v>9.9599999999999991</v>
      </c>
      <c r="C16" s="274">
        <f t="shared" ref="C16:G16" si="4">AVERAGE(C4:C14)</f>
        <v>7.4799999999999995</v>
      </c>
      <c r="D16" s="248">
        <f t="shared" si="4"/>
        <v>5.3214285714285712</v>
      </c>
      <c r="E16" s="274">
        <f t="shared" si="4"/>
        <v>3.891428571428571</v>
      </c>
      <c r="F16" s="274">
        <f t="shared" si="4"/>
        <v>2.9842857142857144</v>
      </c>
      <c r="G16" s="249">
        <f t="shared" si="4"/>
        <v>2.31</v>
      </c>
      <c r="H16" t="s">
        <v>164</v>
      </c>
      <c r="I16" s="248">
        <f>20*LOG10(B16/C16)</f>
        <v>2.4871548111847472</v>
      </c>
      <c r="J16" s="274">
        <f>20*LOG10(C16/D16)</f>
        <v>2.9574672158881303</v>
      </c>
      <c r="K16" s="248">
        <f t="shared" ref="K16:M16" si="5">20*LOG10(D16/E16)</f>
        <v>2.7183834768712822</v>
      </c>
      <c r="L16" s="274">
        <f t="shared" si="5"/>
        <v>2.3053732652087779</v>
      </c>
      <c r="M16" s="249">
        <f t="shared" si="5"/>
        <v>2.2245684014781486</v>
      </c>
      <c r="N16" s="331">
        <f>AVERAGE(I16:M16)</f>
        <v>2.5385894341262172</v>
      </c>
      <c r="O16" s="45" t="s">
        <v>204</v>
      </c>
      <c r="R16" t="s">
        <v>275</v>
      </c>
    </row>
    <row r="17" spans="2:26" ht="18" x14ac:dyDescent="0.35">
      <c r="B17" s="93" t="s">
        <v>162</v>
      </c>
      <c r="C17" s="6"/>
      <c r="D17" s="6"/>
      <c r="E17" s="6"/>
      <c r="F17" s="6"/>
      <c r="G17" s="7"/>
      <c r="H17" s="271" t="s">
        <v>160</v>
      </c>
      <c r="I17" s="269" t="s">
        <v>151</v>
      </c>
      <c r="J17" s="431" t="s">
        <v>140</v>
      </c>
      <c r="K17" s="308" t="s">
        <v>141</v>
      </c>
      <c r="L17" s="270" t="s">
        <v>159</v>
      </c>
      <c r="M17" s="440" t="s">
        <v>282</v>
      </c>
      <c r="O17" s="269" t="s">
        <v>151</v>
      </c>
      <c r="P17" s="431" t="s">
        <v>140</v>
      </c>
      <c r="Q17" s="279" t="s">
        <v>141</v>
      </c>
      <c r="R17" s="270" t="s">
        <v>159</v>
      </c>
      <c r="S17" t="s">
        <v>279</v>
      </c>
      <c r="T17" t="s">
        <v>283</v>
      </c>
      <c r="U17" t="s">
        <v>18</v>
      </c>
      <c r="V17" t="s">
        <v>277</v>
      </c>
      <c r="W17" t="s">
        <v>278</v>
      </c>
      <c r="X17" t="s">
        <v>280</v>
      </c>
      <c r="Y17" t="s">
        <v>257</v>
      </c>
      <c r="Z17" t="s">
        <v>258</v>
      </c>
    </row>
    <row r="18" spans="2:26" x14ac:dyDescent="0.25">
      <c r="H18" s="272" t="s">
        <v>14</v>
      </c>
      <c r="I18" s="69">
        <f>20*LOG10(B4/D4)</f>
        <v>5.7053343926172149</v>
      </c>
      <c r="J18" s="398">
        <f t="shared" ref="J18:L24" si="6">20*LOG10(C4/E4)</f>
        <v>5.8793628235298865</v>
      </c>
      <c r="K18" s="309">
        <f t="shared" si="6"/>
        <v>4.5605796474254294</v>
      </c>
      <c r="L18" s="70">
        <f t="shared" si="6"/>
        <v>3.9158918774358726</v>
      </c>
      <c r="M18" s="45">
        <f>AVERAGE(I18:L18)</f>
        <v>5.0152921852521013</v>
      </c>
      <c r="O18" s="45">
        <v>1.1007204091938414</v>
      </c>
      <c r="P18" s="45">
        <v>0.96803365718494117</v>
      </c>
      <c r="Q18" s="45">
        <v>1.3124671946902164</v>
      </c>
      <c r="R18" s="45">
        <v>1.315414796114323</v>
      </c>
      <c r="S18" s="45">
        <f>STDEV(O18:R18)</f>
        <v>0.17025788305251854</v>
      </c>
      <c r="T18" s="45">
        <f>S18^2</f>
        <v>2.8987746741525083E-2</v>
      </c>
      <c r="U18" s="286">
        <v>4</v>
      </c>
      <c r="V18" s="286">
        <v>7</v>
      </c>
      <c r="W18">
        <f>U18*V18</f>
        <v>28</v>
      </c>
      <c r="X18" s="45">
        <f>STDEV(M18:M24)</f>
        <v>0.18818880537878102</v>
      </c>
      <c r="Y18" s="52">
        <f>(U18*(U18-1)/W18/(W18-1)*SUM(T18:T24)+(V18-1)/V18/(W18-1)*X18^2)^0.5</f>
        <v>6.5543076985486171E-2</v>
      </c>
      <c r="Z18" s="52">
        <f>Y18/M27</f>
        <v>1.2668875844120922E-2</v>
      </c>
    </row>
    <row r="19" spans="2:26" x14ac:dyDescent="0.25">
      <c r="H19" s="13"/>
      <c r="I19" s="69">
        <f>20*LOG10(B5/D5)</f>
        <v>5.5017582066307256</v>
      </c>
      <c r="J19" s="398">
        <f t="shared" si="6"/>
        <v>5.4428086078120312</v>
      </c>
      <c r="K19" s="309">
        <f t="shared" si="6"/>
        <v>5.2017580279438231</v>
      </c>
      <c r="L19" s="70">
        <f t="shared" si="6"/>
        <v>4.2036403602973724</v>
      </c>
      <c r="M19" s="45">
        <f t="shared" ref="M19:M24" si="7">AVERAGE(I19:L19)</f>
        <v>5.0874913006709885</v>
      </c>
      <c r="O19" s="45">
        <v>1.0893257050545559</v>
      </c>
      <c r="P19" s="45">
        <v>0.96305478359502694</v>
      </c>
      <c r="Q19" s="45">
        <v>1.3111160783579312</v>
      </c>
      <c r="R19" s="45">
        <v>1.27457528798766</v>
      </c>
      <c r="S19" s="45">
        <f t="shared" ref="S19:S24" si="8">STDEV(O19:R19)</f>
        <v>0.16303875873626097</v>
      </c>
      <c r="T19" s="45">
        <f t="shared" ref="T19:T24" si="9">S19^2</f>
        <v>2.6581636850260715E-2</v>
      </c>
    </row>
    <row r="20" spans="2:26" x14ac:dyDescent="0.25">
      <c r="H20" s="13"/>
      <c r="I20" s="69">
        <f t="shared" ref="I20:I21" si="10">20*LOG10(B6/D6)</f>
        <v>5.2970583786232153</v>
      </c>
      <c r="J20" s="398">
        <f t="shared" si="6"/>
        <v>5.8107292826341208</v>
      </c>
      <c r="K20" s="309">
        <f t="shared" si="6"/>
        <v>4.901216983696183</v>
      </c>
      <c r="L20" s="70">
        <f t="shared" si="6"/>
        <v>3.9588689851531029</v>
      </c>
      <c r="M20" s="45">
        <f t="shared" si="7"/>
        <v>4.9919684075266559</v>
      </c>
      <c r="O20" s="45">
        <v>1.1209583281181872</v>
      </c>
      <c r="P20" s="45">
        <v>1.0008226988205851</v>
      </c>
      <c r="Q20" s="45">
        <v>1.2828379772705325</v>
      </c>
      <c r="R20" s="45">
        <v>1.3331018450648746</v>
      </c>
      <c r="S20" s="45">
        <f t="shared" si="8"/>
        <v>0.15223637506977117</v>
      </c>
      <c r="T20" s="45">
        <f t="shared" si="9"/>
        <v>2.3175913894384045E-2</v>
      </c>
    </row>
    <row r="21" spans="2:26" x14ac:dyDescent="0.25">
      <c r="H21" s="13"/>
      <c r="I21" s="69">
        <f t="shared" si="10"/>
        <v>5.1567466159886362</v>
      </c>
      <c r="J21" s="398">
        <f t="shared" si="6"/>
        <v>5.6974185678100504</v>
      </c>
      <c r="K21" s="309">
        <f t="shared" si="6"/>
        <v>5.4043209649952324</v>
      </c>
      <c r="L21" s="70">
        <f t="shared" si="6"/>
        <v>4.817113195253226</v>
      </c>
      <c r="M21" s="45">
        <f t="shared" si="7"/>
        <v>5.2688998360117871</v>
      </c>
      <c r="O21" s="45">
        <v>1.0954179797128276</v>
      </c>
      <c r="P21" s="45">
        <v>0.94061682830189575</v>
      </c>
      <c r="Q21" s="45">
        <v>1.285412130994563</v>
      </c>
      <c r="R21" s="45">
        <v>1.3214705168894658</v>
      </c>
      <c r="S21" s="45">
        <f t="shared" si="8"/>
        <v>0.17710506853899921</v>
      </c>
      <c r="T21" s="45">
        <f t="shared" si="9"/>
        <v>3.1366205302203611E-2</v>
      </c>
    </row>
    <row r="22" spans="2:26" x14ac:dyDescent="0.25">
      <c r="H22" s="13"/>
      <c r="I22" s="69">
        <f>20*LOG10(B8/D8)</f>
        <v>5.5586989894429797</v>
      </c>
      <c r="J22" s="398">
        <f t="shared" si="6"/>
        <v>5.6825849025155959</v>
      </c>
      <c r="K22" s="309">
        <f t="shared" si="6"/>
        <v>5.3140406664447646</v>
      </c>
      <c r="L22" s="70">
        <f t="shared" si="6"/>
        <v>5.6105066001254666</v>
      </c>
      <c r="M22" s="45">
        <f t="shared" si="7"/>
        <v>5.5414577896322026</v>
      </c>
      <c r="O22" s="45">
        <v>1.0977004977175311</v>
      </c>
      <c r="P22" s="45">
        <v>0.96457179170830365</v>
      </c>
      <c r="Q22" s="45">
        <v>1.3132969270066353</v>
      </c>
      <c r="R22" s="45">
        <v>1.2482019421677284</v>
      </c>
      <c r="S22" s="45">
        <f t="shared" si="8"/>
        <v>0.15629789846026673</v>
      </c>
      <c r="T22" s="45">
        <f t="shared" si="9"/>
        <v>2.4429033063095851E-2</v>
      </c>
    </row>
    <row r="23" spans="2:26" x14ac:dyDescent="0.25">
      <c r="H23" s="13"/>
      <c r="I23" s="69">
        <f>20*LOG10(B9/D9)</f>
        <v>5.6307286909500043</v>
      </c>
      <c r="J23" s="398">
        <f t="shared" si="6"/>
        <v>5.6197296477024192</v>
      </c>
      <c r="K23" s="309">
        <f t="shared" si="6"/>
        <v>5.1087659599563873</v>
      </c>
      <c r="L23" s="70">
        <f t="shared" si="6"/>
        <v>4.1362936603867766</v>
      </c>
      <c r="M23" s="45">
        <f t="shared" si="7"/>
        <v>5.1238794897488971</v>
      </c>
      <c r="O23" s="45">
        <v>1.0903631943524135</v>
      </c>
      <c r="P23" s="45">
        <v>0.95850178855718027</v>
      </c>
      <c r="Q23" s="45">
        <v>1.3262748535207214</v>
      </c>
      <c r="R23" s="45">
        <v>1.3403090557990089</v>
      </c>
      <c r="S23" s="45">
        <f t="shared" si="8"/>
        <v>0.18635661386820113</v>
      </c>
      <c r="T23" s="45">
        <f t="shared" si="9"/>
        <v>3.4728787532421812E-2</v>
      </c>
    </row>
    <row r="24" spans="2:26" ht="15.75" thickBot="1" x14ac:dyDescent="0.3">
      <c r="H24" s="13"/>
      <c r="I24" s="69">
        <f>20*LOG10(B10/D10)</f>
        <v>5.2691901766970357</v>
      </c>
      <c r="J24" s="398">
        <f t="shared" si="6"/>
        <v>5.6133742603254664</v>
      </c>
      <c r="K24" s="309">
        <f t="shared" si="6"/>
        <v>4.7022549394088617</v>
      </c>
      <c r="L24" s="70">
        <f t="shared" si="6"/>
        <v>5.1586563305379443</v>
      </c>
      <c r="M24" s="45">
        <f t="shared" si="7"/>
        <v>5.1858689267423266</v>
      </c>
      <c r="O24" s="45">
        <v>1.0964442569935755</v>
      </c>
      <c r="P24" s="45">
        <v>0.96348772686021278</v>
      </c>
      <c r="Q24" s="45">
        <v>1.3093957862996635</v>
      </c>
      <c r="R24" s="45">
        <v>1.3255387957943097</v>
      </c>
      <c r="S24" s="45">
        <f t="shared" si="8"/>
        <v>0.17476271038760394</v>
      </c>
      <c r="T24" s="45">
        <f t="shared" si="9"/>
        <v>3.0542004942021528E-2</v>
      </c>
    </row>
    <row r="25" spans="2:26" ht="15.75" thickBot="1" x14ac:dyDescent="0.3">
      <c r="H25" s="13"/>
      <c r="I25" s="36"/>
      <c r="J25" s="13"/>
      <c r="K25" s="443"/>
      <c r="L25" s="30"/>
      <c r="M25" s="446">
        <f>STDEV(M18:M24)/7^0.5</f>
        <v>7.1128682651226988E-2</v>
      </c>
      <c r="N25" s="447" t="s">
        <v>257</v>
      </c>
      <c r="O25" s="446">
        <f>STDEV(O18:O24)/7^0.5</f>
        <v>4.0052164342387004E-3</v>
      </c>
      <c r="P25" s="446">
        <f t="shared" ref="P25:R25" si="11">STDEV(P18:P24)/7^0.5</f>
        <v>6.7842604230892159E-3</v>
      </c>
      <c r="Q25" s="446">
        <f t="shared" si="11"/>
        <v>5.9840647841409673E-3</v>
      </c>
      <c r="R25" s="446">
        <f t="shared" si="11"/>
        <v>1.2826744160970412E-2</v>
      </c>
      <c r="S25" s="442"/>
    </row>
    <row r="26" spans="2:26" x14ac:dyDescent="0.25">
      <c r="H26" s="13"/>
      <c r="I26" s="36"/>
      <c r="J26" s="13"/>
      <c r="K26" s="443"/>
      <c r="L26" s="30"/>
      <c r="M26" s="219">
        <f>M25/$M$27</f>
        <v>1.3748522207216731E-2</v>
      </c>
      <c r="N26" t="s">
        <v>258</v>
      </c>
      <c r="O26" s="219">
        <f>O25/$M$27</f>
        <v>7.7417161457706658E-4</v>
      </c>
      <c r="P26" s="219">
        <f t="shared" ref="P26:R26" si="12">P25/$M$27</f>
        <v>1.3113353377250361E-3</v>
      </c>
      <c r="Q26" s="219">
        <f t="shared" si="12"/>
        <v>1.1566648573768641E-3</v>
      </c>
      <c r="R26" s="219">
        <f t="shared" si="12"/>
        <v>2.4792920432408316E-3</v>
      </c>
      <c r="S26" s="219"/>
    </row>
    <row r="27" spans="2:26" x14ac:dyDescent="0.25">
      <c r="H27" s="13"/>
      <c r="I27" s="36"/>
      <c r="J27" s="13"/>
      <c r="K27" s="443"/>
      <c r="L27" s="30"/>
      <c r="M27" s="52">
        <f>AVERAGE(M18:M24)</f>
        <v>5.1735511336549944</v>
      </c>
      <c r="N27" s="272" t="s">
        <v>286</v>
      </c>
    </row>
    <row r="28" spans="2:26" ht="15.75" thickBot="1" x14ac:dyDescent="0.3">
      <c r="H28" s="31"/>
      <c r="I28" s="42"/>
      <c r="J28" s="31"/>
      <c r="K28" s="444"/>
      <c r="L28" s="33"/>
    </row>
    <row r="29" spans="2:26" ht="15.75" thickBot="1" x14ac:dyDescent="0.3">
      <c r="H29" s="1" t="s">
        <v>158</v>
      </c>
      <c r="I29" s="268">
        <f>AVERAGE(I18:I28)</f>
        <v>5.4456450644214032</v>
      </c>
      <c r="J29" s="280">
        <f t="shared" ref="J29:L29" si="13">AVERAGE(J18:J28)</f>
        <v>5.6780011560470811</v>
      </c>
      <c r="K29" s="445">
        <f t="shared" si="13"/>
        <v>5.0275624556958123</v>
      </c>
      <c r="L29" s="72">
        <f t="shared" si="13"/>
        <v>4.5429958584556811</v>
      </c>
      <c r="M29" s="341">
        <f>AVERAGE(I29:L29)</f>
        <v>5.1735511336549944</v>
      </c>
      <c r="P29" s="45">
        <f>N16</f>
        <v>2.5385894341262172</v>
      </c>
    </row>
    <row r="30" spans="2:26" ht="15.75" thickBot="1" x14ac:dyDescent="0.3">
      <c r="H30" s="41" t="s">
        <v>165</v>
      </c>
      <c r="I30" s="273">
        <f>I29/2</f>
        <v>2.7228225322107016</v>
      </c>
      <c r="J30" s="281">
        <f t="shared" ref="J30:L30" si="14">J29/2</f>
        <v>2.8390005780235406</v>
      </c>
      <c r="K30" s="454">
        <f t="shared" si="14"/>
        <v>2.5137812278479061</v>
      </c>
      <c r="L30" s="249">
        <f t="shared" si="14"/>
        <v>2.2714979292278406</v>
      </c>
      <c r="M30" s="331">
        <f>AVERAGE(H30:L30)</f>
        <v>2.5867755668274972</v>
      </c>
      <c r="N30" s="45" t="s">
        <v>204</v>
      </c>
      <c r="P30" s="45">
        <f>M30</f>
        <v>2.5867755668274972</v>
      </c>
    </row>
    <row r="31" spans="2:26" x14ac:dyDescent="0.25">
      <c r="H31" s="271" t="s">
        <v>160</v>
      </c>
      <c r="I31" s="269" t="s">
        <v>166</v>
      </c>
      <c r="J31" s="279" t="s">
        <v>142</v>
      </c>
      <c r="K31" s="270" t="s">
        <v>146</v>
      </c>
      <c r="P31" s="45">
        <f>L44</f>
        <v>2.601605877406771</v>
      </c>
    </row>
    <row r="32" spans="2:26" ht="15.75" thickBot="1" x14ac:dyDescent="0.3">
      <c r="H32" s="272" t="s">
        <v>14</v>
      </c>
      <c r="I32" s="69">
        <f>20*LOG10(B4/E4)</f>
        <v>8.5978227519484225</v>
      </c>
      <c r="J32" s="39">
        <f t="shared" ref="J32:K38" si="15">20*LOG10(C4/F4)</f>
        <v>7.5474541116241074</v>
      </c>
      <c r="K32" s="70">
        <f t="shared" si="15"/>
        <v>6.8083802367670803</v>
      </c>
      <c r="P32" s="45">
        <f>K58</f>
        <v>2.5867755668274968</v>
      </c>
    </row>
    <row r="33" spans="8:16" ht="15.75" thickBot="1" x14ac:dyDescent="0.3">
      <c r="H33" s="13"/>
      <c r="I33" s="69">
        <f t="shared" ref="I33:I38" si="16">20*LOG10(B5/E5)</f>
        <v>7.7938457874934075</v>
      </c>
      <c r="J33" s="39">
        <f t="shared" si="15"/>
        <v>8.3524790548931733</v>
      </c>
      <c r="K33" s="70">
        <f t="shared" si="15"/>
        <v>6.4957279411600535</v>
      </c>
      <c r="P33" s="432">
        <f>AVERAGE(P29:P32)</f>
        <v>2.5784366112969952</v>
      </c>
    </row>
    <row r="34" spans="8:16" x14ac:dyDescent="0.25">
      <c r="H34" s="13"/>
      <c r="I34" s="69">
        <f t="shared" si="16"/>
        <v>8.385876887835142</v>
      </c>
      <c r="J34" s="39">
        <f t="shared" si="15"/>
        <v>7.6231277571183762</v>
      </c>
      <c r="K34" s="70">
        <f t="shared" si="15"/>
        <v>7.0476874943650305</v>
      </c>
    </row>
    <row r="35" spans="8:16" x14ac:dyDescent="0.25">
      <c r="H35" s="13"/>
      <c r="I35" s="69">
        <f t="shared" si="16"/>
        <v>7.8929144746899329</v>
      </c>
      <c r="J35" s="39">
        <f t="shared" si="15"/>
        <v>8.3655716741039861</v>
      </c>
      <c r="K35" s="70">
        <f t="shared" si="15"/>
        <v>7.5532810539545236</v>
      </c>
    </row>
    <row r="36" spans="8:16" x14ac:dyDescent="0.25">
      <c r="H36" s="13"/>
      <c r="I36" s="69">
        <f t="shared" si="16"/>
        <v>8.1727384035638266</v>
      </c>
      <c r="J36" s="39">
        <f t="shared" si="15"/>
        <v>8.3825861548395135</v>
      </c>
      <c r="K36" s="70">
        <f t="shared" si="15"/>
        <v>8.2245460142463127</v>
      </c>
    </row>
    <row r="37" spans="8:16" x14ac:dyDescent="0.25">
      <c r="H37" s="13"/>
      <c r="I37" s="69">
        <f t="shared" si="16"/>
        <v>8.2407199187403926</v>
      </c>
      <c r="J37" s="39">
        <f t="shared" si="15"/>
        <v>8.1185043798684173</v>
      </c>
      <c r="K37" s="70">
        <f t="shared" si="15"/>
        <v>6.746284888177164</v>
      </c>
    </row>
    <row r="38" spans="8:16" x14ac:dyDescent="0.25">
      <c r="H38" s="13"/>
      <c r="I38" s="69">
        <f t="shared" si="16"/>
        <v>8.0773357609654415</v>
      </c>
      <c r="J38" s="39">
        <f t="shared" si="15"/>
        <v>7.5074836154659241</v>
      </c>
      <c r="K38" s="70">
        <f t="shared" si="15"/>
        <v>7.9668019148063483</v>
      </c>
    </row>
    <row r="39" spans="8:16" x14ac:dyDescent="0.25">
      <c r="H39" s="13"/>
      <c r="I39" s="36"/>
      <c r="J39" s="13"/>
      <c r="K39" s="30"/>
    </row>
    <row r="40" spans="8:16" x14ac:dyDescent="0.25">
      <c r="H40" s="13"/>
      <c r="I40" s="36"/>
      <c r="J40" s="13"/>
      <c r="K40" s="30"/>
    </row>
    <row r="41" spans="8:16" x14ac:dyDescent="0.25">
      <c r="H41" s="13"/>
      <c r="I41" s="36"/>
      <c r="J41" s="13"/>
      <c r="K41" s="30"/>
    </row>
    <row r="42" spans="8:16" x14ac:dyDescent="0.25">
      <c r="H42" s="31"/>
      <c r="I42" s="42"/>
      <c r="J42" s="31"/>
      <c r="K42" s="33"/>
    </row>
    <row r="43" spans="8:16" ht="15.75" thickBot="1" x14ac:dyDescent="0.3">
      <c r="H43" s="1" t="s">
        <v>158</v>
      </c>
      <c r="I43" s="268">
        <f>AVERAGE(I32:I42)</f>
        <v>8.1658934264623664</v>
      </c>
      <c r="J43" s="280">
        <f t="shared" ref="J43:K43" si="17">AVERAGE(J32:J42)</f>
        <v>7.9853152497019284</v>
      </c>
      <c r="K43" s="73">
        <f t="shared" si="17"/>
        <v>7.2632442204966443</v>
      </c>
    </row>
    <row r="44" spans="8:16" ht="15.75" thickBot="1" x14ac:dyDescent="0.3">
      <c r="H44" s="41" t="s">
        <v>165</v>
      </c>
      <c r="I44" s="273">
        <f>I43/3</f>
        <v>2.7219644754874555</v>
      </c>
      <c r="J44" s="281">
        <f t="shared" ref="J44:K44" si="18">J43/3</f>
        <v>2.6617717499006428</v>
      </c>
      <c r="K44" s="249">
        <f t="shared" si="18"/>
        <v>2.4210814068322146</v>
      </c>
      <c r="L44" s="331">
        <f>AVERAGE(G44:K44)</f>
        <v>2.601605877406771</v>
      </c>
      <c r="M44" s="45" t="s">
        <v>204</v>
      </c>
    </row>
    <row r="45" spans="8:16" x14ac:dyDescent="0.25">
      <c r="H45" s="271" t="s">
        <v>160</v>
      </c>
      <c r="I45" s="279" t="s">
        <v>167</v>
      </c>
      <c r="J45" s="270" t="s">
        <v>143</v>
      </c>
    </row>
    <row r="46" spans="8:16" x14ac:dyDescent="0.25">
      <c r="H46" s="272" t="s">
        <v>14</v>
      </c>
      <c r="I46" s="39">
        <f>20*LOG10(B4/F4)</f>
        <v>10.265914040042643</v>
      </c>
      <c r="J46" s="70">
        <f>20*LOG10(C4/G4)</f>
        <v>9.79525470096576</v>
      </c>
    </row>
    <row r="47" spans="8:16" x14ac:dyDescent="0.25">
      <c r="H47" s="13"/>
      <c r="I47" s="39">
        <f t="shared" ref="I47:J52" si="19">20*LOG10(B5/F5)</f>
        <v>10.703516234574549</v>
      </c>
      <c r="J47" s="70">
        <f t="shared" si="19"/>
        <v>9.6464489681094019</v>
      </c>
    </row>
    <row r="48" spans="8:16" x14ac:dyDescent="0.25">
      <c r="H48" s="13"/>
      <c r="I48" s="39">
        <f t="shared" si="19"/>
        <v>10.198275362319398</v>
      </c>
      <c r="J48" s="70">
        <f t="shared" si="19"/>
        <v>9.7695982677872237</v>
      </c>
    </row>
    <row r="49" spans="8:12" x14ac:dyDescent="0.25">
      <c r="H49" s="13"/>
      <c r="I49" s="39">
        <f t="shared" si="19"/>
        <v>10.56106758098387</v>
      </c>
      <c r="J49" s="70">
        <f t="shared" si="19"/>
        <v>10.514531763063278</v>
      </c>
    </row>
    <row r="50" spans="8:12" x14ac:dyDescent="0.25">
      <c r="H50" s="13"/>
      <c r="I50" s="39">
        <f t="shared" si="19"/>
        <v>10.872739655887745</v>
      </c>
      <c r="J50" s="70">
        <f t="shared" si="19"/>
        <v>11.293091502641062</v>
      </c>
    </row>
    <row r="51" spans="8:12" x14ac:dyDescent="0.25">
      <c r="H51" s="13"/>
      <c r="I51" s="39">
        <f t="shared" si="19"/>
        <v>10.739494650906391</v>
      </c>
      <c r="J51" s="70">
        <f t="shared" si="19"/>
        <v>9.756023308089194</v>
      </c>
    </row>
    <row r="52" spans="8:12" x14ac:dyDescent="0.25">
      <c r="H52" s="13"/>
      <c r="I52" s="39">
        <f t="shared" si="19"/>
        <v>9.9714451161058975</v>
      </c>
      <c r="J52" s="70">
        <f t="shared" si="19"/>
        <v>10.772030590863411</v>
      </c>
    </row>
    <row r="53" spans="8:12" x14ac:dyDescent="0.25">
      <c r="H53" s="13"/>
      <c r="I53" s="13"/>
      <c r="J53" s="30"/>
    </row>
    <row r="54" spans="8:12" x14ac:dyDescent="0.25">
      <c r="H54" s="13"/>
      <c r="I54" s="13"/>
      <c r="J54" s="30"/>
    </row>
    <row r="55" spans="8:12" x14ac:dyDescent="0.25">
      <c r="H55" s="13"/>
      <c r="I55" s="13"/>
      <c r="J55" s="30"/>
    </row>
    <row r="56" spans="8:12" x14ac:dyDescent="0.25">
      <c r="H56" s="31"/>
      <c r="I56" s="31"/>
      <c r="J56" s="33"/>
    </row>
    <row r="57" spans="8:12" ht="15.75" thickBot="1" x14ac:dyDescent="0.3">
      <c r="H57" s="1" t="s">
        <v>158</v>
      </c>
      <c r="I57" s="280">
        <f>AVERAGE(I46:I56)</f>
        <v>10.473207520117214</v>
      </c>
      <c r="J57" s="275">
        <f>AVERAGE(J46:J56)</f>
        <v>10.22099701450276</v>
      </c>
    </row>
    <row r="58" spans="8:12" ht="15.75" thickBot="1" x14ac:dyDescent="0.3">
      <c r="H58" s="41" t="s">
        <v>165</v>
      </c>
      <c r="I58" s="281">
        <f>I57/4</f>
        <v>2.6183018800293034</v>
      </c>
      <c r="J58" s="276">
        <f>J57/4</f>
        <v>2.5552492536256901</v>
      </c>
      <c r="K58" s="331">
        <f>AVERAGE(F58:J58)</f>
        <v>2.5867755668274968</v>
      </c>
      <c r="L58" s="45" t="s">
        <v>204</v>
      </c>
    </row>
    <row r="59" spans="8:12" x14ac:dyDescent="0.25">
      <c r="H59" s="271" t="s">
        <v>160</v>
      </c>
      <c r="I59" s="279" t="s">
        <v>223</v>
      </c>
    </row>
    <row r="60" spans="8:12" x14ac:dyDescent="0.25">
      <c r="H60" s="272" t="s">
        <v>14</v>
      </c>
      <c r="I60" s="39">
        <f>20*LOG10(B4/G4)</f>
        <v>12.513714629384296</v>
      </c>
    </row>
    <row r="61" spans="8:12" x14ac:dyDescent="0.25">
      <c r="H61" s="13"/>
      <c r="I61" s="39">
        <f t="shared" ref="I61:I66" si="20">20*LOG10(B5/G5)</f>
        <v>11.997486147790779</v>
      </c>
    </row>
    <row r="62" spans="8:12" x14ac:dyDescent="0.25">
      <c r="H62" s="13"/>
      <c r="I62" s="39">
        <f t="shared" si="20"/>
        <v>12.344745872988245</v>
      </c>
    </row>
    <row r="63" spans="8:12" x14ac:dyDescent="0.25">
      <c r="H63" s="13"/>
      <c r="I63" s="39">
        <f t="shared" si="20"/>
        <v>12.710027669943161</v>
      </c>
    </row>
    <row r="64" spans="8:12" x14ac:dyDescent="0.25">
      <c r="H64" s="13"/>
      <c r="I64" s="39">
        <f t="shared" si="20"/>
        <v>13.783245003689293</v>
      </c>
    </row>
    <row r="65" spans="8:11" x14ac:dyDescent="0.25">
      <c r="H65" s="13"/>
      <c r="I65" s="39">
        <f t="shared" si="20"/>
        <v>12.377013579127169</v>
      </c>
    </row>
    <row r="66" spans="8:11" x14ac:dyDescent="0.25">
      <c r="H66" s="13"/>
      <c r="I66" s="39">
        <f t="shared" si="20"/>
        <v>13.235992091503386</v>
      </c>
    </row>
    <row r="67" spans="8:11" x14ac:dyDescent="0.25">
      <c r="H67" s="13"/>
      <c r="I67" s="13"/>
    </row>
    <row r="68" spans="8:11" x14ac:dyDescent="0.25">
      <c r="H68" s="13"/>
      <c r="I68" s="13"/>
    </row>
    <row r="69" spans="8:11" x14ac:dyDescent="0.25">
      <c r="H69" s="13"/>
      <c r="I69" s="13"/>
    </row>
    <row r="70" spans="8:11" x14ac:dyDescent="0.25">
      <c r="H70" s="31"/>
      <c r="I70" s="31"/>
    </row>
    <row r="71" spans="8:11" ht="15.75" thickBot="1" x14ac:dyDescent="0.3">
      <c r="H71" s="1" t="s">
        <v>158</v>
      </c>
      <c r="I71" s="399">
        <f>AVERAGE(I60:I70)</f>
        <v>12.708889284918047</v>
      </c>
    </row>
    <row r="72" spans="8:11" ht="15.75" thickBot="1" x14ac:dyDescent="0.3">
      <c r="H72" s="41" t="s">
        <v>165</v>
      </c>
      <c r="I72" s="281">
        <f>I71/5</f>
        <v>2.5417778569836096</v>
      </c>
      <c r="J72" s="331">
        <f>AVERAGE(E72:I72)</f>
        <v>2.5417778569836096</v>
      </c>
      <c r="K72" s="45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72"/>
  <sheetViews>
    <sheetView topLeftCell="A7" workbookViewId="0">
      <selection activeCell="W32" sqref="W32"/>
    </sheetView>
  </sheetViews>
  <sheetFormatPr defaultRowHeight="15" x14ac:dyDescent="0.25"/>
  <cols>
    <col min="1" max="1" width="22" customWidth="1"/>
    <col min="8" max="8" width="23.5703125" customWidth="1"/>
    <col min="14" max="14" width="11.85546875" customWidth="1"/>
    <col min="19" max="19" width="10.85546875" customWidth="1"/>
    <col min="21" max="21" width="5.85546875" customWidth="1"/>
    <col min="22" max="22" width="5" customWidth="1"/>
    <col min="23" max="23" width="6.7109375" customWidth="1"/>
    <col min="24" max="24" width="11.140625" customWidth="1"/>
  </cols>
  <sheetData>
    <row r="1" spans="1:15" x14ac:dyDescent="0.25">
      <c r="A1" s="277" t="s">
        <v>1</v>
      </c>
      <c r="B1" s="231">
        <v>20</v>
      </c>
    </row>
    <row r="3" spans="1:15" x14ac:dyDescent="0.25">
      <c r="A3" s="1" t="s">
        <v>154</v>
      </c>
      <c r="B3" s="6">
        <v>1</v>
      </c>
      <c r="C3" s="1">
        <v>2</v>
      </c>
      <c r="D3" s="93">
        <v>3</v>
      </c>
      <c r="E3" s="1">
        <v>4</v>
      </c>
      <c r="F3" s="1">
        <v>5</v>
      </c>
      <c r="G3" s="7">
        <v>6</v>
      </c>
      <c r="H3" s="271" t="s">
        <v>160</v>
      </c>
      <c r="I3" s="269" t="s">
        <v>152</v>
      </c>
      <c r="J3" s="279" t="s">
        <v>139</v>
      </c>
      <c r="K3" s="269" t="s">
        <v>144</v>
      </c>
      <c r="L3" s="279" t="s">
        <v>145</v>
      </c>
      <c r="M3" s="270" t="s">
        <v>157</v>
      </c>
    </row>
    <row r="4" spans="1:15" x14ac:dyDescent="0.25">
      <c r="A4" s="13" t="s">
        <v>155</v>
      </c>
      <c r="B4" s="323">
        <v>5.92</v>
      </c>
      <c r="C4" s="323">
        <v>3.61</v>
      </c>
      <c r="D4" s="323">
        <v>2.33</v>
      </c>
      <c r="E4" s="323">
        <v>1.4</v>
      </c>
      <c r="F4" s="339">
        <v>0.98199999999999998</v>
      </c>
      <c r="G4" s="339"/>
      <c r="H4" s="272" t="s">
        <v>169</v>
      </c>
      <c r="I4" s="69">
        <f>20*LOG10(B4/C4)</f>
        <v>4.2962900963452375</v>
      </c>
      <c r="J4" s="39">
        <f>20*LOG10(C4/D4)</f>
        <v>3.803025617592779</v>
      </c>
      <c r="K4" s="69">
        <f t="shared" ref="K4:L10" si="0">20*LOG10(D4/E4)</f>
        <v>4.4245577069556195</v>
      </c>
      <c r="L4" s="39">
        <f t="shared" si="0"/>
        <v>3.0803309578257672</v>
      </c>
      <c r="M4" s="70"/>
    </row>
    <row r="5" spans="1:15" x14ac:dyDescent="0.25">
      <c r="A5" s="13"/>
      <c r="B5" s="39">
        <v>5.51</v>
      </c>
      <c r="C5" s="39">
        <v>3.73</v>
      </c>
      <c r="D5" s="39">
        <v>2.08</v>
      </c>
      <c r="E5" s="39">
        <v>1.57</v>
      </c>
      <c r="F5" s="38">
        <v>0.91600000000000004</v>
      </c>
      <c r="G5" s="38"/>
      <c r="H5" s="13"/>
      <c r="I5" s="69">
        <f t="shared" ref="I5:J10" si="1">20*LOG10(B5/C5)</f>
        <v>3.388855340861948</v>
      </c>
      <c r="J5" s="39">
        <f t="shared" si="1"/>
        <v>5.0729099369185207</v>
      </c>
      <c r="K5" s="69">
        <f t="shared" si="0"/>
        <v>2.4432736510705557</v>
      </c>
      <c r="L5" s="39">
        <f t="shared" si="0"/>
        <v>4.680083574827667</v>
      </c>
      <c r="M5" s="70"/>
    </row>
    <row r="6" spans="1:15" x14ac:dyDescent="0.25">
      <c r="A6" s="13"/>
      <c r="B6" s="39">
        <v>5.69</v>
      </c>
      <c r="C6" s="39">
        <v>3.63</v>
      </c>
      <c r="D6" s="39">
        <v>2.2400000000000002</v>
      </c>
      <c r="E6" s="39">
        <v>1.38</v>
      </c>
      <c r="F6" s="38">
        <v>0.91</v>
      </c>
      <c r="G6" s="38"/>
      <c r="H6" s="13"/>
      <c r="I6" s="69">
        <f t="shared" si="1"/>
        <v>3.9041128271791741</v>
      </c>
      <c r="J6" s="39">
        <f t="shared" si="1"/>
        <v>4.1931721340389938</v>
      </c>
      <c r="K6" s="69">
        <f t="shared" si="0"/>
        <v>4.2073786386585272</v>
      </c>
      <c r="L6" s="39">
        <f t="shared" si="0"/>
        <v>3.6167538816028575</v>
      </c>
      <c r="M6" s="70"/>
    </row>
    <row r="7" spans="1:15" x14ac:dyDescent="0.25">
      <c r="A7" s="13"/>
      <c r="B7" s="39">
        <v>5.96</v>
      </c>
      <c r="C7" s="39">
        <v>3.66</v>
      </c>
      <c r="D7" s="39">
        <v>2.42</v>
      </c>
      <c r="E7" s="39">
        <v>1.26</v>
      </c>
      <c r="F7" s="38">
        <v>0.92500000000000004</v>
      </c>
      <c r="G7" s="38"/>
      <c r="H7" s="13"/>
      <c r="I7" s="69">
        <f t="shared" si="1"/>
        <v>4.2353034869165151</v>
      </c>
      <c r="J7" s="39">
        <f t="shared" si="1"/>
        <v>3.5933143882795884</v>
      </c>
      <c r="K7" s="69">
        <f t="shared" si="0"/>
        <v>5.6688964172573666</v>
      </c>
      <c r="L7" s="39">
        <f t="shared" si="0"/>
        <v>2.6845762475706048</v>
      </c>
      <c r="M7" s="70"/>
    </row>
    <row r="8" spans="1:15" x14ac:dyDescent="0.25">
      <c r="A8" s="13"/>
      <c r="B8" s="39">
        <v>5.79</v>
      </c>
      <c r="C8" s="39">
        <v>3.57</v>
      </c>
      <c r="D8" s="39">
        <v>2.06</v>
      </c>
      <c r="E8" s="39">
        <v>1.37</v>
      </c>
      <c r="F8" s="39">
        <v>1.25</v>
      </c>
      <c r="G8" s="38"/>
      <c r="H8" s="13"/>
      <c r="I8" s="69">
        <f t="shared" si="1"/>
        <v>4.2002069523048604</v>
      </c>
      <c r="J8" s="39">
        <f t="shared" si="1"/>
        <v>4.7760199148607949</v>
      </c>
      <c r="K8" s="69">
        <f t="shared" si="0"/>
        <v>3.5429330642549322</v>
      </c>
      <c r="L8" s="39">
        <f t="shared" si="0"/>
        <v>0.79621108296700771</v>
      </c>
      <c r="M8" s="70"/>
    </row>
    <row r="9" spans="1:15" x14ac:dyDescent="0.25">
      <c r="A9" s="13"/>
      <c r="B9" s="39">
        <v>5.83</v>
      </c>
      <c r="C9" s="39">
        <v>3.68</v>
      </c>
      <c r="D9" s="39">
        <v>2.29</v>
      </c>
      <c r="E9" s="39">
        <v>1.42</v>
      </c>
      <c r="F9" s="39">
        <v>1.08</v>
      </c>
      <c r="G9" s="38"/>
      <c r="H9" s="13"/>
      <c r="I9" s="69">
        <f t="shared" si="1"/>
        <v>3.996414721709928</v>
      </c>
      <c r="J9" s="39">
        <f t="shared" si="1"/>
        <v>4.1202467266725931</v>
      </c>
      <c r="K9" s="69">
        <f t="shared" si="0"/>
        <v>4.1509427591366306</v>
      </c>
      <c r="L9" s="39">
        <f t="shared" si="0"/>
        <v>2.3772917779221343</v>
      </c>
      <c r="M9" s="70"/>
    </row>
    <row r="10" spans="1:15" x14ac:dyDescent="0.25">
      <c r="A10" s="13"/>
      <c r="B10" s="278">
        <v>5.75</v>
      </c>
      <c r="C10" s="278">
        <v>3.66</v>
      </c>
      <c r="D10" s="278">
        <v>2.4500000000000002</v>
      </c>
      <c r="E10" s="278">
        <v>1.33</v>
      </c>
      <c r="F10" s="278">
        <v>1.03</v>
      </c>
      <c r="G10" s="185"/>
      <c r="H10" s="13"/>
      <c r="I10" s="69">
        <f t="shared" si="1"/>
        <v>3.9237351859043956</v>
      </c>
      <c r="J10" s="39">
        <f t="shared" si="1"/>
        <v>3.4863000205975636</v>
      </c>
      <c r="K10" s="69">
        <f t="shared" si="0"/>
        <v>5.3062888679489326</v>
      </c>
      <c r="L10" s="39">
        <f t="shared" si="0"/>
        <v>2.2202883252382724</v>
      </c>
      <c r="M10" s="70"/>
    </row>
    <row r="11" spans="1:15" x14ac:dyDescent="0.25">
      <c r="A11" s="13"/>
      <c r="B11" s="36"/>
      <c r="C11" s="13"/>
      <c r="D11" s="36"/>
      <c r="E11" s="13"/>
      <c r="F11" s="13"/>
      <c r="G11" s="30"/>
      <c r="H11" s="13"/>
      <c r="I11" s="36"/>
      <c r="J11" s="13"/>
      <c r="K11" s="36"/>
      <c r="L11" s="13"/>
      <c r="M11" s="30"/>
    </row>
    <row r="12" spans="1:15" x14ac:dyDescent="0.25">
      <c r="A12" s="13"/>
      <c r="B12" s="36"/>
      <c r="C12" s="13"/>
      <c r="D12" s="36"/>
      <c r="E12" s="13"/>
      <c r="F12" s="13"/>
      <c r="G12" s="30"/>
      <c r="H12" s="13"/>
      <c r="I12" s="36"/>
      <c r="J12" s="13"/>
      <c r="K12" s="36"/>
      <c r="L12" s="13"/>
      <c r="M12" s="30"/>
    </row>
    <row r="13" spans="1:15" x14ac:dyDescent="0.25">
      <c r="A13" s="13"/>
      <c r="B13" s="36"/>
      <c r="C13" s="13"/>
      <c r="D13" s="36"/>
      <c r="E13" s="13"/>
      <c r="F13" s="13"/>
      <c r="G13" s="30"/>
      <c r="H13" s="13"/>
      <c r="I13" s="36"/>
      <c r="J13" s="13"/>
      <c r="K13" s="36"/>
      <c r="L13" s="13"/>
      <c r="M13" s="30"/>
    </row>
    <row r="14" spans="1:15" x14ac:dyDescent="0.25">
      <c r="A14" s="31"/>
      <c r="B14" s="42"/>
      <c r="C14" s="31"/>
      <c r="D14" s="42"/>
      <c r="E14" s="31"/>
      <c r="F14" s="31"/>
      <c r="G14" s="33"/>
      <c r="H14" s="31"/>
      <c r="I14" s="42"/>
      <c r="J14" s="31"/>
      <c r="K14" s="42"/>
      <c r="L14" s="31"/>
      <c r="M14" s="33"/>
    </row>
    <row r="15" spans="1:15" ht="15.75" thickBot="1" x14ac:dyDescent="0.3">
      <c r="A15" s="31" t="s">
        <v>156</v>
      </c>
      <c r="B15" s="72">
        <f>AVERAGE(B4:B14)</f>
        <v>5.7785714285714294</v>
      </c>
      <c r="C15" s="278">
        <f>AVERAGE(C4:C14)</f>
        <v>3.6485714285714286</v>
      </c>
      <c r="D15" s="72">
        <f t="shared" ref="D15:F15" si="2">AVERAGE(D4:D14)</f>
        <v>2.2671428571428573</v>
      </c>
      <c r="E15" s="278">
        <f t="shared" si="2"/>
        <v>1.39</v>
      </c>
      <c r="F15" s="278">
        <f t="shared" si="2"/>
        <v>1.0132857142857143</v>
      </c>
      <c r="G15" s="73"/>
      <c r="H15" s="271" t="s">
        <v>158</v>
      </c>
      <c r="I15" s="268">
        <f>AVERAGE(I4:I14)</f>
        <v>3.9921312301745795</v>
      </c>
      <c r="J15" s="280">
        <f t="shared" ref="J15:L15" si="3">AVERAGE(J4:J14)</f>
        <v>4.1492841055658332</v>
      </c>
      <c r="K15" s="266">
        <f t="shared" si="3"/>
        <v>4.2491815864689375</v>
      </c>
      <c r="L15" s="278">
        <f t="shared" si="3"/>
        <v>2.7793622639934727</v>
      </c>
      <c r="M15" s="73"/>
      <c r="N15" t="s">
        <v>163</v>
      </c>
    </row>
    <row r="16" spans="1:15" ht="15.75" thickBot="1" x14ac:dyDescent="0.3">
      <c r="A16" s="1" t="s">
        <v>161</v>
      </c>
      <c r="B16" s="248">
        <f>AVERAGE(B4:B14)</f>
        <v>5.7785714285714294</v>
      </c>
      <c r="C16" s="274">
        <f t="shared" ref="C16:F16" si="4">AVERAGE(C4:C14)</f>
        <v>3.6485714285714286</v>
      </c>
      <c r="D16" s="248">
        <f t="shared" si="4"/>
        <v>2.2671428571428573</v>
      </c>
      <c r="E16" s="274">
        <f t="shared" si="4"/>
        <v>1.39</v>
      </c>
      <c r="F16" s="274">
        <f t="shared" si="4"/>
        <v>1.0132857142857143</v>
      </c>
      <c r="G16" s="249"/>
      <c r="H16" t="s">
        <v>164</v>
      </c>
      <c r="I16" s="248">
        <f>20*LOG10(B16/C16)</f>
        <v>3.9939526604178939</v>
      </c>
      <c r="J16" s="274">
        <f>20*LOG10(C16/D16)</f>
        <v>4.1328793234509655</v>
      </c>
      <c r="K16" s="248">
        <f t="shared" ref="K16:L16" si="5">20*LOG10(D16/E16)</f>
        <v>4.249281729729927</v>
      </c>
      <c r="L16" s="274">
        <f t="shared" si="5"/>
        <v>2.7456576083964186</v>
      </c>
      <c r="M16" s="249"/>
      <c r="N16" s="331">
        <f>AVERAGE(I16:M16)</f>
        <v>3.7804428304988016</v>
      </c>
      <c r="O16" s="45" t="s">
        <v>204</v>
      </c>
    </row>
    <row r="17" spans="2:26" ht="18" x14ac:dyDescent="0.35">
      <c r="B17" s="93" t="s">
        <v>162</v>
      </c>
      <c r="C17" s="6"/>
      <c r="D17" s="6"/>
      <c r="E17" s="6"/>
      <c r="F17" s="6"/>
      <c r="G17" s="7"/>
      <c r="H17" s="271" t="s">
        <v>160</v>
      </c>
      <c r="I17" s="310" t="s">
        <v>151</v>
      </c>
      <c r="J17" s="279" t="s">
        <v>140</v>
      </c>
      <c r="K17" s="279" t="s">
        <v>141</v>
      </c>
      <c r="L17" s="270" t="s">
        <v>159</v>
      </c>
      <c r="M17" s="440" t="s">
        <v>282</v>
      </c>
      <c r="O17" s="269" t="s">
        <v>151</v>
      </c>
      <c r="P17" s="431" t="s">
        <v>140</v>
      </c>
      <c r="Q17" s="279" t="s">
        <v>141</v>
      </c>
      <c r="R17" s="270" t="s">
        <v>159</v>
      </c>
      <c r="S17" t="s">
        <v>279</v>
      </c>
      <c r="T17" t="s">
        <v>283</v>
      </c>
      <c r="U17" t="s">
        <v>18</v>
      </c>
      <c r="V17" t="s">
        <v>277</v>
      </c>
      <c r="W17" t="s">
        <v>278</v>
      </c>
      <c r="X17" t="s">
        <v>280</v>
      </c>
      <c r="Y17" t="s">
        <v>257</v>
      </c>
      <c r="Z17" t="s">
        <v>258</v>
      </c>
    </row>
    <row r="18" spans="2:26" x14ac:dyDescent="0.25">
      <c r="G18" s="426">
        <v>0.96899999999999997</v>
      </c>
      <c r="H18" s="272" t="s">
        <v>14</v>
      </c>
      <c r="I18" s="311">
        <f>20*LOG10(B4/D4)</f>
        <v>8.0993157139380152</v>
      </c>
      <c r="J18" s="39">
        <f t="shared" ref="J18:K24" si="6">20*LOG10(C4/E4)</f>
        <v>8.227583324548398</v>
      </c>
      <c r="K18" s="39">
        <f t="shared" si="6"/>
        <v>7.5048886647813875</v>
      </c>
      <c r="L18" s="70"/>
      <c r="M18" s="45">
        <f>AVERAGE(I18:L18)</f>
        <v>7.9439292344226002</v>
      </c>
      <c r="O18" s="45">
        <v>1.1007204091938414</v>
      </c>
      <c r="P18" s="45">
        <v>0.96803365718494117</v>
      </c>
      <c r="Q18" s="45">
        <v>1.3124671946902164</v>
      </c>
      <c r="R18" s="45">
        <v>1.315414796114323</v>
      </c>
      <c r="S18" s="45">
        <f>STDEV(O18:R18)</f>
        <v>0.17025788305251854</v>
      </c>
      <c r="T18" s="45">
        <f>S18^2</f>
        <v>2.8987746741525083E-2</v>
      </c>
      <c r="U18" s="286">
        <v>4</v>
      </c>
      <c r="V18" s="286">
        <v>7</v>
      </c>
      <c r="W18">
        <f>U18*V18</f>
        <v>28</v>
      </c>
      <c r="X18" s="45">
        <f>STDEV(M18:M24)</f>
        <v>0.39829363044126492</v>
      </c>
      <c r="Y18" s="52">
        <f>(U18*(U18-1)/W18/(W18-1)*SUM(T18:T24)+(V18-1)/V18/(W18-1)*X18^2)^0.5</f>
        <v>9.0596520521335003E-2</v>
      </c>
      <c r="Z18" s="52">
        <f>Y18/M27</f>
        <v>1.1531935755917556E-2</v>
      </c>
    </row>
    <row r="19" spans="2:26" x14ac:dyDescent="0.25">
      <c r="G19" s="427">
        <v>0.93400000000000005</v>
      </c>
      <c r="H19" s="13"/>
      <c r="I19" s="311">
        <f>20*LOG10(B5/D5)</f>
        <v>8.4617652777804686</v>
      </c>
      <c r="J19" s="39">
        <f t="shared" si="6"/>
        <v>7.5161835879890759</v>
      </c>
      <c r="K19" s="39">
        <f t="shared" si="6"/>
        <v>7.1233572258982232</v>
      </c>
      <c r="L19" s="70"/>
      <c r="M19" s="45">
        <f t="shared" ref="M19:M24" si="7">AVERAGE(I19:L19)</f>
        <v>7.7004353638892553</v>
      </c>
      <c r="O19" s="45">
        <v>1.0893257050545559</v>
      </c>
      <c r="P19" s="45">
        <v>0.96305478359502694</v>
      </c>
      <c r="Q19" s="45">
        <v>1.3111160783579312</v>
      </c>
      <c r="R19" s="45">
        <v>1.27457528798766</v>
      </c>
      <c r="S19" s="45">
        <f t="shared" ref="S19:S24" si="8">STDEV(O19:R19)</f>
        <v>0.16303875873626097</v>
      </c>
      <c r="T19" s="45">
        <f t="shared" ref="T19:T24" si="9">S19^2</f>
        <v>2.6581636850260715E-2</v>
      </c>
    </row>
    <row r="20" spans="2:26" x14ac:dyDescent="0.25">
      <c r="G20" s="427">
        <v>0.73</v>
      </c>
      <c r="H20" s="13"/>
      <c r="I20" s="311">
        <f t="shared" ref="I20:I21" si="10">20*LOG10(B6/D6)</f>
        <v>8.0972849612181665</v>
      </c>
      <c r="J20" s="39">
        <f t="shared" si="6"/>
        <v>8.400550772697521</v>
      </c>
      <c r="K20" s="39">
        <f t="shared" si="6"/>
        <v>7.8241325202613847</v>
      </c>
      <c r="L20" s="70"/>
      <c r="M20" s="45">
        <f t="shared" si="7"/>
        <v>8.107322751392358</v>
      </c>
      <c r="O20" s="45">
        <v>1.1209583281181872</v>
      </c>
      <c r="P20" s="45">
        <v>1.0008226988205851</v>
      </c>
      <c r="Q20" s="45">
        <v>1.2828379772705325</v>
      </c>
      <c r="R20" s="45">
        <v>1.3331018450648746</v>
      </c>
      <c r="S20" s="45">
        <f t="shared" si="8"/>
        <v>0.15223637506977117</v>
      </c>
      <c r="T20" s="45">
        <f t="shared" si="9"/>
        <v>2.3175913894384045E-2</v>
      </c>
    </row>
    <row r="21" spans="2:26" x14ac:dyDescent="0.25">
      <c r="G21" s="427">
        <v>0.91600000000000004</v>
      </c>
      <c r="H21" s="13"/>
      <c r="I21" s="311">
        <f t="shared" si="10"/>
        <v>7.8286178751961044</v>
      </c>
      <c r="J21" s="39">
        <f t="shared" si="6"/>
        <v>9.2622108055369541</v>
      </c>
      <c r="K21" s="39">
        <f t="shared" si="6"/>
        <v>8.353472664827974</v>
      </c>
      <c r="L21" s="70"/>
      <c r="M21" s="45">
        <f t="shared" si="7"/>
        <v>8.481433781853676</v>
      </c>
      <c r="O21" s="45">
        <v>1.0954179797128276</v>
      </c>
      <c r="P21" s="45">
        <v>0.94061682830189575</v>
      </c>
      <c r="Q21" s="45">
        <v>1.285412130994563</v>
      </c>
      <c r="R21" s="45">
        <v>1.3214705168894658</v>
      </c>
      <c r="S21" s="45">
        <f t="shared" si="8"/>
        <v>0.17710506853899921</v>
      </c>
      <c r="T21" s="45">
        <f t="shared" si="9"/>
        <v>3.1366205302203611E-2</v>
      </c>
    </row>
    <row r="22" spans="2:26" x14ac:dyDescent="0.25">
      <c r="G22" s="427">
        <v>0.83899999999999997</v>
      </c>
      <c r="H22" s="13"/>
      <c r="I22" s="311">
        <f>20*LOG10(B8/D8)</f>
        <v>8.9762268671656553</v>
      </c>
      <c r="J22" s="39">
        <f t="shared" si="6"/>
        <v>8.3189529791157284</v>
      </c>
      <c r="K22" s="39">
        <f t="shared" si="6"/>
        <v>4.3391441472219405</v>
      </c>
      <c r="L22" s="70"/>
      <c r="M22" s="45">
        <f t="shared" si="7"/>
        <v>7.2114413311677756</v>
      </c>
      <c r="O22" s="45">
        <v>1.0977004977175311</v>
      </c>
      <c r="P22" s="45">
        <v>0.96457179170830365</v>
      </c>
      <c r="Q22" s="45">
        <v>1.3132969270066353</v>
      </c>
      <c r="R22" s="45">
        <v>1.2482019421677284</v>
      </c>
      <c r="S22" s="45">
        <f t="shared" si="8"/>
        <v>0.15629789846026673</v>
      </c>
      <c r="T22" s="45">
        <f t="shared" si="9"/>
        <v>2.4429033063095851E-2</v>
      </c>
    </row>
    <row r="23" spans="2:26" x14ac:dyDescent="0.25">
      <c r="G23" s="427">
        <v>0.99199999999999999</v>
      </c>
      <c r="H23" s="13"/>
      <c r="I23" s="311">
        <f>20*LOG10(B9/D9)</f>
        <v>8.116661448382521</v>
      </c>
      <c r="J23" s="39">
        <f t="shared" si="6"/>
        <v>8.2711894858092236</v>
      </c>
      <c r="K23" s="39">
        <f t="shared" si="6"/>
        <v>6.5282345370587658</v>
      </c>
      <c r="L23" s="70"/>
      <c r="M23" s="45">
        <f t="shared" si="7"/>
        <v>7.6386951570835038</v>
      </c>
      <c r="O23" s="45">
        <v>1.0903631943524135</v>
      </c>
      <c r="P23" s="45">
        <v>0.95850178855718027</v>
      </c>
      <c r="Q23" s="45">
        <v>1.3262748535207214</v>
      </c>
      <c r="R23" s="45">
        <v>1.3403090557990089</v>
      </c>
      <c r="S23" s="45">
        <f t="shared" si="8"/>
        <v>0.18635661386820113</v>
      </c>
      <c r="T23" s="45">
        <f t="shared" si="9"/>
        <v>3.4728787532421812E-2</v>
      </c>
    </row>
    <row r="24" spans="2:26" ht="15.75" thickBot="1" x14ac:dyDescent="0.3">
      <c r="G24" s="428">
        <v>0.69799999999999995</v>
      </c>
      <c r="H24" s="13"/>
      <c r="I24" s="311">
        <f>20*LOG10(B10/D10)</f>
        <v>7.4100352065019592</v>
      </c>
      <c r="J24" s="39">
        <f t="shared" si="6"/>
        <v>8.7925888885464971</v>
      </c>
      <c r="K24" s="39">
        <f t="shared" si="6"/>
        <v>7.5265771931872063</v>
      </c>
      <c r="L24" s="70"/>
      <c r="M24" s="45">
        <f t="shared" si="7"/>
        <v>7.9097337627452218</v>
      </c>
      <c r="O24" s="45">
        <v>1.0964442569935755</v>
      </c>
      <c r="P24" s="45">
        <v>0.96348772686021278</v>
      </c>
      <c r="Q24" s="45">
        <v>1.3093957862996635</v>
      </c>
      <c r="R24" s="45">
        <v>1.3255387957943097</v>
      </c>
      <c r="S24" s="45">
        <f t="shared" si="8"/>
        <v>0.17476271038760394</v>
      </c>
      <c r="T24" s="45">
        <f t="shared" si="9"/>
        <v>3.0542004942021528E-2</v>
      </c>
    </row>
    <row r="25" spans="2:26" ht="15.75" thickBot="1" x14ac:dyDescent="0.3">
      <c r="E25" t="s">
        <v>252</v>
      </c>
      <c r="H25" s="13"/>
      <c r="I25" s="451"/>
      <c r="J25" s="13"/>
      <c r="K25" s="13"/>
      <c r="L25" s="30"/>
      <c r="M25" s="446">
        <f>STDEV(M18:M24)/7^0.5</f>
        <v>0.15054084213266458</v>
      </c>
      <c r="N25" s="447" t="s">
        <v>257</v>
      </c>
      <c r="O25" s="446">
        <f>STDEV(O18:O24)/7^0.5</f>
        <v>4.0052164342387004E-3</v>
      </c>
      <c r="P25" s="446">
        <f t="shared" ref="P25:R25" si="11">STDEV(P18:P24)/7^0.5</f>
        <v>6.7842604230892159E-3</v>
      </c>
      <c r="Q25" s="446">
        <f t="shared" si="11"/>
        <v>5.9840647841409673E-3</v>
      </c>
      <c r="R25" s="446">
        <f t="shared" si="11"/>
        <v>1.2826744160970412E-2</v>
      </c>
      <c r="S25" s="442"/>
    </row>
    <row r="26" spans="2:26" x14ac:dyDescent="0.25">
      <c r="E26" t="s">
        <v>253</v>
      </c>
      <c r="H26" s="13"/>
      <c r="I26" s="451"/>
      <c r="J26" s="13"/>
      <c r="K26" s="13"/>
      <c r="L26" s="30"/>
      <c r="M26" s="219">
        <f>M25/$M$27</f>
        <v>1.9162185370096962E-2</v>
      </c>
      <c r="N26" t="s">
        <v>258</v>
      </c>
      <c r="O26" s="219">
        <f>O25/$M$27</f>
        <v>5.0981978493654047E-4</v>
      </c>
      <c r="P26" s="219">
        <f t="shared" ref="P26:R26" si="12">P25/$M$27</f>
        <v>8.6356136968919039E-4</v>
      </c>
      <c r="Q26" s="219">
        <f t="shared" si="12"/>
        <v>7.6170530891096766E-4</v>
      </c>
      <c r="R26" s="219">
        <f t="shared" si="12"/>
        <v>1.6327027657432795E-3</v>
      </c>
      <c r="S26" s="219"/>
    </row>
    <row r="27" spans="2:26" x14ac:dyDescent="0.25">
      <c r="E27" t="s">
        <v>254</v>
      </c>
      <c r="H27" s="13"/>
      <c r="I27" s="451"/>
      <c r="J27" s="13"/>
      <c r="K27" s="13"/>
      <c r="L27" s="30"/>
      <c r="M27" s="52">
        <f>AVERAGE(M18:M24)</f>
        <v>7.8561416260791983</v>
      </c>
      <c r="N27" s="272" t="s">
        <v>286</v>
      </c>
    </row>
    <row r="28" spans="2:26" ht="15.75" thickBot="1" x14ac:dyDescent="0.3">
      <c r="H28" s="31"/>
      <c r="I28" s="452"/>
      <c r="J28" s="31"/>
      <c r="K28" s="31"/>
      <c r="L28" s="33"/>
    </row>
    <row r="29" spans="2:26" ht="15.75" thickBot="1" x14ac:dyDescent="0.3">
      <c r="H29" s="1" t="s">
        <v>158</v>
      </c>
      <c r="I29" s="312">
        <f>AVERAGE(I18:I28)</f>
        <v>8.1414153357404135</v>
      </c>
      <c r="J29" s="280">
        <f t="shared" ref="J29:K29" si="13">AVERAGE(J18:J28)</f>
        <v>8.3984656920347707</v>
      </c>
      <c r="K29" s="278">
        <f t="shared" si="13"/>
        <v>7.0285438504624125</v>
      </c>
      <c r="M29" s="341">
        <f>AVERAGE(I29:K29)</f>
        <v>7.8561416260791992</v>
      </c>
      <c r="P29" s="45">
        <f>N16</f>
        <v>3.7804428304988016</v>
      </c>
    </row>
    <row r="30" spans="2:26" ht="15.75" thickBot="1" x14ac:dyDescent="0.3">
      <c r="H30" s="41" t="s">
        <v>165</v>
      </c>
      <c r="I30" s="453">
        <f>I29/2</f>
        <v>4.0707076678702068</v>
      </c>
      <c r="J30" s="281">
        <f t="shared" ref="J30:K30" si="14">J29/2</f>
        <v>4.1992328460173853</v>
      </c>
      <c r="K30" s="274">
        <f t="shared" si="14"/>
        <v>3.5142719252312062</v>
      </c>
      <c r="L30" s="249"/>
      <c r="M30" s="331">
        <f>AVERAGE(H30:L30)</f>
        <v>3.9280708130395996</v>
      </c>
      <c r="N30" s="45" t="s">
        <v>204</v>
      </c>
      <c r="P30" s="45">
        <f>M30</f>
        <v>3.9280708130395996</v>
      </c>
    </row>
    <row r="31" spans="2:26" x14ac:dyDescent="0.25">
      <c r="H31" s="271" t="s">
        <v>160</v>
      </c>
      <c r="I31" s="269" t="s">
        <v>166</v>
      </c>
      <c r="J31" s="279" t="s">
        <v>142</v>
      </c>
      <c r="K31" s="270" t="s">
        <v>146</v>
      </c>
      <c r="P31" s="45">
        <f>L44</f>
        <v>3.9280708130395992</v>
      </c>
    </row>
    <row r="32" spans="2:26" ht="15.75" thickBot="1" x14ac:dyDescent="0.3">
      <c r="H32" s="272" t="s">
        <v>14</v>
      </c>
      <c r="I32" s="69">
        <f>20*LOG10(B4/E4)</f>
        <v>12.523873420893635</v>
      </c>
      <c r="J32" s="39">
        <f t="shared" ref="J32:J38" si="15">20*LOG10(C4/F4)</f>
        <v>11.307914282374165</v>
      </c>
      <c r="K32" s="70"/>
      <c r="P32" s="45">
        <f>K58</f>
        <v>3.7924897965507056</v>
      </c>
    </row>
    <row r="33" spans="8:17" ht="15.75" thickBot="1" x14ac:dyDescent="0.3">
      <c r="H33" s="13"/>
      <c r="I33" s="69">
        <f t="shared" ref="I33:I38" si="16">20*LOG10(B5/E5)</f>
        <v>10.905038928851026</v>
      </c>
      <c r="J33" s="39">
        <f t="shared" si="15"/>
        <v>12.196267162816746</v>
      </c>
      <c r="K33" s="70"/>
      <c r="P33" s="432">
        <f>AVERAGE(P29:P32)</f>
        <v>3.8572685632821764</v>
      </c>
      <c r="Q33" t="s">
        <v>275</v>
      </c>
    </row>
    <row r="34" spans="8:17" x14ac:dyDescent="0.25">
      <c r="H34" s="13"/>
      <c r="I34" s="69">
        <f t="shared" si="16"/>
        <v>12.304663599876696</v>
      </c>
      <c r="J34" s="39">
        <f t="shared" si="15"/>
        <v>12.017304654300379</v>
      </c>
      <c r="K34" s="70"/>
    </row>
    <row r="35" spans="8:17" x14ac:dyDescent="0.25">
      <c r="H35" s="13"/>
      <c r="I35" s="69">
        <f t="shared" si="16"/>
        <v>13.49751429245347</v>
      </c>
      <c r="J35" s="39">
        <f t="shared" si="15"/>
        <v>11.946787053107562</v>
      </c>
      <c r="K35" s="70"/>
    </row>
    <row r="36" spans="8:17" x14ac:dyDescent="0.25">
      <c r="H36" s="13"/>
      <c r="I36" s="69">
        <f t="shared" si="16"/>
        <v>12.519159931420587</v>
      </c>
      <c r="J36" s="39">
        <f t="shared" si="15"/>
        <v>9.1151640620827354</v>
      </c>
      <c r="K36" s="70"/>
    </row>
    <row r="37" spans="8:17" x14ac:dyDescent="0.25">
      <c r="H37" s="13"/>
      <c r="I37" s="69">
        <f t="shared" si="16"/>
        <v>12.267604207519154</v>
      </c>
      <c r="J37" s="39">
        <f t="shared" si="15"/>
        <v>10.648481263731359</v>
      </c>
      <c r="K37" s="70"/>
    </row>
    <row r="38" spans="8:17" x14ac:dyDescent="0.25">
      <c r="H38" s="13"/>
      <c r="I38" s="69">
        <f t="shared" si="16"/>
        <v>12.716324074450894</v>
      </c>
      <c r="J38" s="39">
        <f t="shared" si="15"/>
        <v>11.012877213784771</v>
      </c>
      <c r="K38" s="70"/>
    </row>
    <row r="39" spans="8:17" x14ac:dyDescent="0.25">
      <c r="H39" s="13"/>
      <c r="I39" s="36"/>
      <c r="J39" s="13"/>
      <c r="K39" s="30"/>
    </row>
    <row r="40" spans="8:17" x14ac:dyDescent="0.25">
      <c r="H40" s="13"/>
      <c r="I40" s="36"/>
      <c r="J40" s="13"/>
      <c r="K40" s="30"/>
    </row>
    <row r="41" spans="8:17" x14ac:dyDescent="0.25">
      <c r="H41" s="13"/>
      <c r="I41" s="36"/>
      <c r="J41" s="13"/>
      <c r="K41" s="30"/>
    </row>
    <row r="42" spans="8:17" x14ac:dyDescent="0.25">
      <c r="H42" s="31"/>
      <c r="I42" s="42"/>
      <c r="J42" s="31"/>
      <c r="K42" s="33"/>
    </row>
    <row r="43" spans="8:17" ht="15.75" thickBot="1" x14ac:dyDescent="0.3">
      <c r="H43" s="1" t="s">
        <v>158</v>
      </c>
      <c r="I43" s="268">
        <f>AVERAGE(I32:I42)</f>
        <v>12.390596922209353</v>
      </c>
      <c r="J43" s="280">
        <f t="shared" ref="J43" si="17">AVERAGE(J32:J42)</f>
        <v>11.177827956028244</v>
      </c>
      <c r="K43" s="73"/>
    </row>
    <row r="44" spans="8:17" ht="15.75" thickBot="1" x14ac:dyDescent="0.3">
      <c r="H44" s="41" t="s">
        <v>165</v>
      </c>
      <c r="I44" s="273">
        <f>I43/3</f>
        <v>4.130198974069784</v>
      </c>
      <c r="J44" s="281">
        <f t="shared" ref="J44" si="18">J43/3</f>
        <v>3.7259426520094148</v>
      </c>
      <c r="K44" s="249"/>
      <c r="L44" s="331">
        <f>AVERAGE(G44:K44)</f>
        <v>3.9280708130395992</v>
      </c>
      <c r="M44" s="45" t="s">
        <v>204</v>
      </c>
    </row>
    <row r="45" spans="8:17" x14ac:dyDescent="0.25">
      <c r="H45" s="271" t="s">
        <v>160</v>
      </c>
      <c r="I45" s="279" t="s">
        <v>167</v>
      </c>
      <c r="J45" s="270" t="s">
        <v>143</v>
      </c>
    </row>
    <row r="46" spans="8:17" x14ac:dyDescent="0.25">
      <c r="H46" s="272" t="s">
        <v>14</v>
      </c>
      <c r="I46" s="39">
        <f>20*LOG10(B4/F4)</f>
        <v>15.604204378719402</v>
      </c>
      <c r="J46" s="70"/>
    </row>
    <row r="47" spans="8:17" x14ac:dyDescent="0.25">
      <c r="H47" s="13"/>
      <c r="I47" s="39">
        <f t="shared" ref="I47:I52" si="19">20*LOG10(B5/F5)</f>
        <v>15.585122503678692</v>
      </c>
      <c r="J47" s="70"/>
    </row>
    <row r="48" spans="8:17" x14ac:dyDescent="0.25">
      <c r="H48" s="13"/>
      <c r="I48" s="39">
        <f t="shared" si="19"/>
        <v>15.921417481479551</v>
      </c>
      <c r="J48" s="70"/>
    </row>
    <row r="49" spans="8:12" x14ac:dyDescent="0.25">
      <c r="H49" s="13"/>
      <c r="I49" s="39">
        <f t="shared" si="19"/>
        <v>16.182090540024078</v>
      </c>
      <c r="J49" s="70"/>
    </row>
    <row r="50" spans="8:12" x14ac:dyDescent="0.25">
      <c r="H50" s="13"/>
      <c r="I50" s="39">
        <f t="shared" si="19"/>
        <v>13.315371014387596</v>
      </c>
      <c r="J50" s="70"/>
    </row>
    <row r="51" spans="8:12" x14ac:dyDescent="0.25">
      <c r="H51" s="13"/>
      <c r="I51" s="39">
        <f t="shared" si="19"/>
        <v>14.644895985441286</v>
      </c>
      <c r="J51" s="70"/>
    </row>
    <row r="52" spans="8:12" x14ac:dyDescent="0.25">
      <c r="H52" s="13"/>
      <c r="I52" s="39">
        <f t="shared" si="19"/>
        <v>14.936612399689164</v>
      </c>
      <c r="J52" s="70"/>
    </row>
    <row r="53" spans="8:12" x14ac:dyDescent="0.25">
      <c r="H53" s="13"/>
      <c r="I53" s="13"/>
      <c r="J53" s="30"/>
    </row>
    <row r="54" spans="8:12" x14ac:dyDescent="0.25">
      <c r="H54" s="13"/>
      <c r="I54" s="13"/>
      <c r="J54" s="30"/>
    </row>
    <row r="55" spans="8:12" x14ac:dyDescent="0.25">
      <c r="H55" s="13"/>
      <c r="I55" s="13"/>
      <c r="J55" s="30"/>
    </row>
    <row r="56" spans="8:12" x14ac:dyDescent="0.25">
      <c r="H56" s="31"/>
      <c r="I56" s="31"/>
      <c r="J56" s="33"/>
    </row>
    <row r="57" spans="8:12" ht="15.75" thickBot="1" x14ac:dyDescent="0.3">
      <c r="H57" s="1" t="s">
        <v>158</v>
      </c>
      <c r="I57" s="280">
        <f>AVERAGE(I46:I56)</f>
        <v>15.169959186202822</v>
      </c>
      <c r="J57" s="275"/>
    </row>
    <row r="58" spans="8:12" ht="15.75" thickBot="1" x14ac:dyDescent="0.3">
      <c r="H58" s="41" t="s">
        <v>165</v>
      </c>
      <c r="I58" s="281">
        <f>I57/4</f>
        <v>3.7924897965507056</v>
      </c>
      <c r="J58" s="276"/>
      <c r="K58" s="331">
        <f>AVERAGE(F58:J58)</f>
        <v>3.7924897965507056</v>
      </c>
      <c r="L58" s="45" t="s">
        <v>204</v>
      </c>
    </row>
    <row r="59" spans="8:12" x14ac:dyDescent="0.25">
      <c r="H59" s="271" t="s">
        <v>160</v>
      </c>
      <c r="I59" s="279" t="s">
        <v>223</v>
      </c>
    </row>
    <row r="60" spans="8:12" x14ac:dyDescent="0.25">
      <c r="H60" s="272" t="s">
        <v>14</v>
      </c>
      <c r="I60" s="39" t="e">
        <f>20*LOG10(B4/G4)</f>
        <v>#DIV/0!</v>
      </c>
    </row>
    <row r="61" spans="8:12" x14ac:dyDescent="0.25">
      <c r="H61" s="13"/>
      <c r="I61" s="39" t="e">
        <f t="shared" ref="I61:I66" si="20">20*LOG10(B5/G5)</f>
        <v>#DIV/0!</v>
      </c>
    </row>
    <row r="62" spans="8:12" x14ac:dyDescent="0.25">
      <c r="H62" s="13"/>
      <c r="I62" s="39" t="e">
        <f t="shared" si="20"/>
        <v>#DIV/0!</v>
      </c>
    </row>
    <row r="63" spans="8:12" x14ac:dyDescent="0.25">
      <c r="H63" s="13"/>
      <c r="I63" s="39" t="e">
        <f t="shared" si="20"/>
        <v>#DIV/0!</v>
      </c>
    </row>
    <row r="64" spans="8:12" x14ac:dyDescent="0.25">
      <c r="H64" s="13"/>
      <c r="I64" s="39" t="e">
        <f t="shared" si="20"/>
        <v>#DIV/0!</v>
      </c>
    </row>
    <row r="65" spans="8:11" x14ac:dyDescent="0.25">
      <c r="H65" s="13"/>
      <c r="I65" s="39" t="e">
        <f t="shared" si="20"/>
        <v>#DIV/0!</v>
      </c>
    </row>
    <row r="66" spans="8:11" x14ac:dyDescent="0.25">
      <c r="H66" s="13"/>
      <c r="I66" s="39" t="e">
        <f t="shared" si="20"/>
        <v>#DIV/0!</v>
      </c>
    </row>
    <row r="67" spans="8:11" x14ac:dyDescent="0.25">
      <c r="H67" s="13"/>
      <c r="I67" s="13"/>
    </row>
    <row r="68" spans="8:11" x14ac:dyDescent="0.25">
      <c r="H68" s="13"/>
      <c r="I68" s="13"/>
    </row>
    <row r="69" spans="8:11" x14ac:dyDescent="0.25">
      <c r="H69" s="13"/>
      <c r="I69" s="13"/>
    </row>
    <row r="70" spans="8:11" x14ac:dyDescent="0.25">
      <c r="H70" s="31"/>
      <c r="I70" s="31"/>
    </row>
    <row r="71" spans="8:11" ht="15.75" thickBot="1" x14ac:dyDescent="0.3">
      <c r="H71" s="1" t="s">
        <v>158</v>
      </c>
      <c r="I71" s="399" t="e">
        <f>AVERAGE(I60:I70)</f>
        <v>#DIV/0!</v>
      </c>
    </row>
    <row r="72" spans="8:11" ht="15.75" thickBot="1" x14ac:dyDescent="0.3">
      <c r="H72" s="41" t="s">
        <v>165</v>
      </c>
      <c r="I72" s="281" t="e">
        <f>I71/5</f>
        <v>#DIV/0!</v>
      </c>
      <c r="J72" s="331" t="e">
        <f>AVERAGE(E72:I72)</f>
        <v>#DIV/0!</v>
      </c>
      <c r="K72" s="45" t="s">
        <v>204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8"/>
  <sheetViews>
    <sheetView workbookViewId="0">
      <selection activeCell="L29" sqref="L29"/>
    </sheetView>
  </sheetViews>
  <sheetFormatPr defaultRowHeight="15" x14ac:dyDescent="0.25"/>
  <cols>
    <col min="1" max="1" width="23.42578125" customWidth="1"/>
    <col min="8" max="8" width="23.5703125" customWidth="1"/>
  </cols>
  <sheetData>
    <row r="1" spans="1:14" x14ac:dyDescent="0.25">
      <c r="A1" s="277" t="s">
        <v>1</v>
      </c>
      <c r="B1" s="231">
        <v>32</v>
      </c>
    </row>
    <row r="3" spans="1:14" x14ac:dyDescent="0.25">
      <c r="A3" s="1" t="s">
        <v>154</v>
      </c>
      <c r="B3" s="6">
        <v>1</v>
      </c>
      <c r="C3" s="1">
        <v>2</v>
      </c>
      <c r="D3" s="93">
        <v>3</v>
      </c>
      <c r="E3" s="1">
        <v>4</v>
      </c>
      <c r="F3" s="1">
        <v>5</v>
      </c>
      <c r="G3" s="7">
        <v>6</v>
      </c>
      <c r="H3" s="271" t="s">
        <v>160</v>
      </c>
      <c r="I3" s="310" t="s">
        <v>152</v>
      </c>
      <c r="J3" s="279" t="s">
        <v>139</v>
      </c>
      <c r="K3" s="269" t="s">
        <v>144</v>
      </c>
      <c r="L3" s="279" t="s">
        <v>145</v>
      </c>
      <c r="M3" s="270" t="s">
        <v>157</v>
      </c>
    </row>
    <row r="4" spans="1:14" x14ac:dyDescent="0.25">
      <c r="A4" s="13" t="s">
        <v>155</v>
      </c>
      <c r="B4" s="36">
        <v>4.5599999999999996</v>
      </c>
      <c r="C4" s="13">
        <v>1.214</v>
      </c>
      <c r="D4" s="36"/>
      <c r="E4" s="13"/>
      <c r="F4" s="13"/>
      <c r="G4" s="30"/>
      <c r="H4" s="272" t="s">
        <v>169</v>
      </c>
      <c r="I4" s="311">
        <f>20*LOG10(B4/C4)</f>
        <v>11.494923118503923</v>
      </c>
      <c r="J4" s="39"/>
      <c r="K4" s="69"/>
      <c r="L4" s="39"/>
      <c r="M4" s="70"/>
    </row>
    <row r="5" spans="1:14" x14ac:dyDescent="0.25">
      <c r="A5" s="13"/>
      <c r="B5" s="36">
        <v>4.492</v>
      </c>
      <c r="C5" s="13">
        <v>0.877</v>
      </c>
      <c r="D5" s="36"/>
      <c r="E5" s="13"/>
      <c r="F5" s="13"/>
      <c r="G5" s="30"/>
      <c r="H5" s="13"/>
      <c r="I5" s="311">
        <f t="shared" ref="I5:I14" si="0">20*LOG10(B5/C5)</f>
        <v>14.188803084467594</v>
      </c>
      <c r="J5" s="39"/>
      <c r="K5" s="69"/>
      <c r="L5" s="39"/>
      <c r="M5" s="70"/>
    </row>
    <row r="6" spans="1:14" x14ac:dyDescent="0.25">
      <c r="A6" s="13"/>
      <c r="B6" s="36">
        <v>4.3810000000000002</v>
      </c>
      <c r="C6" s="13">
        <v>1.1259999999999999</v>
      </c>
      <c r="D6" s="36"/>
      <c r="E6" s="13"/>
      <c r="F6" s="13"/>
      <c r="G6" s="30"/>
      <c r="H6" s="13"/>
      <c r="I6" s="311">
        <f t="shared" si="0"/>
        <v>11.80069725325696</v>
      </c>
      <c r="J6" s="39"/>
      <c r="K6" s="69"/>
      <c r="L6" s="39"/>
      <c r="M6" s="70"/>
    </row>
    <row r="7" spans="1:14" x14ac:dyDescent="0.25">
      <c r="A7" s="13"/>
      <c r="B7" s="36">
        <v>4.2649999999999997</v>
      </c>
      <c r="C7" s="13">
        <v>1.1279999999999999</v>
      </c>
      <c r="D7" s="36"/>
      <c r="E7" s="13"/>
      <c r="F7" s="13"/>
      <c r="G7" s="30"/>
      <c r="H7" s="13"/>
      <c r="I7" s="311">
        <f t="shared" si="0"/>
        <v>11.552198717124366</v>
      </c>
      <c r="J7" s="39"/>
      <c r="K7" s="69"/>
      <c r="L7" s="39"/>
      <c r="M7" s="70"/>
    </row>
    <row r="8" spans="1:14" x14ac:dyDescent="0.25">
      <c r="A8" s="13"/>
      <c r="B8" s="36">
        <v>4.1689999999999996</v>
      </c>
      <c r="C8" s="13">
        <v>1.3560000000000001</v>
      </c>
      <c r="D8" s="36"/>
      <c r="E8" s="13"/>
      <c r="F8" s="13"/>
      <c r="G8" s="30"/>
      <c r="H8" s="13"/>
      <c r="I8" s="311">
        <f t="shared" si="0"/>
        <v>9.7554441119050548</v>
      </c>
      <c r="J8" s="39"/>
      <c r="K8" s="69"/>
      <c r="L8" s="39"/>
      <c r="M8" s="70"/>
    </row>
    <row r="9" spans="1:14" x14ac:dyDescent="0.25">
      <c r="A9" s="13"/>
      <c r="B9" s="36">
        <v>3.395</v>
      </c>
      <c r="C9" s="13">
        <v>0.99399999999999999</v>
      </c>
      <c r="D9" s="36"/>
      <c r="E9" s="13"/>
      <c r="F9" s="13"/>
      <c r="G9" s="30"/>
      <c r="H9" s="13"/>
      <c r="I9" s="311">
        <f t="shared" si="0"/>
        <v>10.669067884384145</v>
      </c>
      <c r="J9" s="39"/>
      <c r="K9" s="69"/>
      <c r="L9" s="39"/>
      <c r="M9" s="70"/>
    </row>
    <row r="10" spans="1:14" x14ac:dyDescent="0.25">
      <c r="A10" s="13"/>
      <c r="B10" s="36">
        <v>4.3789999999999996</v>
      </c>
      <c r="C10" s="13">
        <v>0.95899999999999996</v>
      </c>
      <c r="D10" s="36"/>
      <c r="E10" s="13"/>
      <c r="F10" s="13"/>
      <c r="G10" s="30"/>
      <c r="H10" s="13"/>
      <c r="I10" s="311">
        <f t="shared" si="0"/>
        <v>13.191126760429237</v>
      </c>
      <c r="J10" s="39"/>
      <c r="K10" s="69"/>
      <c r="L10" s="39"/>
      <c r="M10" s="70"/>
    </row>
    <row r="11" spans="1:14" x14ac:dyDescent="0.25">
      <c r="A11" s="13"/>
      <c r="B11" s="200">
        <v>4.4020000000000001</v>
      </c>
      <c r="C11" s="13">
        <v>1.0569999999999999</v>
      </c>
      <c r="D11" s="36"/>
      <c r="E11" s="13"/>
      <c r="F11" s="13"/>
      <c r="G11" s="30"/>
      <c r="H11" s="13"/>
      <c r="I11" s="311">
        <f t="shared" si="0"/>
        <v>12.39150101819806</v>
      </c>
      <c r="J11" s="13"/>
      <c r="K11" s="36"/>
      <c r="L11" s="13"/>
      <c r="M11" s="30"/>
    </row>
    <row r="12" spans="1:14" x14ac:dyDescent="0.25">
      <c r="A12" s="13"/>
      <c r="B12" s="200">
        <v>4.2939999999999996</v>
      </c>
      <c r="C12" s="13">
        <v>1.222</v>
      </c>
      <c r="D12" s="36"/>
      <c r="E12" s="13"/>
      <c r="F12" s="13"/>
      <c r="G12" s="30"/>
      <c r="H12" s="13"/>
      <c r="I12" s="311">
        <f t="shared" si="0"/>
        <v>10.915816683873889</v>
      </c>
      <c r="J12" s="13"/>
      <c r="K12" s="36"/>
      <c r="L12" s="13"/>
      <c r="M12" s="30"/>
    </row>
    <row r="13" spans="1:14" x14ac:dyDescent="0.25">
      <c r="A13" s="13"/>
      <c r="B13" s="200">
        <v>4.2190000000000003</v>
      </c>
      <c r="C13" s="13">
        <v>1.0289999999999999</v>
      </c>
      <c r="D13" s="36"/>
      <c r="E13" s="13"/>
      <c r="F13" s="13"/>
      <c r="G13" s="30"/>
      <c r="H13" s="13"/>
      <c r="I13" s="311">
        <f t="shared" si="0"/>
        <v>12.255883012388963</v>
      </c>
      <c r="J13" s="13"/>
      <c r="K13" s="36"/>
      <c r="L13" s="13"/>
      <c r="M13" s="30"/>
    </row>
    <row r="14" spans="1:14" x14ac:dyDescent="0.25">
      <c r="A14" s="31"/>
      <c r="B14" s="42">
        <v>4.1159999999999997</v>
      </c>
      <c r="C14" s="31">
        <v>0.99299999999999999</v>
      </c>
      <c r="D14" s="42"/>
      <c r="E14" s="31"/>
      <c r="F14" s="31"/>
      <c r="G14" s="33"/>
      <c r="H14" s="31"/>
      <c r="I14" s="312">
        <f t="shared" si="0"/>
        <v>12.350522351900281</v>
      </c>
      <c r="J14" s="31"/>
      <c r="K14" s="42"/>
      <c r="L14" s="31"/>
      <c r="M14" s="33"/>
    </row>
    <row r="15" spans="1:14" x14ac:dyDescent="0.25">
      <c r="A15" s="31" t="s">
        <v>156</v>
      </c>
      <c r="B15" s="72">
        <f>AVERAGE(B4:B14)</f>
        <v>4.242909090909091</v>
      </c>
      <c r="C15" s="278">
        <f>AVERAGE(C4:C14)</f>
        <v>1.0868181818181817</v>
      </c>
      <c r="D15" s="72"/>
      <c r="E15" s="278"/>
      <c r="F15" s="278"/>
      <c r="G15" s="73"/>
      <c r="H15" s="271" t="s">
        <v>158</v>
      </c>
      <c r="I15" s="268">
        <f>AVERAGE(I4:I14)</f>
        <v>11.869634908766587</v>
      </c>
      <c r="J15" s="280"/>
      <c r="K15" s="266"/>
      <c r="L15" s="278"/>
      <c r="M15" s="73"/>
      <c r="N15" t="s">
        <v>163</v>
      </c>
    </row>
    <row r="16" spans="1:14" x14ac:dyDescent="0.25">
      <c r="A16" s="1" t="s">
        <v>161</v>
      </c>
      <c r="B16" s="248">
        <f>AVERAGE(B4:B14)</f>
        <v>4.242909090909091</v>
      </c>
      <c r="C16" s="274">
        <f t="shared" ref="C16" si="1">AVERAGE(C4:C14)</f>
        <v>1.0868181818181817</v>
      </c>
      <c r="D16" s="248"/>
      <c r="E16" s="274"/>
      <c r="F16" s="274"/>
      <c r="G16" s="249"/>
      <c r="H16" t="s">
        <v>164</v>
      </c>
      <c r="I16" s="248">
        <f>20*LOG10(B16/C16)</f>
        <v>11.830136626517278</v>
      </c>
      <c r="J16" s="274"/>
      <c r="K16" s="248"/>
      <c r="L16" s="274"/>
      <c r="M16" s="249"/>
    </row>
    <row r="17" spans="2:13" x14ac:dyDescent="0.25">
      <c r="B17" s="93" t="s">
        <v>162</v>
      </c>
      <c r="C17" s="6"/>
      <c r="D17" s="6"/>
      <c r="E17" s="6"/>
      <c r="F17" s="6"/>
      <c r="G17" s="7"/>
      <c r="H17" s="285"/>
      <c r="I17" s="282"/>
      <c r="J17" s="282"/>
      <c r="K17" s="282"/>
      <c r="L17" s="282"/>
    </row>
    <row r="18" spans="2:13" x14ac:dyDescent="0.25">
      <c r="H18" s="283"/>
      <c r="I18" s="69"/>
      <c r="J18" s="69"/>
      <c r="K18" s="69"/>
      <c r="L18" s="69"/>
    </row>
    <row r="19" spans="2:13" x14ac:dyDescent="0.25">
      <c r="H19" s="36"/>
      <c r="I19" s="69"/>
      <c r="J19" s="69"/>
      <c r="K19" s="69"/>
      <c r="L19" s="69"/>
    </row>
    <row r="20" spans="2:13" x14ac:dyDescent="0.25">
      <c r="H20" s="36"/>
      <c r="I20" s="69"/>
      <c r="J20" s="69"/>
      <c r="K20" s="69"/>
      <c r="L20" s="69"/>
    </row>
    <row r="21" spans="2:13" x14ac:dyDescent="0.25">
      <c r="H21" s="36"/>
      <c r="I21" s="69"/>
      <c r="J21" s="69"/>
      <c r="K21" s="69"/>
      <c r="L21" s="69"/>
    </row>
    <row r="22" spans="2:13" x14ac:dyDescent="0.25">
      <c r="H22" s="36"/>
      <c r="I22" s="69"/>
      <c r="K22" s="69"/>
      <c r="L22" s="69"/>
    </row>
    <row r="23" spans="2:13" x14ac:dyDescent="0.25">
      <c r="H23" s="36"/>
      <c r="I23" s="69"/>
      <c r="K23" s="69"/>
      <c r="L23" s="69"/>
    </row>
    <row r="24" spans="2:13" x14ac:dyDescent="0.25">
      <c r="H24" s="36"/>
      <c r="I24" s="69"/>
      <c r="J24" s="69"/>
      <c r="K24" s="69"/>
      <c r="L24" s="69"/>
    </row>
    <row r="25" spans="2:13" x14ac:dyDescent="0.25">
      <c r="H25" s="36"/>
      <c r="I25" s="36"/>
      <c r="J25" s="36"/>
      <c r="K25" s="36"/>
      <c r="L25" s="36"/>
    </row>
    <row r="26" spans="2:13" x14ac:dyDescent="0.25">
      <c r="H26" s="36"/>
      <c r="I26" s="36"/>
      <c r="J26" s="36"/>
      <c r="K26" s="36"/>
      <c r="L26" s="36"/>
    </row>
    <row r="27" spans="2:13" x14ac:dyDescent="0.25">
      <c r="H27" s="36"/>
      <c r="I27" s="36"/>
      <c r="J27" s="36"/>
      <c r="K27" s="36"/>
      <c r="L27" s="36"/>
    </row>
    <row r="28" spans="2:13" x14ac:dyDescent="0.25">
      <c r="H28" s="36"/>
      <c r="I28" s="36"/>
      <c r="J28" s="36"/>
      <c r="K28" s="36"/>
      <c r="L28" s="36"/>
    </row>
    <row r="29" spans="2:13" x14ac:dyDescent="0.25">
      <c r="H29" s="36"/>
      <c r="I29" s="246"/>
      <c r="J29" s="246"/>
      <c r="K29" s="69"/>
      <c r="L29" s="69"/>
      <c r="M29" s="45"/>
    </row>
    <row r="30" spans="2:13" x14ac:dyDescent="0.25">
      <c r="H30" s="36"/>
      <c r="I30" s="246"/>
      <c r="J30" s="246"/>
      <c r="K30" s="69"/>
      <c r="L30" s="69"/>
    </row>
    <row r="31" spans="2:13" x14ac:dyDescent="0.25">
      <c r="H31" s="283"/>
      <c r="I31" s="284"/>
      <c r="J31" s="284"/>
      <c r="K31" s="284"/>
      <c r="L31" s="36"/>
    </row>
    <row r="32" spans="2:13" x14ac:dyDescent="0.25">
      <c r="H32" s="283"/>
      <c r="I32" s="69"/>
      <c r="J32" s="69"/>
      <c r="K32" s="69"/>
      <c r="L32" s="36"/>
    </row>
    <row r="33" spans="8:12" x14ac:dyDescent="0.25">
      <c r="H33" s="36"/>
      <c r="I33" s="69"/>
      <c r="J33" s="69"/>
      <c r="K33" s="69"/>
      <c r="L33" s="36"/>
    </row>
    <row r="34" spans="8:12" x14ac:dyDescent="0.25">
      <c r="H34" s="36"/>
      <c r="I34" s="69"/>
      <c r="J34" s="69"/>
      <c r="K34" s="69"/>
      <c r="L34" s="36"/>
    </row>
    <row r="35" spans="8:12" x14ac:dyDescent="0.25">
      <c r="H35" s="36"/>
      <c r="I35" s="69"/>
      <c r="J35" s="69"/>
      <c r="K35" s="69"/>
      <c r="L35" s="36"/>
    </row>
    <row r="36" spans="8:12" x14ac:dyDescent="0.25">
      <c r="H36" s="36"/>
      <c r="I36" s="69"/>
      <c r="J36" s="69"/>
      <c r="K36" s="69"/>
      <c r="L36" s="36"/>
    </row>
    <row r="37" spans="8:12" x14ac:dyDescent="0.25">
      <c r="H37" s="36"/>
      <c r="I37" s="69"/>
      <c r="J37" s="69"/>
      <c r="K37" s="69"/>
      <c r="L37" s="36"/>
    </row>
    <row r="38" spans="8:12" x14ac:dyDescent="0.25">
      <c r="H38" s="36"/>
      <c r="I38" s="69"/>
      <c r="J38" s="69"/>
      <c r="K38" s="69"/>
      <c r="L38" s="36"/>
    </row>
    <row r="39" spans="8:12" x14ac:dyDescent="0.25">
      <c r="H39" s="36"/>
      <c r="I39" s="36"/>
      <c r="J39" s="36"/>
      <c r="K39" s="36"/>
      <c r="L39" s="36"/>
    </row>
    <row r="40" spans="8:12" x14ac:dyDescent="0.25">
      <c r="H40" s="36"/>
      <c r="I40" s="36"/>
      <c r="J40" s="36"/>
      <c r="K40" s="36"/>
      <c r="L40" s="36"/>
    </row>
    <row r="41" spans="8:12" x14ac:dyDescent="0.25">
      <c r="H41" s="36"/>
      <c r="I41" s="36"/>
      <c r="J41" s="36"/>
      <c r="K41" s="36"/>
      <c r="L41" s="36"/>
    </row>
    <row r="42" spans="8:12" x14ac:dyDescent="0.25">
      <c r="H42" s="36"/>
      <c r="I42" s="36"/>
      <c r="J42" s="36"/>
      <c r="K42" s="36"/>
      <c r="L42" s="36"/>
    </row>
    <row r="43" spans="8:12" x14ac:dyDescent="0.25">
      <c r="H43" s="36"/>
      <c r="I43" s="246"/>
      <c r="J43" s="246"/>
      <c r="K43" s="69"/>
      <c r="L43" s="36"/>
    </row>
    <row r="44" spans="8:12" x14ac:dyDescent="0.25">
      <c r="H44" s="36"/>
      <c r="I44" s="246"/>
      <c r="J44" s="246"/>
      <c r="K44" s="69"/>
      <c r="L44" s="36"/>
    </row>
    <row r="45" spans="8:12" x14ac:dyDescent="0.25">
      <c r="H45" s="283"/>
      <c r="I45" s="284"/>
      <c r="J45" s="284"/>
      <c r="K45" s="36"/>
      <c r="L45" s="36"/>
    </row>
    <row r="46" spans="8:12" x14ac:dyDescent="0.25">
      <c r="H46" s="283"/>
      <c r="I46" s="69"/>
      <c r="J46" s="69"/>
      <c r="K46" s="36"/>
      <c r="L46" s="36"/>
    </row>
    <row r="47" spans="8:12" x14ac:dyDescent="0.25">
      <c r="H47" s="36"/>
      <c r="I47" s="69"/>
      <c r="J47" s="69"/>
      <c r="K47" s="36"/>
      <c r="L47" s="36"/>
    </row>
    <row r="48" spans="8:12" x14ac:dyDescent="0.25">
      <c r="H48" s="36"/>
      <c r="I48" s="69"/>
      <c r="J48" s="69"/>
      <c r="K48" s="36"/>
      <c r="L48" s="36"/>
    </row>
    <row r="49" spans="8:12" x14ac:dyDescent="0.25">
      <c r="H49" s="36"/>
      <c r="I49" s="69"/>
      <c r="J49" s="69"/>
      <c r="K49" s="36"/>
      <c r="L49" s="36"/>
    </row>
    <row r="50" spans="8:12" x14ac:dyDescent="0.25">
      <c r="H50" s="36"/>
      <c r="I50" s="69"/>
      <c r="J50" s="69"/>
      <c r="K50" s="36"/>
      <c r="L50" s="36"/>
    </row>
    <row r="51" spans="8:12" x14ac:dyDescent="0.25">
      <c r="H51" s="36"/>
      <c r="I51" s="69"/>
      <c r="J51" s="69"/>
      <c r="K51" s="36"/>
      <c r="L51" s="36"/>
    </row>
    <row r="52" spans="8:12" x14ac:dyDescent="0.25">
      <c r="H52" s="36"/>
      <c r="I52" s="69"/>
      <c r="J52" s="69"/>
      <c r="K52" s="36"/>
      <c r="L52" s="36"/>
    </row>
    <row r="53" spans="8:12" x14ac:dyDescent="0.25">
      <c r="H53" s="36"/>
      <c r="I53" s="36"/>
      <c r="J53" s="36"/>
      <c r="K53" s="36"/>
      <c r="L53" s="36"/>
    </row>
    <row r="54" spans="8:12" x14ac:dyDescent="0.25">
      <c r="H54" s="36"/>
      <c r="I54" s="36"/>
      <c r="J54" s="36"/>
      <c r="K54" s="36"/>
      <c r="L54" s="36"/>
    </row>
    <row r="55" spans="8:12" x14ac:dyDescent="0.25">
      <c r="H55" s="36"/>
      <c r="I55" s="36"/>
      <c r="J55" s="36"/>
      <c r="K55" s="36"/>
      <c r="L55" s="36"/>
    </row>
    <row r="56" spans="8:12" x14ac:dyDescent="0.25">
      <c r="H56" s="36"/>
      <c r="I56" s="36"/>
      <c r="J56" s="36"/>
      <c r="K56" s="36"/>
      <c r="L56" s="36"/>
    </row>
    <row r="57" spans="8:12" x14ac:dyDescent="0.25">
      <c r="H57" s="36"/>
      <c r="I57" s="246"/>
      <c r="J57" s="246"/>
      <c r="K57" s="36"/>
      <c r="L57" s="36"/>
    </row>
    <row r="58" spans="8:12" x14ac:dyDescent="0.25">
      <c r="H58" s="36"/>
      <c r="I58" s="246"/>
      <c r="J58" s="246"/>
      <c r="K58" s="36"/>
      <c r="L58" s="3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0"/>
  <sheetViews>
    <sheetView workbookViewId="0">
      <selection activeCell="Q24" sqref="Q24"/>
    </sheetView>
  </sheetViews>
  <sheetFormatPr defaultRowHeight="15" x14ac:dyDescent="0.25"/>
  <cols>
    <col min="3" max="3" width="26.140625" customWidth="1"/>
    <col min="5" max="5" width="14.140625" customWidth="1"/>
    <col min="6" max="6" width="13.140625" customWidth="1"/>
    <col min="7" max="7" width="11.42578125" customWidth="1"/>
    <col min="8" max="8" width="14" customWidth="1"/>
    <col min="9" max="9" width="12.5703125" customWidth="1"/>
    <col min="10" max="10" width="16" customWidth="1"/>
    <col min="11" max="11" width="18.42578125" customWidth="1"/>
    <col min="12" max="12" width="14.42578125" customWidth="1"/>
    <col min="13" max="13" width="21.42578125" customWidth="1"/>
    <col min="14" max="14" width="15.85546875" customWidth="1"/>
    <col min="15" max="15" width="13.7109375" customWidth="1"/>
  </cols>
  <sheetData>
    <row r="1" spans="1:15" x14ac:dyDescent="0.25">
      <c r="A1" t="s">
        <v>224</v>
      </c>
    </row>
    <row r="2" spans="1:15" x14ac:dyDescent="0.25">
      <c r="A2" t="s">
        <v>225</v>
      </c>
    </row>
    <row r="3" spans="1:15" x14ac:dyDescent="0.25">
      <c r="A3" t="s">
        <v>226</v>
      </c>
    </row>
    <row r="4" spans="1:15" x14ac:dyDescent="0.25">
      <c r="A4" t="s">
        <v>227</v>
      </c>
    </row>
    <row r="5" spans="1:15" x14ac:dyDescent="0.25">
      <c r="A5" t="s">
        <v>228</v>
      </c>
    </row>
    <row r="6" spans="1:15" x14ac:dyDescent="0.25">
      <c r="A6" t="s">
        <v>229</v>
      </c>
    </row>
    <row r="7" spans="1:15" x14ac:dyDescent="0.25">
      <c r="J7" s="42"/>
      <c r="K7" s="42"/>
      <c r="L7" s="42"/>
    </row>
    <row r="8" spans="1:15" x14ac:dyDescent="0.25">
      <c r="J8" s="376" t="s">
        <v>230</v>
      </c>
      <c r="K8" s="9"/>
      <c r="L8" s="7"/>
      <c r="M8" s="400" t="s">
        <v>231</v>
      </c>
      <c r="N8" s="93"/>
      <c r="O8" s="7"/>
    </row>
    <row r="9" spans="1:15" x14ac:dyDescent="0.25">
      <c r="A9" s="30"/>
      <c r="B9" s="1"/>
      <c r="C9" s="1" t="s">
        <v>232</v>
      </c>
      <c r="D9" s="6"/>
      <c r="E9" s="6"/>
      <c r="F9" s="6"/>
      <c r="G9" s="6"/>
      <c r="H9" s="6"/>
      <c r="I9" s="6"/>
      <c r="J9" s="93"/>
      <c r="K9" s="6"/>
      <c r="L9" s="7"/>
      <c r="M9" s="401" t="s">
        <v>233</v>
      </c>
      <c r="N9" s="6"/>
      <c r="O9" s="30"/>
    </row>
    <row r="10" spans="1:15" x14ac:dyDescent="0.25">
      <c r="B10" s="41" t="s">
        <v>21</v>
      </c>
      <c r="C10" s="402" t="s">
        <v>234</v>
      </c>
      <c r="D10" s="31" t="s">
        <v>33</v>
      </c>
      <c r="E10" s="403" t="s">
        <v>235</v>
      </c>
      <c r="F10" s="404" t="s">
        <v>236</v>
      </c>
      <c r="G10" s="405" t="s">
        <v>237</v>
      </c>
      <c r="H10" s="404" t="s">
        <v>238</v>
      </c>
      <c r="I10" s="7" t="s">
        <v>239</v>
      </c>
      <c r="J10" s="406" t="s">
        <v>240</v>
      </c>
      <c r="K10" s="343" t="s">
        <v>241</v>
      </c>
      <c r="L10" s="403" t="s">
        <v>242</v>
      </c>
      <c r="M10" s="407" t="s">
        <v>243</v>
      </c>
      <c r="N10" s="343" t="s">
        <v>244</v>
      </c>
      <c r="O10" s="408" t="s">
        <v>242</v>
      </c>
    </row>
    <row r="11" spans="1:15" x14ac:dyDescent="0.25">
      <c r="B11" s="1">
        <v>0</v>
      </c>
      <c r="C11" s="1">
        <v>0</v>
      </c>
      <c r="D11" s="1"/>
      <c r="E11" s="1">
        <v>0</v>
      </c>
      <c r="F11" s="93"/>
      <c r="G11" s="6"/>
      <c r="H11" s="1"/>
      <c r="I11" s="6"/>
      <c r="J11" s="93"/>
      <c r="K11" s="1"/>
      <c r="L11" s="7">
        <v>0</v>
      </c>
      <c r="M11" s="93"/>
      <c r="N11" s="1"/>
      <c r="O11" s="7"/>
    </row>
    <row r="12" spans="1:15" x14ac:dyDescent="0.25">
      <c r="B12" s="4">
        <v>5</v>
      </c>
      <c r="C12" s="69">
        <v>0.57999999999999996</v>
      </c>
      <c r="D12" s="259">
        <v>9.9911600000000007</v>
      </c>
      <c r="E12" s="409">
        <f>C12/2/$D$12*1000</f>
        <v>29.025658682275129</v>
      </c>
      <c r="F12" s="4">
        <v>6389</v>
      </c>
      <c r="G12" s="410" t="s">
        <v>245</v>
      </c>
      <c r="H12" s="13">
        <v>6</v>
      </c>
      <c r="I12" s="411">
        <f>2*(H12-G12)*$D$12/1000</f>
        <v>9.9911600000000003E-2</v>
      </c>
      <c r="J12" s="35">
        <v>1.5958000000000001</v>
      </c>
      <c r="K12" s="412">
        <f>J12/I12</f>
        <v>15.972119353508502</v>
      </c>
      <c r="L12" s="413">
        <f>E12-K12</f>
        <v>13.053539328766627</v>
      </c>
      <c r="M12" s="325">
        <f>J12/(H12-G12)</f>
        <v>0.31916</v>
      </c>
      <c r="N12" s="39">
        <f>C12-M12</f>
        <v>0.26083999999999996</v>
      </c>
      <c r="O12" s="414">
        <f>N12/2/$D$12*1000</f>
        <v>13.053539328766627</v>
      </c>
    </row>
    <row r="13" spans="1:15" x14ac:dyDescent="0.25">
      <c r="B13" s="13">
        <v>10</v>
      </c>
      <c r="C13" s="69">
        <v>1.31</v>
      </c>
      <c r="D13" s="13"/>
      <c r="E13" s="409">
        <f>C13/2/$D$12*1000</f>
        <v>65.557953230655897</v>
      </c>
      <c r="F13" s="4">
        <v>6385</v>
      </c>
      <c r="G13" s="410" t="s">
        <v>245</v>
      </c>
      <c r="H13" s="13">
        <v>6</v>
      </c>
      <c r="I13" s="411">
        <f>2*(H13-G13)*$D$12/1000</f>
        <v>9.9911600000000003E-2</v>
      </c>
      <c r="J13" s="35">
        <v>0.91720000000000002</v>
      </c>
      <c r="K13" s="412">
        <f t="shared" ref="K13:K16" si="0">J13/I13</f>
        <v>9.1801152218561199</v>
      </c>
      <c r="L13" s="413">
        <f t="shared" ref="L13:L16" si="1">E13-K13</f>
        <v>56.377838008799777</v>
      </c>
      <c r="M13" s="325">
        <f t="shared" ref="M13:M16" si="2">J13/(H13-G13)</f>
        <v>0.18343999999999999</v>
      </c>
      <c r="N13" s="39">
        <f t="shared" ref="N13:N16" si="3">C13-M13</f>
        <v>1.12656</v>
      </c>
      <c r="O13" s="414">
        <f t="shared" ref="O13:O16" si="4">N13/2/$D$12*1000</f>
        <v>56.37783800879977</v>
      </c>
    </row>
    <row r="14" spans="1:15" x14ac:dyDescent="0.25">
      <c r="B14" s="13">
        <v>16</v>
      </c>
      <c r="C14" s="69">
        <v>2.59</v>
      </c>
      <c r="D14" s="13"/>
      <c r="E14" s="409">
        <f>C14/2/$D$12*1000</f>
        <v>129.61457928809065</v>
      </c>
      <c r="F14" s="4">
        <v>6382</v>
      </c>
      <c r="G14" s="410" t="s">
        <v>245</v>
      </c>
      <c r="H14" s="13">
        <v>6</v>
      </c>
      <c r="I14" s="411">
        <f>2*(H14-G14)*$D$12/1000</f>
        <v>9.9911600000000003E-2</v>
      </c>
      <c r="J14" s="35">
        <v>0.81499999999999995</v>
      </c>
      <c r="K14" s="412">
        <f t="shared" si="0"/>
        <v>8.1572109745014583</v>
      </c>
      <c r="L14" s="413">
        <f t="shared" si="1"/>
        <v>121.4573683135892</v>
      </c>
      <c r="M14" s="325">
        <f t="shared" si="2"/>
        <v>0.16299999999999998</v>
      </c>
      <c r="N14" s="39">
        <f t="shared" si="3"/>
        <v>2.427</v>
      </c>
      <c r="O14" s="414">
        <f t="shared" si="4"/>
        <v>121.4573683135892</v>
      </c>
    </row>
    <row r="15" spans="1:15" x14ac:dyDescent="0.25">
      <c r="B15" s="31">
        <v>20</v>
      </c>
      <c r="C15" s="72">
        <v>3.93</v>
      </c>
      <c r="D15" s="31"/>
      <c r="E15" s="415">
        <f>C15/2/$D$12*1000</f>
        <v>196.67385969196769</v>
      </c>
      <c r="F15" s="4">
        <v>6378</v>
      </c>
      <c r="G15" s="416" t="s">
        <v>245</v>
      </c>
      <c r="H15" s="31">
        <v>5</v>
      </c>
      <c r="I15" s="417">
        <f>2*(H15-G15)*$D$12/1000</f>
        <v>7.9929280000000005E-2</v>
      </c>
      <c r="J15" s="41">
        <v>0.58650000000000002</v>
      </c>
      <c r="K15" s="418">
        <f t="shared" si="0"/>
        <v>7.3377365591182606</v>
      </c>
      <c r="L15" s="419">
        <f t="shared" si="1"/>
        <v>189.33612313284942</v>
      </c>
      <c r="M15" s="395">
        <f t="shared" si="2"/>
        <v>0.14662500000000001</v>
      </c>
      <c r="N15" s="278">
        <f t="shared" si="3"/>
        <v>3.7833750000000004</v>
      </c>
      <c r="O15" s="420">
        <f t="shared" si="4"/>
        <v>189.33612313284945</v>
      </c>
    </row>
    <row r="16" spans="1:15" x14ac:dyDescent="0.25">
      <c r="B16" s="31">
        <v>32</v>
      </c>
      <c r="C16" s="72">
        <v>11.83</v>
      </c>
      <c r="D16" s="31"/>
      <c r="E16" s="415">
        <f>C16/2/$D$12*1000</f>
        <v>592.02334864019792</v>
      </c>
      <c r="F16" s="1">
        <v>6375</v>
      </c>
      <c r="G16" s="416" t="s">
        <v>245</v>
      </c>
      <c r="H16" s="31">
        <v>2</v>
      </c>
      <c r="I16" s="421">
        <f>2*(H16-G16)*$D$12/1000</f>
        <v>1.9982320000000001E-2</v>
      </c>
      <c r="J16" s="41">
        <v>0.1527</v>
      </c>
      <c r="K16" s="418">
        <f t="shared" si="0"/>
        <v>7.6417553116955386</v>
      </c>
      <c r="L16" s="419">
        <f t="shared" si="1"/>
        <v>584.38159332850239</v>
      </c>
      <c r="M16" s="395">
        <f t="shared" si="2"/>
        <v>0.1527</v>
      </c>
      <c r="N16" s="278">
        <f t="shared" si="3"/>
        <v>11.677300000000001</v>
      </c>
      <c r="O16" s="420">
        <f t="shared" si="4"/>
        <v>584.38159332850239</v>
      </c>
    </row>
    <row r="17" spans="2:10" x14ac:dyDescent="0.25">
      <c r="B17" s="337" t="s">
        <v>246</v>
      </c>
      <c r="C17" s="337"/>
      <c r="D17" s="337"/>
    </row>
    <row r="19" spans="2:10" x14ac:dyDescent="0.25">
      <c r="H19" t="s">
        <v>247</v>
      </c>
    </row>
    <row r="21" spans="2:10" x14ac:dyDescent="0.25">
      <c r="H21" s="5"/>
      <c r="I21" s="1"/>
      <c r="J21" s="7" t="s">
        <v>248</v>
      </c>
    </row>
    <row r="22" spans="2:10" x14ac:dyDescent="0.25">
      <c r="H22" s="35" t="s">
        <v>249</v>
      </c>
      <c r="I22" s="1" t="s">
        <v>33</v>
      </c>
      <c r="J22" s="56" t="s">
        <v>250</v>
      </c>
    </row>
    <row r="23" spans="2:10" x14ac:dyDescent="0.25">
      <c r="H23" s="8">
        <v>1</v>
      </c>
      <c r="I23" s="259">
        <v>9.9911600000000007</v>
      </c>
      <c r="J23" s="422">
        <f>(2*H23-1)*I23/1000</f>
        <v>9.9911600000000007E-3</v>
      </c>
    </row>
    <row r="24" spans="2:10" x14ac:dyDescent="0.25">
      <c r="H24" s="35">
        <v>2</v>
      </c>
      <c r="I24" s="259">
        <f>I23</f>
        <v>9.9911600000000007</v>
      </c>
      <c r="J24" s="423">
        <f t="shared" ref="J24:J28" si="5">(2*H24-1)*I24/1000</f>
        <v>2.9973480000000004E-2</v>
      </c>
    </row>
    <row r="25" spans="2:10" x14ac:dyDescent="0.25">
      <c r="H25" s="35">
        <v>3</v>
      </c>
      <c r="I25" s="259">
        <f t="shared" ref="I25:I28" si="6">I24</f>
        <v>9.9911600000000007</v>
      </c>
      <c r="J25" s="423">
        <f t="shared" si="5"/>
        <v>4.9955800000000002E-2</v>
      </c>
    </row>
    <row r="26" spans="2:10" x14ac:dyDescent="0.25">
      <c r="H26" s="35">
        <v>4</v>
      </c>
      <c r="I26" s="259">
        <f t="shared" si="6"/>
        <v>9.9911600000000007</v>
      </c>
      <c r="J26" s="423">
        <f t="shared" si="5"/>
        <v>6.9938119999999993E-2</v>
      </c>
    </row>
    <row r="27" spans="2:10" x14ac:dyDescent="0.25">
      <c r="H27" s="35">
        <v>5</v>
      </c>
      <c r="I27" s="259">
        <f t="shared" si="6"/>
        <v>9.9911600000000007</v>
      </c>
      <c r="J27" s="423">
        <f t="shared" si="5"/>
        <v>8.9920440000000018E-2</v>
      </c>
    </row>
    <row r="28" spans="2:10" x14ac:dyDescent="0.25">
      <c r="H28" s="41">
        <v>6</v>
      </c>
      <c r="I28" s="424">
        <f t="shared" si="6"/>
        <v>9.9911600000000007</v>
      </c>
      <c r="J28" s="421">
        <f t="shared" si="5"/>
        <v>0.10990276</v>
      </c>
    </row>
    <row r="30" spans="2:10" x14ac:dyDescent="0.25">
      <c r="H30" t="s">
        <v>251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D178"/>
  <sheetViews>
    <sheetView topLeftCell="A152" workbookViewId="0">
      <selection activeCell="J184" sqref="J184"/>
    </sheetView>
  </sheetViews>
  <sheetFormatPr defaultRowHeight="15" x14ac:dyDescent="0.25"/>
  <cols>
    <col min="1" max="1" width="17.7109375" customWidth="1"/>
    <col min="2" max="2" width="11.85546875" customWidth="1"/>
    <col min="3" max="3" width="10.7109375" customWidth="1"/>
    <col min="4" max="4" width="11.140625" customWidth="1"/>
    <col min="5" max="5" width="11.7109375" customWidth="1"/>
    <col min="6" max="6" width="14" customWidth="1"/>
    <col min="7" max="7" width="11.5703125" customWidth="1"/>
    <col min="8" max="8" width="12" customWidth="1"/>
    <col min="9" max="9" width="12.140625" customWidth="1"/>
    <col min="10" max="10" width="16.140625" customWidth="1"/>
    <col min="11" max="11" width="12.42578125" customWidth="1"/>
    <col min="12" max="12" width="11" customWidth="1"/>
    <col min="13" max="13" width="12.140625" customWidth="1"/>
    <col min="14" max="14" width="12" customWidth="1"/>
    <col min="15" max="15" width="12.42578125" customWidth="1"/>
    <col min="16" max="17" width="12.28515625" customWidth="1"/>
    <col min="19" max="19" width="17.5703125" customWidth="1"/>
    <col min="20" max="21" width="11.5703125" customWidth="1"/>
    <col min="22" max="22" width="12.28515625" customWidth="1"/>
    <col min="23" max="23" width="13.42578125" customWidth="1"/>
    <col min="24" max="24" width="11.85546875" customWidth="1"/>
    <col min="25" max="25" width="12.7109375" customWidth="1"/>
    <col min="26" max="26" width="11.140625" customWidth="1"/>
    <col min="28" max="28" width="15.85546875" customWidth="1"/>
    <col min="29" max="29" width="12.140625" customWidth="1"/>
    <col min="30" max="30" width="11.7109375" customWidth="1"/>
    <col min="31" max="31" width="11" customWidth="1"/>
    <col min="32" max="32" width="10.85546875" customWidth="1"/>
    <col min="33" max="33" width="11.42578125" customWidth="1"/>
    <col min="34" max="34" width="12.42578125" customWidth="1"/>
    <col min="35" max="35" width="11" customWidth="1"/>
    <col min="38" max="38" width="17.28515625" customWidth="1"/>
    <col min="39" max="39" width="12" customWidth="1"/>
    <col min="40" max="40" width="11.28515625" customWidth="1"/>
    <col min="41" max="41" width="11.7109375" customWidth="1"/>
    <col min="42" max="42" width="11.5703125" customWidth="1"/>
    <col min="43" max="43" width="12.42578125" customWidth="1"/>
    <col min="44" max="44" width="11.42578125" customWidth="1"/>
    <col min="45" max="45" width="10.85546875" customWidth="1"/>
    <col min="48" max="48" width="16.7109375" customWidth="1"/>
    <col min="52" max="52" width="11.5703125" customWidth="1"/>
    <col min="53" max="53" width="12.28515625" customWidth="1"/>
    <col min="54" max="54" width="12.5703125" customWidth="1"/>
    <col min="55" max="55" width="11.7109375" customWidth="1"/>
  </cols>
  <sheetData>
    <row r="1" spans="1:56" ht="18" customHeight="1" x14ac:dyDescent="0.25">
      <c r="A1" s="1" t="s">
        <v>0</v>
      </c>
      <c r="B1" s="2" t="s">
        <v>153</v>
      </c>
      <c r="C1" s="2"/>
      <c r="D1" s="2"/>
      <c r="E1" s="2"/>
      <c r="F1" s="2"/>
      <c r="G1" s="2"/>
      <c r="H1" s="7"/>
      <c r="J1" s="1" t="s">
        <v>0</v>
      </c>
      <c r="K1" s="2" t="s">
        <v>153</v>
      </c>
      <c r="L1" s="2"/>
      <c r="M1" s="2"/>
      <c r="N1" s="2"/>
      <c r="O1" s="2"/>
      <c r="P1" s="2"/>
      <c r="Q1" s="7"/>
      <c r="S1" s="1" t="s">
        <v>0</v>
      </c>
      <c r="T1" s="2" t="s">
        <v>153</v>
      </c>
      <c r="U1" s="2"/>
      <c r="V1" s="2"/>
      <c r="W1" s="2"/>
      <c r="X1" s="2"/>
      <c r="Y1" s="2"/>
      <c r="Z1" s="7"/>
      <c r="AB1" s="1" t="s">
        <v>0</v>
      </c>
      <c r="AC1" s="2" t="s">
        <v>153</v>
      </c>
      <c r="AD1" s="2"/>
      <c r="AE1" s="2"/>
      <c r="AF1" s="2"/>
      <c r="AG1" s="2"/>
      <c r="AH1" s="2"/>
      <c r="AI1" s="7"/>
      <c r="AL1" s="1" t="s">
        <v>0</v>
      </c>
      <c r="AM1" s="2" t="s">
        <v>153</v>
      </c>
      <c r="AN1" s="2"/>
      <c r="AO1" s="2"/>
      <c r="AP1" s="2"/>
      <c r="AQ1" s="2"/>
      <c r="AR1" s="2"/>
      <c r="AS1" s="7"/>
      <c r="AV1" s="1" t="s">
        <v>0</v>
      </c>
      <c r="AW1" s="2" t="s">
        <v>153</v>
      </c>
      <c r="AX1" s="2"/>
      <c r="AY1" s="2"/>
      <c r="AZ1" s="2"/>
      <c r="BA1" s="2"/>
      <c r="BB1" s="2"/>
      <c r="BC1" s="7"/>
    </row>
    <row r="2" spans="1:56" ht="18" customHeight="1" x14ac:dyDescent="0.25">
      <c r="A2" s="4" t="s">
        <v>1</v>
      </c>
      <c r="B2" s="261">
        <v>5</v>
      </c>
      <c r="C2" s="8"/>
      <c r="D2" s="9"/>
      <c r="E2" s="9"/>
      <c r="F2" s="9"/>
      <c r="G2" s="9"/>
      <c r="H2" s="30"/>
      <c r="J2" s="4" t="s">
        <v>1</v>
      </c>
      <c r="K2" s="261">
        <v>10</v>
      </c>
      <c r="L2" s="8"/>
      <c r="M2" s="9"/>
      <c r="N2" s="9"/>
      <c r="O2" s="9"/>
      <c r="P2" s="9"/>
      <c r="Q2" s="30"/>
      <c r="S2" s="4" t="s">
        <v>1</v>
      </c>
      <c r="T2" s="261">
        <v>16</v>
      </c>
      <c r="U2" s="8"/>
      <c r="V2" s="9"/>
      <c r="W2" s="9"/>
      <c r="X2" s="9"/>
      <c r="Y2" s="9"/>
      <c r="Z2" s="30"/>
      <c r="AB2" s="4" t="s">
        <v>1</v>
      </c>
      <c r="AC2" s="391">
        <v>20</v>
      </c>
      <c r="AD2" s="8"/>
      <c r="AE2" s="9"/>
      <c r="AF2" s="9"/>
      <c r="AG2" s="9"/>
      <c r="AH2" s="9"/>
      <c r="AI2" s="30"/>
      <c r="AL2" s="4" t="s">
        <v>1</v>
      </c>
      <c r="AM2" s="370">
        <v>20</v>
      </c>
      <c r="AN2" s="8"/>
      <c r="AO2" s="9"/>
      <c r="AP2" s="9"/>
      <c r="AQ2" s="9"/>
      <c r="AR2" s="9"/>
      <c r="AS2" s="30"/>
      <c r="AV2" s="4" t="s">
        <v>1</v>
      </c>
      <c r="AW2" s="261">
        <v>32</v>
      </c>
      <c r="AX2" s="8"/>
      <c r="AY2" s="9"/>
      <c r="AZ2" s="9"/>
      <c r="BA2" s="9"/>
      <c r="BB2" s="9"/>
      <c r="BC2" s="30"/>
    </row>
    <row r="3" spans="1:56" ht="18" customHeight="1" x14ac:dyDescent="0.35">
      <c r="A3" s="4" t="s">
        <v>2</v>
      </c>
      <c r="B3" s="84">
        <v>6389</v>
      </c>
      <c r="C3" s="11"/>
      <c r="D3" s="11"/>
      <c r="E3" s="36"/>
      <c r="F3" s="11"/>
      <c r="G3" s="11"/>
      <c r="H3" s="30"/>
      <c r="J3" s="4" t="s">
        <v>2</v>
      </c>
      <c r="K3" s="84">
        <v>6385</v>
      </c>
      <c r="L3" s="11"/>
      <c r="M3" s="11"/>
      <c r="N3" s="36"/>
      <c r="O3" s="11"/>
      <c r="P3" s="11"/>
      <c r="Q3" s="30"/>
      <c r="S3" s="4" t="s">
        <v>2</v>
      </c>
      <c r="T3" s="84">
        <v>6382</v>
      </c>
      <c r="U3" s="11"/>
      <c r="V3" s="11"/>
      <c r="W3" s="36"/>
      <c r="X3" s="11"/>
      <c r="Y3" s="11"/>
      <c r="Z3" s="30"/>
      <c r="AB3" s="4" t="s">
        <v>2</v>
      </c>
      <c r="AC3" s="84">
        <v>6378</v>
      </c>
      <c r="AD3" s="11"/>
      <c r="AE3" s="11"/>
      <c r="AF3" s="36"/>
      <c r="AG3" s="11"/>
      <c r="AH3" s="11"/>
      <c r="AI3" s="30"/>
      <c r="AL3" s="4" t="s">
        <v>2</v>
      </c>
      <c r="AM3" s="84">
        <v>6390</v>
      </c>
      <c r="AN3" s="11"/>
      <c r="AO3" s="11"/>
      <c r="AP3" s="36"/>
      <c r="AQ3" s="11"/>
      <c r="AR3" s="11"/>
      <c r="AS3" s="30"/>
      <c r="AV3" s="4" t="s">
        <v>2</v>
      </c>
      <c r="AW3" s="84">
        <v>6390</v>
      </c>
      <c r="AX3" s="11"/>
      <c r="AY3" s="11"/>
      <c r="AZ3" s="36"/>
      <c r="BA3" s="11"/>
      <c r="BB3" s="11"/>
      <c r="BC3" s="30"/>
    </row>
    <row r="4" spans="1:56" ht="18" customHeight="1" x14ac:dyDescent="0.35">
      <c r="A4" s="13" t="s">
        <v>3</v>
      </c>
      <c r="B4" s="85">
        <f>B3/1000</f>
        <v>6.3890000000000002</v>
      </c>
      <c r="C4" s="11"/>
      <c r="D4" s="11"/>
      <c r="E4" s="11"/>
      <c r="F4" s="11"/>
      <c r="G4" s="11"/>
      <c r="H4" s="30"/>
      <c r="J4" s="13" t="s">
        <v>3</v>
      </c>
      <c r="K4" s="85">
        <f>K3/1000</f>
        <v>6.3849999999999998</v>
      </c>
      <c r="L4" s="11"/>
      <c r="M4" s="11"/>
      <c r="N4" s="11"/>
      <c r="O4" s="11"/>
      <c r="P4" s="11"/>
      <c r="Q4" s="70"/>
      <c r="S4" s="13" t="s">
        <v>3</v>
      </c>
      <c r="T4" s="85">
        <f>T3/1000</f>
        <v>6.3819999999999997</v>
      </c>
      <c r="U4" s="11"/>
      <c r="V4" s="11"/>
      <c r="W4" s="11"/>
      <c r="X4" s="11"/>
      <c r="Y4" s="11"/>
      <c r="Z4" s="30"/>
      <c r="AB4" s="13" t="s">
        <v>3</v>
      </c>
      <c r="AC4" s="85">
        <f>AC3/1000</f>
        <v>6.3780000000000001</v>
      </c>
      <c r="AD4" s="11"/>
      <c r="AE4" s="11"/>
      <c r="AF4" s="11"/>
      <c r="AG4" s="11"/>
      <c r="AH4" s="11"/>
      <c r="AI4" s="70">
        <v>0.18590524372095601</v>
      </c>
      <c r="AL4" s="13" t="s">
        <v>3</v>
      </c>
      <c r="AM4" s="85">
        <f>AM3/1000</f>
        <v>6.39</v>
      </c>
      <c r="AN4" s="11"/>
      <c r="AO4" s="11"/>
      <c r="AP4" s="11"/>
      <c r="AQ4" s="11"/>
      <c r="AR4" s="11"/>
      <c r="AS4" s="70">
        <v>0.18701455945501105</v>
      </c>
      <c r="AV4" s="13" t="s">
        <v>3</v>
      </c>
      <c r="AW4" s="85">
        <f>AW3/1000</f>
        <v>6.39</v>
      </c>
      <c r="AX4" s="11"/>
      <c r="AY4" s="11"/>
      <c r="AZ4" s="11"/>
      <c r="BA4" s="11"/>
      <c r="BB4" s="11"/>
      <c r="BC4" s="30"/>
    </row>
    <row r="5" spans="1:56" ht="18" customHeight="1" x14ac:dyDescent="0.25">
      <c r="A5" s="14" t="s">
        <v>4</v>
      </c>
      <c r="B5" s="32">
        <v>1</v>
      </c>
      <c r="C5" s="16"/>
      <c r="D5" s="17"/>
      <c r="E5" s="17"/>
      <c r="F5" s="17"/>
      <c r="G5" s="17"/>
      <c r="H5" s="30"/>
      <c r="J5" s="14" t="s">
        <v>4</v>
      </c>
      <c r="K5" s="32">
        <v>1</v>
      </c>
      <c r="L5" s="16"/>
      <c r="M5" s="17"/>
      <c r="N5" s="17"/>
      <c r="O5" s="17"/>
      <c r="P5" s="17"/>
      <c r="Q5" s="70"/>
      <c r="S5" s="14" t="s">
        <v>4</v>
      </c>
      <c r="T5" s="32">
        <v>1</v>
      </c>
      <c r="U5" s="16"/>
      <c r="V5" s="17"/>
      <c r="W5" s="17"/>
      <c r="X5" s="17"/>
      <c r="Y5" s="17"/>
      <c r="Z5" s="30"/>
      <c r="AB5" s="14" t="s">
        <v>4</v>
      </c>
      <c r="AC5" s="32">
        <v>1</v>
      </c>
      <c r="AD5" s="16"/>
      <c r="AE5" s="17"/>
      <c r="AF5" s="17"/>
      <c r="AG5" s="17"/>
      <c r="AH5" s="17"/>
      <c r="AI5" s="70">
        <v>0.1609616513500424</v>
      </c>
      <c r="AL5" s="14" t="s">
        <v>4</v>
      </c>
      <c r="AM5" s="32">
        <v>1</v>
      </c>
      <c r="AN5" s="16"/>
      <c r="AO5" s="17"/>
      <c r="AP5" s="17"/>
      <c r="AQ5" s="17"/>
      <c r="AR5" s="17"/>
      <c r="AS5" s="70">
        <v>0.16141680324745486</v>
      </c>
      <c r="AV5" s="14" t="s">
        <v>4</v>
      </c>
      <c r="AW5" s="32">
        <v>1</v>
      </c>
      <c r="AX5" s="16"/>
      <c r="AY5" s="17"/>
      <c r="AZ5" s="17"/>
      <c r="BA5" s="17"/>
      <c r="BB5" s="17"/>
      <c r="BC5" s="30"/>
    </row>
    <row r="6" spans="1:56" ht="18" customHeight="1" x14ac:dyDescent="0.25">
      <c r="A6" s="18" t="s">
        <v>5</v>
      </c>
      <c r="B6" s="259">
        <v>9.9911600000000007</v>
      </c>
      <c r="C6" s="19"/>
      <c r="D6" s="19"/>
      <c r="E6" s="19"/>
      <c r="F6" s="19"/>
      <c r="G6" s="19"/>
      <c r="H6" s="30"/>
      <c r="J6" s="18" t="s">
        <v>5</v>
      </c>
      <c r="K6" s="259">
        <v>9.9911600000000007</v>
      </c>
      <c r="L6" s="19"/>
      <c r="M6" s="19"/>
      <c r="N6" s="19"/>
      <c r="O6" s="19"/>
      <c r="P6" s="19"/>
      <c r="Q6" s="70"/>
      <c r="S6" s="18" t="s">
        <v>5</v>
      </c>
      <c r="T6" s="259">
        <v>9.9911600000000007</v>
      </c>
      <c r="U6" s="19"/>
      <c r="V6" s="19"/>
      <c r="W6" s="19"/>
      <c r="X6" s="19"/>
      <c r="Y6" s="19"/>
      <c r="Z6" s="30"/>
      <c r="AB6" s="18" t="s">
        <v>5</v>
      </c>
      <c r="AC6" s="259">
        <v>9.9911600000000007</v>
      </c>
      <c r="AD6" s="19"/>
      <c r="AE6" s="19"/>
      <c r="AF6" s="19"/>
      <c r="AG6" s="19"/>
      <c r="AH6" s="19"/>
      <c r="AI6" s="70">
        <v>0.12777851655927852</v>
      </c>
      <c r="AL6" s="18" t="s">
        <v>5</v>
      </c>
      <c r="AM6" s="259">
        <v>9.9911600000000007</v>
      </c>
      <c r="AN6" s="19"/>
      <c r="AO6" s="392" t="s">
        <v>256</v>
      </c>
      <c r="AP6" s="19"/>
      <c r="AQ6" s="19"/>
      <c r="AR6" s="19"/>
      <c r="AS6" s="70">
        <v>0.1258927515420612</v>
      </c>
      <c r="AV6" s="18" t="s">
        <v>5</v>
      </c>
      <c r="AW6" s="259">
        <v>9.9911600000000007</v>
      </c>
      <c r="AX6" s="19"/>
      <c r="AY6" s="19"/>
      <c r="AZ6" s="19"/>
      <c r="BA6" s="19"/>
      <c r="BB6" s="19"/>
      <c r="BC6" s="30"/>
    </row>
    <row r="7" spans="1:56" ht="18" customHeight="1" thickBot="1" x14ac:dyDescent="0.3">
      <c r="A7" s="20" t="s">
        <v>6</v>
      </c>
      <c r="B7" s="86">
        <v>1E-3</v>
      </c>
      <c r="C7" s="22"/>
      <c r="D7" s="22"/>
      <c r="E7" s="22"/>
      <c r="F7" s="22"/>
      <c r="G7" s="22"/>
      <c r="H7" s="30"/>
      <c r="J7" s="20" t="s">
        <v>6</v>
      </c>
      <c r="K7" s="86">
        <v>1E-3</v>
      </c>
      <c r="L7" s="22"/>
      <c r="M7" s="22"/>
      <c r="N7" s="22"/>
      <c r="O7" s="22"/>
      <c r="P7" s="22"/>
      <c r="Q7" s="70"/>
      <c r="S7" s="20" t="s">
        <v>6</v>
      </c>
      <c r="T7" s="86">
        <v>1E-3</v>
      </c>
      <c r="U7" s="22"/>
      <c r="V7" s="22"/>
      <c r="W7" s="22"/>
      <c r="X7" s="22"/>
      <c r="Y7" s="22"/>
      <c r="Z7" s="30"/>
      <c r="AB7" s="20" t="s">
        <v>6</v>
      </c>
      <c r="AC7" s="86">
        <v>1E-3</v>
      </c>
      <c r="AD7" s="22"/>
      <c r="AE7" s="344" t="s">
        <v>206</v>
      </c>
      <c r="AF7" s="22"/>
      <c r="AG7" s="22"/>
      <c r="AH7" s="22"/>
      <c r="AI7" s="70">
        <v>0.11139995457576768</v>
      </c>
      <c r="AL7" s="20" t="s">
        <v>6</v>
      </c>
      <c r="AM7" s="86">
        <v>1E-3</v>
      </c>
      <c r="AN7" s="22"/>
      <c r="AO7" s="344" t="s">
        <v>207</v>
      </c>
      <c r="AP7" s="22"/>
      <c r="AQ7" s="22"/>
      <c r="AR7" s="22"/>
      <c r="AS7" s="70">
        <v>0.11222418616775232</v>
      </c>
      <c r="AV7" s="20" t="s">
        <v>6</v>
      </c>
      <c r="AW7" s="86">
        <v>1E-3</v>
      </c>
      <c r="AX7" s="22"/>
      <c r="AY7" s="22"/>
      <c r="AZ7" s="22"/>
      <c r="BA7" s="22"/>
      <c r="BB7" s="22"/>
      <c r="BC7" s="30"/>
    </row>
    <row r="8" spans="1:56" ht="18" customHeight="1" thickBot="1" x14ac:dyDescent="0.3">
      <c r="A8" s="20" t="s">
        <v>7</v>
      </c>
      <c r="B8" s="87">
        <f t="shared" ref="B8" si="0">B7/B6</f>
        <v>1.0008847821474182E-4</v>
      </c>
      <c r="C8" s="24"/>
      <c r="D8" s="24"/>
      <c r="E8" s="24"/>
      <c r="F8" s="24"/>
      <c r="G8" s="24"/>
      <c r="H8" s="30"/>
      <c r="J8" s="20" t="s">
        <v>7</v>
      </c>
      <c r="K8" s="87">
        <f t="shared" ref="K8" si="1">K7/K6</f>
        <v>1.0008847821474182E-4</v>
      </c>
      <c r="L8" s="24"/>
      <c r="M8" s="24"/>
      <c r="N8" s="24"/>
      <c r="O8" s="24"/>
      <c r="P8" s="24"/>
      <c r="Q8" s="70"/>
      <c r="S8" s="20" t="s">
        <v>7</v>
      </c>
      <c r="T8" s="87">
        <f t="shared" ref="T8" si="2">T7/T6</f>
        <v>1.0008847821474182E-4</v>
      </c>
      <c r="U8" s="24"/>
      <c r="V8" s="24"/>
      <c r="W8" s="24"/>
      <c r="X8" s="24"/>
      <c r="Y8" s="24"/>
      <c r="Z8" s="30"/>
      <c r="AB8" s="20" t="s">
        <v>7</v>
      </c>
      <c r="AC8" s="87">
        <f t="shared" ref="AC8" si="3">AC7/AC6</f>
        <v>1.0008847821474182E-4</v>
      </c>
      <c r="AD8" s="24"/>
      <c r="AE8" s="24"/>
      <c r="AF8" s="24"/>
      <c r="AG8" s="24"/>
      <c r="AH8" s="24"/>
      <c r="AI8" s="70">
        <v>0.11961625241663583</v>
      </c>
      <c r="AL8" s="20" t="s">
        <v>7</v>
      </c>
      <c r="AM8" s="87">
        <f t="shared" ref="AM8" si="4">AM7/AM6</f>
        <v>1.0008847821474182E-4</v>
      </c>
      <c r="AN8" s="24"/>
      <c r="AO8" s="345" t="s">
        <v>208</v>
      </c>
      <c r="AP8" s="24"/>
      <c r="AQ8" s="24"/>
      <c r="AR8" s="24"/>
      <c r="AS8" s="432">
        <f>SUM(AS4:AS7)</f>
        <v>0.58654830041227934</v>
      </c>
      <c r="AV8" s="20" t="s">
        <v>7</v>
      </c>
      <c r="AW8" s="87">
        <f t="shared" ref="AW8" si="5">AW7/AW6</f>
        <v>1.0008847821474182E-4</v>
      </c>
      <c r="AX8" s="24"/>
      <c r="AY8" s="24"/>
      <c r="AZ8" s="24"/>
      <c r="BA8" s="24"/>
      <c r="BB8" s="24"/>
      <c r="BC8" s="30"/>
    </row>
    <row r="9" spans="1:56" ht="18" customHeight="1" x14ac:dyDescent="0.25">
      <c r="A9" s="25"/>
      <c r="B9" s="88">
        <v>10</v>
      </c>
      <c r="C9" s="26"/>
      <c r="D9" s="26"/>
      <c r="E9" s="26"/>
      <c r="F9" s="26"/>
      <c r="G9" s="26"/>
      <c r="H9" s="33"/>
      <c r="J9" s="25"/>
      <c r="K9" s="88">
        <v>10</v>
      </c>
      <c r="L9" s="26"/>
      <c r="M9" s="26"/>
      <c r="N9" s="26"/>
      <c r="O9" s="26"/>
      <c r="P9" s="26"/>
      <c r="Q9" s="33"/>
      <c r="S9" s="25"/>
      <c r="T9" s="88">
        <v>10</v>
      </c>
      <c r="U9" s="26"/>
      <c r="V9" s="26"/>
      <c r="W9" s="26"/>
      <c r="X9" s="26"/>
      <c r="Y9" s="26"/>
      <c r="Z9" s="33"/>
      <c r="AB9" s="25"/>
      <c r="AC9" s="88">
        <v>10</v>
      </c>
      <c r="AD9" s="26"/>
      <c r="AE9" s="26"/>
      <c r="AF9" s="26"/>
      <c r="AG9" s="26"/>
      <c r="AH9" s="26"/>
      <c r="AI9" s="33"/>
      <c r="AL9" s="25"/>
      <c r="AM9" s="88">
        <v>10</v>
      </c>
      <c r="AN9" s="26"/>
      <c r="AO9" s="26"/>
      <c r="AP9" s="26"/>
      <c r="AQ9" s="26"/>
      <c r="AR9" s="26"/>
      <c r="AS9" s="33"/>
      <c r="AV9" s="25"/>
      <c r="AW9" s="88">
        <v>10</v>
      </c>
      <c r="AX9" s="26"/>
      <c r="AY9" s="26"/>
      <c r="AZ9" s="26"/>
      <c r="BA9" s="26"/>
      <c r="BB9" s="26"/>
      <c r="BC9" s="33"/>
    </row>
    <row r="10" spans="1:56" ht="18" customHeight="1" x14ac:dyDescent="0.25">
      <c r="A10" s="27" t="s">
        <v>11</v>
      </c>
      <c r="B10" s="89" t="s">
        <v>171</v>
      </c>
      <c r="C10" s="89" t="s">
        <v>13</v>
      </c>
      <c r="D10" s="89" t="s">
        <v>14</v>
      </c>
      <c r="E10" s="90" t="s">
        <v>9</v>
      </c>
      <c r="F10" s="89" t="s">
        <v>15</v>
      </c>
      <c r="G10" s="90" t="s">
        <v>16</v>
      </c>
      <c r="H10" s="91" t="s">
        <v>17</v>
      </c>
      <c r="I10" s="36" t="s">
        <v>138</v>
      </c>
      <c r="J10" s="27" t="s">
        <v>11</v>
      </c>
      <c r="K10" s="89" t="s">
        <v>171</v>
      </c>
      <c r="L10" s="89" t="s">
        <v>13</v>
      </c>
      <c r="M10" s="89" t="s">
        <v>14</v>
      </c>
      <c r="N10" s="90" t="s">
        <v>9</v>
      </c>
      <c r="O10" s="89" t="s">
        <v>15</v>
      </c>
      <c r="P10" s="90" t="s">
        <v>16</v>
      </c>
      <c r="Q10" s="91" t="s">
        <v>17</v>
      </c>
      <c r="S10" s="27" t="s">
        <v>11</v>
      </c>
      <c r="T10" s="89" t="s">
        <v>171</v>
      </c>
      <c r="U10" s="89" t="s">
        <v>13</v>
      </c>
      <c r="V10" s="89" t="s">
        <v>14</v>
      </c>
      <c r="W10" s="90" t="s">
        <v>9</v>
      </c>
      <c r="X10" s="89" t="s">
        <v>15</v>
      </c>
      <c r="Y10" s="90" t="s">
        <v>16</v>
      </c>
      <c r="Z10" s="91" t="s">
        <v>17</v>
      </c>
      <c r="AB10" s="27" t="s">
        <v>11</v>
      </c>
      <c r="AC10" s="89" t="s">
        <v>171</v>
      </c>
      <c r="AD10" s="89" t="s">
        <v>13</v>
      </c>
      <c r="AE10" s="89" t="s">
        <v>14</v>
      </c>
      <c r="AF10" s="90" t="s">
        <v>9</v>
      </c>
      <c r="AG10" s="89" t="s">
        <v>15</v>
      </c>
      <c r="AH10" s="90" t="s">
        <v>16</v>
      </c>
      <c r="AI10" s="91" t="s">
        <v>17</v>
      </c>
      <c r="AL10" s="27" t="s">
        <v>11</v>
      </c>
      <c r="AM10" s="89" t="s">
        <v>171</v>
      </c>
      <c r="AN10" s="89" t="s">
        <v>13</v>
      </c>
      <c r="AO10" s="89" t="s">
        <v>14</v>
      </c>
      <c r="AP10" s="90" t="s">
        <v>9</v>
      </c>
      <c r="AQ10" s="89" t="s">
        <v>15</v>
      </c>
      <c r="AR10" s="90" t="s">
        <v>16</v>
      </c>
      <c r="AS10" s="91" t="s">
        <v>17</v>
      </c>
      <c r="AV10" s="27" t="s">
        <v>11</v>
      </c>
      <c r="AW10" s="89" t="s">
        <v>12</v>
      </c>
      <c r="AX10" s="89" t="s">
        <v>13</v>
      </c>
      <c r="AY10" s="89" t="s">
        <v>14</v>
      </c>
      <c r="AZ10" s="90" t="s">
        <v>9</v>
      </c>
      <c r="BA10" s="89" t="s">
        <v>15</v>
      </c>
      <c r="BB10" s="90" t="s">
        <v>16</v>
      </c>
      <c r="BC10" s="91" t="s">
        <v>17</v>
      </c>
    </row>
    <row r="11" spans="1:56" ht="18" customHeight="1" x14ac:dyDescent="0.25">
      <c r="A11" s="13">
        <v>1</v>
      </c>
      <c r="B11" s="69">
        <v>50.592857142857142</v>
      </c>
      <c r="C11" s="200"/>
      <c r="D11" s="200"/>
      <c r="E11" s="200" t="s">
        <v>45</v>
      </c>
      <c r="F11" s="200"/>
      <c r="G11" s="200"/>
      <c r="H11" s="221"/>
      <c r="J11" s="13">
        <v>1</v>
      </c>
      <c r="K11" s="69">
        <v>21.327142857142857</v>
      </c>
      <c r="L11" s="36"/>
      <c r="M11" s="36"/>
      <c r="N11" s="36" t="s">
        <v>45</v>
      </c>
      <c r="O11" s="36"/>
      <c r="P11" s="36"/>
      <c r="Q11" s="30"/>
      <c r="S11" s="13">
        <v>1</v>
      </c>
      <c r="T11" s="69">
        <v>9.9599999999999991</v>
      </c>
      <c r="U11" s="36"/>
      <c r="V11" s="36"/>
      <c r="W11" s="36" t="s">
        <v>45</v>
      </c>
      <c r="X11" s="36"/>
      <c r="Y11" s="36"/>
      <c r="Z11" s="30"/>
      <c r="AB11" s="13">
        <v>1</v>
      </c>
      <c r="AC11" s="69">
        <v>5.7785714285714294</v>
      </c>
      <c r="AD11" s="36"/>
      <c r="AE11" s="36"/>
      <c r="AF11" s="36" t="s">
        <v>45</v>
      </c>
      <c r="AG11" s="36"/>
      <c r="AH11" s="36"/>
      <c r="AI11" s="30"/>
      <c r="AL11" s="13">
        <v>1</v>
      </c>
      <c r="AM11" s="69">
        <v>5.7785714285714294</v>
      </c>
      <c r="AN11" s="36"/>
      <c r="AO11" s="36"/>
      <c r="AP11" s="36" t="s">
        <v>45</v>
      </c>
      <c r="AQ11" s="36"/>
      <c r="AR11" s="36"/>
      <c r="AS11" s="30"/>
      <c r="AV11" s="13">
        <v>1</v>
      </c>
      <c r="AW11" s="69">
        <v>4.242909090909091</v>
      </c>
      <c r="AX11" s="36"/>
      <c r="AY11" s="36"/>
      <c r="AZ11" s="36" t="s">
        <v>45</v>
      </c>
      <c r="BA11" s="36"/>
      <c r="BB11" s="36"/>
      <c r="BC11" s="30"/>
    </row>
    <row r="12" spans="1:56" ht="18" customHeight="1" x14ac:dyDescent="0.25">
      <c r="A12" s="13">
        <v>2</v>
      </c>
      <c r="B12" s="69">
        <v>47.142857142857146</v>
      </c>
      <c r="C12" s="263">
        <f>B11/B12</f>
        <v>1.073181818181818</v>
      </c>
      <c r="D12" s="81">
        <f>20*LOG10(C12)</f>
        <v>0.61346612513041388</v>
      </c>
      <c r="E12" s="81">
        <v>0.34932678893035468</v>
      </c>
      <c r="F12" s="81">
        <f>D12-E12</f>
        <v>0.26413933620005919</v>
      </c>
      <c r="G12" s="246">
        <f t="shared" ref="G12:G16" si="6">D12/2/($B$6/1000)</f>
        <v>30.700445450298755</v>
      </c>
      <c r="H12" s="264">
        <f t="shared" ref="H12:H16" si="7">F12/2/($B$6/1000)</f>
        <v>13.218652098457996</v>
      </c>
      <c r="J12" s="13">
        <v>2</v>
      </c>
      <c r="K12" s="69">
        <v>18.361428571428572</v>
      </c>
      <c r="L12" s="68">
        <f>K11/K12</f>
        <v>1.161518711584844</v>
      </c>
      <c r="M12" s="69">
        <f>20*LOG10(L12)</f>
        <v>1.3005242099328183</v>
      </c>
      <c r="N12" s="69">
        <v>0.27364074616823308</v>
      </c>
      <c r="O12" s="69">
        <f>M12-N12</f>
        <v>1.0268834637645852</v>
      </c>
      <c r="P12" s="69">
        <f t="shared" ref="P12:P16" si="8">M12/2/($B$6/1000)</f>
        <v>65.083744526802604</v>
      </c>
      <c r="Q12" s="289">
        <f t="shared" ref="Q12:Q16" si="9">O12/2/($B$6/1000)</f>
        <v>51.389601596040151</v>
      </c>
      <c r="S12" s="13">
        <v>2</v>
      </c>
      <c r="T12" s="69">
        <v>7.4799999999999995</v>
      </c>
      <c r="U12" s="68">
        <f>T11/T12</f>
        <v>1.3315508021390374</v>
      </c>
      <c r="V12" s="69">
        <f>20*LOG10(U12)</f>
        <v>2.4871548111847472</v>
      </c>
      <c r="W12" s="69">
        <v>0.21558067654821389</v>
      </c>
      <c r="X12" s="69">
        <f>V12-W12</f>
        <v>2.2715741346365332</v>
      </c>
      <c r="Y12" s="246">
        <f t="shared" ref="Y12:Y16" si="10">V12/2/($B$6/1000)</f>
        <v>124.46777006797744</v>
      </c>
      <c r="Z12" s="289">
        <f t="shared" ref="Z12:Z16" si="11">X12/2/($B$6/1000)</f>
        <v>113.67919914386984</v>
      </c>
      <c r="AB12" s="13">
        <v>2</v>
      </c>
      <c r="AC12" s="69">
        <v>3.6485714285714286</v>
      </c>
      <c r="AD12" s="68">
        <f>AC11/AC12</f>
        <v>1.5837901331245108</v>
      </c>
      <c r="AE12" s="69">
        <f>20*LOG10(AD12)</f>
        <v>3.9939526604178939</v>
      </c>
      <c r="AF12" s="69">
        <v>0.18590524372095601</v>
      </c>
      <c r="AG12" s="69">
        <f>AE12-AF12</f>
        <v>3.808047416696938</v>
      </c>
      <c r="AH12" s="81">
        <f t="shared" ref="AH12:AH16" si="12">AE12/2/($B$6/1000)</f>
        <v>199.87432192147327</v>
      </c>
      <c r="AI12" s="264">
        <f t="shared" ref="AI12:AI16" si="13">AG12/2/($B$6/1000)</f>
        <v>190.57083545338767</v>
      </c>
      <c r="AL12" s="13">
        <v>2</v>
      </c>
      <c r="AM12" s="69">
        <v>3.6485714285714286</v>
      </c>
      <c r="AN12" s="68">
        <f>AM11/AM12</f>
        <v>1.5837901331245108</v>
      </c>
      <c r="AO12" s="69">
        <f>20*LOG10(AN12)</f>
        <v>3.9939526604178939</v>
      </c>
      <c r="AP12" s="69">
        <v>0.18590524372095601</v>
      </c>
      <c r="AQ12" s="69">
        <f>AO12-AP12</f>
        <v>3.808047416696938</v>
      </c>
      <c r="AR12" s="81">
        <f t="shared" ref="AR12:AR15" si="14">AO12/2/($B$6/1000)</f>
        <v>199.87432192147327</v>
      </c>
      <c r="AS12" s="264">
        <f t="shared" ref="AS12:AS15" si="15">AQ12/2/($B$6/1000)</f>
        <v>190.57083545338767</v>
      </c>
      <c r="AV12" s="13">
        <v>2</v>
      </c>
      <c r="AW12" s="69">
        <v>1.0868181818181817</v>
      </c>
      <c r="AX12" s="68">
        <f>AW11/AW12</f>
        <v>3.9039732329569223</v>
      </c>
      <c r="AY12" s="69">
        <f>20*LOG10(AX12)</f>
        <v>11.830136626517278</v>
      </c>
      <c r="AZ12" s="69">
        <v>0.15290000000000001</v>
      </c>
      <c r="BA12" s="69">
        <f>AY12-AZ12</f>
        <v>11.677236626517278</v>
      </c>
      <c r="BB12" s="246">
        <f t="shared" ref="BB12" si="16">AY12/2/($B$6/1000)</f>
        <v>592.03018601029703</v>
      </c>
      <c r="BC12" s="289">
        <f t="shared" ref="BC12" si="17">BA12/2/($B$6/1000)</f>
        <v>584.37842185077989</v>
      </c>
      <c r="BD12" s="247" t="s">
        <v>152</v>
      </c>
    </row>
    <row r="13" spans="1:56" ht="18" customHeight="1" x14ac:dyDescent="0.25">
      <c r="A13" s="13">
        <v>3</v>
      </c>
      <c r="B13" s="69">
        <v>44.581428571428567</v>
      </c>
      <c r="C13" s="263">
        <f>B12/B13</f>
        <v>1.0574550581600284</v>
      </c>
      <c r="D13" s="81">
        <f t="shared" ref="D13:D16" si="18">20*LOG10(C13)</f>
        <v>0.48523837847620455</v>
      </c>
      <c r="E13" s="81">
        <v>0.29772932530847535</v>
      </c>
      <c r="F13" s="81">
        <f t="shared" ref="F13:F16" si="19">D13-E13</f>
        <v>0.1875090531677292</v>
      </c>
      <c r="G13" s="246">
        <f t="shared" si="6"/>
        <v>24.283385436536122</v>
      </c>
      <c r="H13" s="264">
        <f t="shared" si="7"/>
        <v>9.3837478915225656</v>
      </c>
      <c r="I13" s="247" t="s">
        <v>139</v>
      </c>
      <c r="J13" s="13">
        <v>3</v>
      </c>
      <c r="K13" s="69">
        <v>15.664285714285715</v>
      </c>
      <c r="L13" s="68">
        <f t="shared" ref="L13:L16" si="20">K12/K13</f>
        <v>1.1721842225262198</v>
      </c>
      <c r="M13" s="81">
        <f t="shared" ref="M13:M16" si="21">20*LOG10(L13)</f>
        <v>1.3799174305568571</v>
      </c>
      <c r="N13" s="81">
        <v>0.20304361340769761</v>
      </c>
      <c r="O13" s="81">
        <f t="shared" ref="O13:O16" si="22">M13-N13</f>
        <v>1.1768738171491595</v>
      </c>
      <c r="P13" s="246">
        <f t="shared" si="8"/>
        <v>69.056917843216254</v>
      </c>
      <c r="Q13" s="289">
        <f t="shared" si="9"/>
        <v>58.895754704616856</v>
      </c>
      <c r="R13" s="247" t="s">
        <v>139</v>
      </c>
      <c r="S13" s="13">
        <v>3</v>
      </c>
      <c r="T13" s="69">
        <v>5.3214285714285712</v>
      </c>
      <c r="U13" s="68">
        <f t="shared" ref="U13:U16" si="23">T12/T13</f>
        <v>1.4056375838926174</v>
      </c>
      <c r="V13" s="246">
        <f t="shared" ref="V13:V16" si="24">20*LOG10(U13)</f>
        <v>2.9574672158881303</v>
      </c>
      <c r="W13" s="81">
        <v>0.17533420935341745</v>
      </c>
      <c r="X13" s="81">
        <f t="shared" ref="X13:X16" si="25">V13-W13</f>
        <v>2.7821330065347127</v>
      </c>
      <c r="Y13" s="246">
        <f t="shared" si="10"/>
        <v>148.00419650411615</v>
      </c>
      <c r="Z13" s="289">
        <f t="shared" si="11"/>
        <v>139.22972940753189</v>
      </c>
      <c r="AA13" s="247" t="s">
        <v>139</v>
      </c>
      <c r="AB13" s="13">
        <v>3</v>
      </c>
      <c r="AC13" s="69">
        <v>2.2671428571428573</v>
      </c>
      <c r="AD13" s="68">
        <f t="shared" ref="AD13:AD16" si="26">AC12/AC13</f>
        <v>1.6093257718966603</v>
      </c>
      <c r="AE13" s="246">
        <f t="shared" ref="AE13:AE16" si="27">20*LOG10(AD13)</f>
        <v>4.1328793234509655</v>
      </c>
      <c r="AF13" s="81">
        <v>0.1609616513500424</v>
      </c>
      <c r="AG13" s="81">
        <f t="shared" ref="AG13:AG16" si="28">AE13-AF13</f>
        <v>3.9719176721009233</v>
      </c>
      <c r="AH13" s="246">
        <f t="shared" si="12"/>
        <v>206.82680106468945</v>
      </c>
      <c r="AI13" s="289">
        <f t="shared" si="13"/>
        <v>198.77159769741067</v>
      </c>
      <c r="AJ13" s="247" t="s">
        <v>139</v>
      </c>
      <c r="AL13" s="13">
        <v>3</v>
      </c>
      <c r="AM13" s="69">
        <v>2.2671428571428573</v>
      </c>
      <c r="AN13" s="68">
        <f t="shared" ref="AN13:AN15" si="29">AM12/AM13</f>
        <v>1.6093257718966603</v>
      </c>
      <c r="AO13" s="246">
        <f t="shared" ref="AO13:AO15" si="30">20*LOG10(AN13)</f>
        <v>4.1328793234509655</v>
      </c>
      <c r="AP13" s="81">
        <v>0.1609616513500424</v>
      </c>
      <c r="AQ13" s="81">
        <f t="shared" ref="AQ13:AQ15" si="31">AO13-AP13</f>
        <v>3.9719176721009233</v>
      </c>
      <c r="AR13" s="246">
        <f t="shared" si="14"/>
        <v>206.82680106468945</v>
      </c>
      <c r="AS13" s="289">
        <f t="shared" si="15"/>
        <v>198.77159769741067</v>
      </c>
      <c r="AT13" s="247" t="s">
        <v>139</v>
      </c>
      <c r="AV13" s="13">
        <v>3</v>
      </c>
      <c r="AW13" s="45"/>
      <c r="AX13" s="68"/>
      <c r="AY13" s="81"/>
      <c r="AZ13" s="81"/>
      <c r="BA13" s="81"/>
      <c r="BB13" s="81"/>
      <c r="BC13" s="264"/>
    </row>
    <row r="14" spans="1:56" ht="18" customHeight="1" x14ac:dyDescent="0.25">
      <c r="A14" s="13">
        <v>4</v>
      </c>
      <c r="B14" s="69">
        <v>42.182857142857145</v>
      </c>
      <c r="C14" s="263">
        <f>B13/B14</f>
        <v>1.0568612842048224</v>
      </c>
      <c r="D14" s="81">
        <f t="shared" si="18"/>
        <v>0.48035977532953017</v>
      </c>
      <c r="E14" s="81">
        <v>0.37004338647707702</v>
      </c>
      <c r="F14" s="81">
        <f t="shared" si="19"/>
        <v>0.11031638885245315</v>
      </c>
      <c r="G14" s="246">
        <f t="shared" si="6"/>
        <v>24.039239454153979</v>
      </c>
      <c r="H14" s="264">
        <f t="shared" si="7"/>
        <v>5.520699741193873</v>
      </c>
      <c r="I14" s="245" t="s">
        <v>144</v>
      </c>
      <c r="J14" s="13">
        <v>4</v>
      </c>
      <c r="K14" s="69">
        <v>13.362857142857143</v>
      </c>
      <c r="L14" s="68">
        <f t="shared" si="20"/>
        <v>1.1722257857601026</v>
      </c>
      <c r="M14" s="81">
        <f t="shared" si="21"/>
        <v>1.3802254088211274</v>
      </c>
      <c r="N14" s="81">
        <v>0.24162135544887303</v>
      </c>
      <c r="O14" s="81">
        <f t="shared" si="22"/>
        <v>1.1386040533722543</v>
      </c>
      <c r="P14" s="81">
        <f t="shared" si="8"/>
        <v>69.072330381113275</v>
      </c>
      <c r="Q14" s="289">
        <f t="shared" si="9"/>
        <v>56.98057349558281</v>
      </c>
      <c r="S14" s="13">
        <v>4</v>
      </c>
      <c r="T14" s="69">
        <v>3.891428571428571</v>
      </c>
      <c r="U14" s="68">
        <f t="shared" si="23"/>
        <v>1.367474302496329</v>
      </c>
      <c r="V14" s="81">
        <f t="shared" si="24"/>
        <v>2.7183834768712822</v>
      </c>
      <c r="W14" s="81">
        <v>0.14374894519547304</v>
      </c>
      <c r="X14" s="81">
        <f t="shared" si="25"/>
        <v>2.5746345316758092</v>
      </c>
      <c r="Y14" s="246">
        <f t="shared" si="10"/>
        <v>136.03943270207273</v>
      </c>
      <c r="Z14" s="289">
        <f t="shared" si="11"/>
        <v>128.84562611727813</v>
      </c>
      <c r="AB14" s="13">
        <v>4</v>
      </c>
      <c r="AC14" s="69">
        <v>1.39</v>
      </c>
      <c r="AD14" s="68">
        <f t="shared" si="26"/>
        <v>1.6310380267214801</v>
      </c>
      <c r="AE14" s="81">
        <f t="shared" si="27"/>
        <v>4.249281729729927</v>
      </c>
      <c r="AF14" s="81">
        <v>0.12777851655927852</v>
      </c>
      <c r="AG14" s="81">
        <f t="shared" si="28"/>
        <v>4.1215032131706488</v>
      </c>
      <c r="AH14" s="81">
        <f t="shared" si="12"/>
        <v>212.65207091718713</v>
      </c>
      <c r="AI14" s="264">
        <f t="shared" si="13"/>
        <v>206.25749228170946</v>
      </c>
      <c r="AL14" s="13">
        <v>4</v>
      </c>
      <c r="AM14" s="69">
        <v>1.39</v>
      </c>
      <c r="AN14" s="68">
        <f t="shared" si="29"/>
        <v>1.6310380267214801</v>
      </c>
      <c r="AO14" s="81">
        <f t="shared" si="30"/>
        <v>4.249281729729927</v>
      </c>
      <c r="AP14" s="81">
        <v>0.12777851655927852</v>
      </c>
      <c r="AQ14" s="81">
        <f t="shared" si="31"/>
        <v>4.1215032131706488</v>
      </c>
      <c r="AR14" s="81">
        <f t="shared" si="14"/>
        <v>212.65207091718713</v>
      </c>
      <c r="AS14" s="264">
        <f t="shared" si="15"/>
        <v>206.25749228170946</v>
      </c>
      <c r="AV14" s="13">
        <v>4</v>
      </c>
      <c r="AW14" s="45"/>
      <c r="AX14" s="68"/>
      <c r="AY14" s="81"/>
      <c r="AZ14" s="81"/>
      <c r="BA14" s="81"/>
      <c r="BB14" s="81"/>
      <c r="BC14" s="264"/>
    </row>
    <row r="15" spans="1:56" ht="18" customHeight="1" x14ac:dyDescent="0.25">
      <c r="A15" s="13">
        <v>5</v>
      </c>
      <c r="B15" s="69">
        <v>38.35857142857143</v>
      </c>
      <c r="C15" s="263">
        <f>B14/B15</f>
        <v>1.0996983352575322</v>
      </c>
      <c r="D15" s="81">
        <f t="shared" si="18"/>
        <v>0.82547135224374169</v>
      </c>
      <c r="E15" s="81">
        <v>3.6937720443056911E-2</v>
      </c>
      <c r="F15" s="81">
        <f t="shared" si="19"/>
        <v>0.78853363180068481</v>
      </c>
      <c r="G15" s="81">
        <f t="shared" si="6"/>
        <v>41.310085727970609</v>
      </c>
      <c r="H15" s="264">
        <f t="shared" si="7"/>
        <v>39.461565614037049</v>
      </c>
      <c r="I15" s="245" t="s">
        <v>145</v>
      </c>
      <c r="J15" s="13">
        <v>5</v>
      </c>
      <c r="K15" s="69">
        <v>11.56</v>
      </c>
      <c r="L15" s="68">
        <f t="shared" si="20"/>
        <v>1.1559565002471577</v>
      </c>
      <c r="M15" s="81">
        <f t="shared" si="21"/>
        <v>1.2588298294743647</v>
      </c>
      <c r="N15" s="81">
        <v>0.17749432632455597</v>
      </c>
      <c r="O15" s="81">
        <f t="shared" si="22"/>
        <v>1.0813355031498086</v>
      </c>
      <c r="P15" s="81">
        <f t="shared" si="8"/>
        <v>62.997180981706059</v>
      </c>
      <c r="Q15" s="264">
        <f t="shared" si="9"/>
        <v>54.114612474918253</v>
      </c>
      <c r="S15" s="13">
        <v>5</v>
      </c>
      <c r="T15" s="69">
        <v>2.9842857142857144</v>
      </c>
      <c r="U15" s="68">
        <f t="shared" si="23"/>
        <v>1.3039731929152703</v>
      </c>
      <c r="V15" s="81">
        <f t="shared" si="24"/>
        <v>2.3053732652087779</v>
      </c>
      <c r="W15" s="81">
        <v>0.16054229487090504</v>
      </c>
      <c r="X15" s="81">
        <f t="shared" si="25"/>
        <v>2.144830970337873</v>
      </c>
      <c r="Y15" s="81">
        <f t="shared" si="10"/>
        <v>115.3706509158485</v>
      </c>
      <c r="Z15" s="70">
        <f t="shared" si="11"/>
        <v>107.33643392448289</v>
      </c>
      <c r="AB15" s="13">
        <v>5</v>
      </c>
      <c r="AC15" s="69">
        <v>1.0132857142857143</v>
      </c>
      <c r="AD15" s="68">
        <f t="shared" si="26"/>
        <v>1.3717749894261946</v>
      </c>
      <c r="AE15" s="81">
        <f t="shared" si="27"/>
        <v>2.7456576083964186</v>
      </c>
      <c r="AF15" s="81">
        <v>0.11139995457576768</v>
      </c>
      <c r="AG15" s="81">
        <f t="shared" si="28"/>
        <v>2.6342576538206508</v>
      </c>
      <c r="AH15" s="81">
        <f t="shared" si="12"/>
        <v>137.40434586156255</v>
      </c>
      <c r="AI15" s="70">
        <f t="shared" si="13"/>
        <v>131.82941989822257</v>
      </c>
      <c r="AL15" s="13">
        <v>5</v>
      </c>
      <c r="AM15" s="69">
        <v>1.0132857142857143</v>
      </c>
      <c r="AN15" s="68">
        <f t="shared" si="29"/>
        <v>1.3717749894261946</v>
      </c>
      <c r="AO15" s="81">
        <f t="shared" si="30"/>
        <v>2.7456576083964186</v>
      </c>
      <c r="AP15" s="81">
        <v>0.11139995457576768</v>
      </c>
      <c r="AQ15" s="81">
        <f t="shared" si="31"/>
        <v>2.6342576538206508</v>
      </c>
      <c r="AR15" s="81">
        <f t="shared" si="14"/>
        <v>137.40434586156255</v>
      </c>
      <c r="AS15" s="70">
        <f t="shared" si="15"/>
        <v>131.82941989822257</v>
      </c>
      <c r="AV15" s="13">
        <v>5</v>
      </c>
      <c r="AW15" s="45"/>
      <c r="AX15" s="68"/>
      <c r="AY15" s="81"/>
      <c r="AZ15" s="81"/>
      <c r="BA15" s="81"/>
      <c r="BB15" s="81"/>
      <c r="BC15" s="70"/>
    </row>
    <row r="16" spans="1:56" ht="18" customHeight="1" thickBot="1" x14ac:dyDescent="0.3">
      <c r="A16" s="13">
        <v>6</v>
      </c>
      <c r="B16" s="69">
        <v>36.284285714285723</v>
      </c>
      <c r="C16" s="263">
        <f>B15/B16</f>
        <v>1.0571676050238197</v>
      </c>
      <c r="D16" s="81">
        <f t="shared" si="18"/>
        <v>0.48287693000024401</v>
      </c>
      <c r="E16" s="81">
        <v>0.54190368413452306</v>
      </c>
      <c r="F16" s="81">
        <f t="shared" si="19"/>
        <v>-5.9026754134279047E-2</v>
      </c>
      <c r="G16" s="81">
        <f t="shared" si="6"/>
        <v>24.165208544365417</v>
      </c>
      <c r="H16" s="264">
        <f t="shared" si="7"/>
        <v>-2.953948997627855</v>
      </c>
      <c r="J16" s="13">
        <v>6</v>
      </c>
      <c r="K16" s="69">
        <v>10.124285714285715</v>
      </c>
      <c r="L16" s="68">
        <f t="shared" si="20"/>
        <v>1.1418089459573866</v>
      </c>
      <c r="M16" s="69">
        <f t="shared" si="21"/>
        <v>1.1518688267450088</v>
      </c>
      <c r="N16" s="69">
        <v>2.2112705268526961E-2</v>
      </c>
      <c r="O16" s="69">
        <f t="shared" si="22"/>
        <v>1.1297561214764817</v>
      </c>
      <c r="P16" s="69">
        <f t="shared" si="8"/>
        <v>57.64439898595402</v>
      </c>
      <c r="Q16" s="289">
        <f t="shared" si="9"/>
        <v>56.537785476185029</v>
      </c>
      <c r="S16" s="13">
        <v>6</v>
      </c>
      <c r="T16" s="69">
        <v>2.31</v>
      </c>
      <c r="U16" s="68">
        <f t="shared" si="23"/>
        <v>1.2918985776128633</v>
      </c>
      <c r="V16" s="69">
        <f t="shared" si="24"/>
        <v>2.2245684014781486</v>
      </c>
      <c r="W16" s="69">
        <v>0.12154627034784038</v>
      </c>
      <c r="X16" s="69">
        <f t="shared" si="25"/>
        <v>2.1030221311303081</v>
      </c>
      <c r="Y16" s="69">
        <f t="shared" si="10"/>
        <v>111.32683299427435</v>
      </c>
      <c r="Z16" s="70">
        <f t="shared" si="11"/>
        <v>105.24414237837789</v>
      </c>
      <c r="AB16" s="13">
        <v>6</v>
      </c>
      <c r="AC16" s="351">
        <v>0.86828571428571422</v>
      </c>
      <c r="AD16" s="352">
        <f t="shared" si="26"/>
        <v>1.1669957222770651</v>
      </c>
      <c r="AE16" s="351">
        <f t="shared" si="27"/>
        <v>1.3413852820921388</v>
      </c>
      <c r="AF16" s="351">
        <v>0.11961625241663583</v>
      </c>
      <c r="AG16" s="351">
        <f t="shared" si="28"/>
        <v>1.221769029675503</v>
      </c>
      <c r="AH16" s="351">
        <f t="shared" si="12"/>
        <v>67.128605792127175</v>
      </c>
      <c r="AI16" s="353">
        <f t="shared" si="13"/>
        <v>61.142501455061421</v>
      </c>
      <c r="AL16" s="13">
        <v>6</v>
      </c>
      <c r="AM16" s="69"/>
      <c r="AN16" s="68"/>
      <c r="AP16" s="69"/>
      <c r="AQ16" s="69"/>
      <c r="AR16" s="69">
        <f>AO17/2/($B$6/1000)</f>
        <v>189.1893849412281</v>
      </c>
      <c r="AS16" s="70"/>
      <c r="AV16" s="13">
        <v>6</v>
      </c>
      <c r="AW16" s="45"/>
      <c r="AX16" s="68"/>
      <c r="AY16" s="69"/>
      <c r="AZ16" s="69"/>
      <c r="BA16" s="69"/>
      <c r="BB16" s="69"/>
      <c r="BC16" s="70"/>
    </row>
    <row r="17" spans="1:55" ht="18" customHeight="1" thickBot="1" x14ac:dyDescent="0.3">
      <c r="A17" s="13">
        <v>7</v>
      </c>
      <c r="B17" s="340" t="s">
        <v>203</v>
      </c>
      <c r="C17" s="341">
        <f t="shared" ref="C17:H17" si="32">AVERAGE(C12:C16)</f>
        <v>1.0688728201656041</v>
      </c>
      <c r="D17" s="341">
        <f t="shared" si="32"/>
        <v>0.57748251223602687</v>
      </c>
      <c r="E17" s="341">
        <f t="shared" si="32"/>
        <v>0.3191881810586974</v>
      </c>
      <c r="F17" s="341">
        <f t="shared" si="32"/>
        <v>0.25829433117732947</v>
      </c>
      <c r="G17" s="341">
        <f t="shared" si="32"/>
        <v>28.899672922664973</v>
      </c>
      <c r="H17" s="341">
        <f t="shared" si="32"/>
        <v>12.926143269516723</v>
      </c>
      <c r="J17" s="13">
        <v>7</v>
      </c>
      <c r="K17" s="340" t="s">
        <v>203</v>
      </c>
      <c r="L17" s="341">
        <f t="shared" ref="L17:Q17" si="33">AVERAGE(L12:L16)</f>
        <v>1.160738833215142</v>
      </c>
      <c r="M17" s="341">
        <f t="shared" si="33"/>
        <v>1.2942731411060353</v>
      </c>
      <c r="N17" s="341">
        <f t="shared" si="33"/>
        <v>0.18358254932357734</v>
      </c>
      <c r="O17" s="341">
        <f t="shared" si="33"/>
        <v>1.1106905917824579</v>
      </c>
      <c r="P17" s="341">
        <f t="shared" si="33"/>
        <v>64.770914543758437</v>
      </c>
      <c r="Q17" s="341">
        <f t="shared" si="33"/>
        <v>55.58366554946862</v>
      </c>
      <c r="S17" s="13">
        <v>7</v>
      </c>
      <c r="T17" s="340" t="s">
        <v>203</v>
      </c>
      <c r="U17" s="341">
        <f t="shared" ref="U17:Z17" si="34">AVERAGE(U12:U16)</f>
        <v>1.3401068918112236</v>
      </c>
      <c r="V17" s="341">
        <f t="shared" si="34"/>
        <v>2.5385894341262172</v>
      </c>
      <c r="W17" s="341">
        <f t="shared" si="34"/>
        <v>0.16335047926316995</v>
      </c>
      <c r="X17" s="341">
        <f t="shared" si="34"/>
        <v>2.3752389548630473</v>
      </c>
      <c r="Y17" s="341">
        <f t="shared" si="34"/>
        <v>127.04177663685785</v>
      </c>
      <c r="Z17" s="341">
        <f t="shared" si="34"/>
        <v>118.86702619430812</v>
      </c>
      <c r="AB17" s="13">
        <v>7</v>
      </c>
      <c r="AC17" s="36"/>
      <c r="AD17" s="68"/>
      <c r="AE17" s="69"/>
      <c r="AF17" s="69"/>
      <c r="AG17" s="340" t="s">
        <v>203</v>
      </c>
      <c r="AH17" s="341">
        <f>AVERAGE(AH12:AH16)</f>
        <v>164.77722911140791</v>
      </c>
      <c r="AI17" s="341">
        <f>AVERAGE(AI12:AI16)</f>
        <v>157.71436935715835</v>
      </c>
      <c r="AL17" s="13">
        <v>7</v>
      </c>
      <c r="AM17" s="340" t="s">
        <v>203</v>
      </c>
      <c r="AN17" s="341">
        <f t="shared" ref="AN17:AS17" si="35">AVERAGE(AN12:AN16)</f>
        <v>1.5489822302922114</v>
      </c>
      <c r="AO17" s="341">
        <f t="shared" si="35"/>
        <v>3.7804428304988016</v>
      </c>
      <c r="AP17" s="341">
        <f t="shared" si="35"/>
        <v>0.14651134155151116</v>
      </c>
      <c r="AQ17" s="341">
        <f t="shared" si="35"/>
        <v>3.6339314889472902</v>
      </c>
      <c r="AR17" s="341">
        <f t="shared" si="35"/>
        <v>189.1893849412281</v>
      </c>
      <c r="AS17" s="341">
        <f t="shared" si="35"/>
        <v>181.85733633268259</v>
      </c>
      <c r="AV17" s="13">
        <v>7</v>
      </c>
      <c r="AW17" s="340" t="s">
        <v>203</v>
      </c>
      <c r="AX17" s="341">
        <f t="shared" ref="AX17:BC17" si="36">AVERAGE(AX12:AX16)</f>
        <v>3.9039732329569223</v>
      </c>
      <c r="AY17" s="341">
        <f t="shared" si="36"/>
        <v>11.830136626517278</v>
      </c>
      <c r="AZ17" s="341">
        <f t="shared" si="36"/>
        <v>0.15290000000000001</v>
      </c>
      <c r="BA17" s="341">
        <f t="shared" si="36"/>
        <v>11.677236626517278</v>
      </c>
      <c r="BB17" s="341">
        <f t="shared" si="36"/>
        <v>592.03018601029703</v>
      </c>
      <c r="BC17" s="341">
        <f t="shared" si="36"/>
        <v>584.37842185077989</v>
      </c>
    </row>
    <row r="18" spans="1:55" ht="18" customHeight="1" x14ac:dyDescent="0.25">
      <c r="A18" s="13">
        <v>8</v>
      </c>
      <c r="B18" s="69">
        <v>50.592857142857142</v>
      </c>
      <c r="C18" s="69">
        <v>47.142857142857146</v>
      </c>
      <c r="D18" s="69">
        <v>44.581428571428567</v>
      </c>
      <c r="E18" s="69">
        <v>42.182857142857145</v>
      </c>
      <c r="F18" s="69">
        <v>38.35857142857143</v>
      </c>
      <c r="G18" s="69">
        <v>36.284285714285723</v>
      </c>
      <c r="H18" s="70"/>
      <c r="J18" s="13">
        <v>8</v>
      </c>
      <c r="K18" s="36"/>
      <c r="L18" s="68"/>
      <c r="M18" s="69"/>
      <c r="N18" s="69"/>
      <c r="O18" s="69"/>
      <c r="P18" s="69"/>
      <c r="Q18" s="70"/>
      <c r="S18" s="13">
        <v>8</v>
      </c>
      <c r="T18" s="36"/>
      <c r="U18" s="68"/>
      <c r="V18" s="69"/>
      <c r="W18" s="69"/>
      <c r="X18" s="69"/>
      <c r="Y18" s="69"/>
      <c r="Z18" s="70"/>
      <c r="AB18" s="13">
        <v>8</v>
      </c>
      <c r="AC18" s="36"/>
      <c r="AD18" s="68"/>
      <c r="AE18" s="69"/>
      <c r="AF18" s="69"/>
      <c r="AG18" s="69"/>
      <c r="AH18" s="69"/>
      <c r="AI18" s="70"/>
      <c r="AL18" s="13">
        <v>8</v>
      </c>
      <c r="AM18" s="36"/>
      <c r="AN18" s="68"/>
      <c r="AO18" s="69"/>
      <c r="AP18" s="69"/>
      <c r="AQ18" s="69"/>
      <c r="AR18" s="69"/>
      <c r="AS18" s="70"/>
      <c r="AV18" s="13">
        <v>8</v>
      </c>
      <c r="AW18" s="36"/>
      <c r="AX18" s="68"/>
      <c r="AY18" s="69"/>
      <c r="AZ18" s="69"/>
      <c r="BA18" s="69"/>
      <c r="BB18" s="69"/>
      <c r="BC18" s="70"/>
    </row>
    <row r="19" spans="1:55" ht="18" customHeight="1" x14ac:dyDescent="0.25">
      <c r="A19" s="13">
        <v>9</v>
      </c>
      <c r="B19" s="36"/>
      <c r="C19" s="68"/>
      <c r="D19" s="69"/>
      <c r="E19" s="69"/>
      <c r="F19" s="69"/>
      <c r="G19" s="69"/>
      <c r="H19" s="70"/>
      <c r="J19" s="13">
        <v>9</v>
      </c>
      <c r="K19" s="69">
        <v>21.327142857142857</v>
      </c>
      <c r="L19" s="69">
        <v>18.361428571428572</v>
      </c>
      <c r="M19" s="69">
        <v>15.664285714285715</v>
      </c>
      <c r="N19" s="69">
        <v>13.362857142857143</v>
      </c>
      <c r="O19" s="69">
        <v>11.56</v>
      </c>
      <c r="P19" s="69">
        <v>10.124285714285715</v>
      </c>
      <c r="Q19" s="70"/>
      <c r="S19" s="13">
        <v>9</v>
      </c>
      <c r="T19" s="69">
        <v>9.9599999999999991</v>
      </c>
      <c r="U19" s="69">
        <v>7.4799999999999995</v>
      </c>
      <c r="V19" s="69">
        <v>5.3214285714285712</v>
      </c>
      <c r="W19" s="69">
        <v>3.891428571428571</v>
      </c>
      <c r="X19" s="69">
        <v>2.9842857142857144</v>
      </c>
      <c r="Y19" s="69">
        <v>2.1671428571428573</v>
      </c>
      <c r="Z19" s="70"/>
      <c r="AB19" s="13">
        <v>9</v>
      </c>
      <c r="AC19" s="69">
        <v>5.7785714285714294</v>
      </c>
      <c r="AD19" s="69">
        <v>3.6485714285714286</v>
      </c>
      <c r="AE19" s="69">
        <v>2.2671428571428573</v>
      </c>
      <c r="AF19" s="69">
        <v>1.39</v>
      </c>
      <c r="AG19" s="69">
        <v>1.0132857142857143</v>
      </c>
      <c r="AH19" s="69">
        <v>0.86828571428571422</v>
      </c>
      <c r="AI19" s="70"/>
      <c r="AL19" s="13">
        <v>9</v>
      </c>
      <c r="AM19" s="69">
        <v>5.7785714285714294</v>
      </c>
      <c r="AN19" s="69">
        <v>3.6485714285714286</v>
      </c>
      <c r="AO19" s="69">
        <v>2.2671428571428573</v>
      </c>
      <c r="AP19" s="69">
        <v>1.39</v>
      </c>
      <c r="AQ19" s="69">
        <v>1.0132857142857143</v>
      </c>
      <c r="AR19" s="69">
        <v>0.86828571428571422</v>
      </c>
      <c r="AS19" s="70"/>
      <c r="AV19" s="13">
        <v>9</v>
      </c>
      <c r="AW19" s="36"/>
      <c r="AX19" s="68"/>
      <c r="AY19" s="69"/>
      <c r="AZ19" s="69"/>
      <c r="BA19" s="69"/>
      <c r="BB19" s="69"/>
      <c r="BC19" s="70"/>
    </row>
    <row r="20" spans="1:55" ht="18" customHeight="1" x14ac:dyDescent="0.25">
      <c r="A20" s="31">
        <v>10</v>
      </c>
      <c r="B20" s="42"/>
      <c r="C20" s="71"/>
      <c r="D20" s="72"/>
      <c r="E20" s="72"/>
      <c r="F20" s="72"/>
      <c r="G20" s="72"/>
      <c r="H20" s="73"/>
      <c r="J20" s="31">
        <v>10</v>
      </c>
      <c r="K20" s="42"/>
      <c r="L20" s="71"/>
      <c r="M20" s="72"/>
      <c r="N20" s="72"/>
      <c r="O20" s="72"/>
      <c r="P20" s="72"/>
      <c r="Q20" s="73"/>
      <c r="S20" s="31">
        <v>10</v>
      </c>
      <c r="T20" s="42"/>
      <c r="U20" s="71"/>
      <c r="V20" s="72"/>
      <c r="W20" s="72"/>
      <c r="X20" s="72"/>
      <c r="Y20" s="72"/>
      <c r="Z20" s="73"/>
      <c r="AB20" s="31">
        <v>10</v>
      </c>
      <c r="AC20" s="42"/>
      <c r="AD20" s="71"/>
      <c r="AE20" s="72"/>
      <c r="AF20" s="72"/>
      <c r="AG20" s="72"/>
      <c r="AH20" s="72"/>
      <c r="AI20" s="73"/>
      <c r="AL20" s="31">
        <v>10</v>
      </c>
      <c r="AM20" s="42"/>
      <c r="AN20" s="71"/>
      <c r="AO20" s="72"/>
      <c r="AP20" s="72"/>
      <c r="AQ20" s="72"/>
      <c r="AR20" s="72"/>
      <c r="AS20" s="73"/>
      <c r="AV20" s="31">
        <v>10</v>
      </c>
      <c r="AW20" s="42"/>
      <c r="AX20" s="71"/>
      <c r="AY20" s="72"/>
      <c r="AZ20" s="72"/>
      <c r="BA20" s="72"/>
      <c r="BB20" s="72"/>
      <c r="BC20" s="73"/>
    </row>
    <row r="21" spans="1:55" ht="18" customHeight="1" x14ac:dyDescent="0.25">
      <c r="A21" s="27" t="s">
        <v>11</v>
      </c>
      <c r="B21" s="89" t="s">
        <v>171</v>
      </c>
      <c r="C21" s="89" t="s">
        <v>40</v>
      </c>
      <c r="D21" s="89" t="s">
        <v>14</v>
      </c>
      <c r="E21" s="90" t="s">
        <v>9</v>
      </c>
      <c r="F21" s="89" t="s">
        <v>15</v>
      </c>
      <c r="G21" s="90" t="s">
        <v>16</v>
      </c>
      <c r="H21" s="91" t="s">
        <v>17</v>
      </c>
      <c r="J21" s="27" t="s">
        <v>11</v>
      </c>
      <c r="K21" s="89" t="s">
        <v>171</v>
      </c>
      <c r="L21" s="89" t="s">
        <v>40</v>
      </c>
      <c r="M21" s="89" t="s">
        <v>14</v>
      </c>
      <c r="N21" s="90" t="s">
        <v>9</v>
      </c>
      <c r="O21" s="89" t="s">
        <v>15</v>
      </c>
      <c r="P21" s="90" t="s">
        <v>16</v>
      </c>
      <c r="Q21" s="91" t="s">
        <v>17</v>
      </c>
      <c r="S21" s="27" t="s">
        <v>11</v>
      </c>
      <c r="T21" s="89" t="s">
        <v>171</v>
      </c>
      <c r="U21" s="89" t="s">
        <v>40</v>
      </c>
      <c r="V21" s="89" t="s">
        <v>14</v>
      </c>
      <c r="W21" s="90" t="s">
        <v>9</v>
      </c>
      <c r="X21" s="89" t="s">
        <v>15</v>
      </c>
      <c r="Y21" s="90" t="s">
        <v>16</v>
      </c>
      <c r="Z21" s="91" t="s">
        <v>17</v>
      </c>
      <c r="AB21" s="27" t="s">
        <v>11</v>
      </c>
      <c r="AC21" s="89" t="s">
        <v>171</v>
      </c>
      <c r="AD21" s="89" t="s">
        <v>40</v>
      </c>
      <c r="AE21" s="89" t="s">
        <v>14</v>
      </c>
      <c r="AF21" s="90" t="s">
        <v>9</v>
      </c>
      <c r="AG21" s="89" t="s">
        <v>15</v>
      </c>
      <c r="AH21" s="90" t="s">
        <v>16</v>
      </c>
      <c r="AI21" s="91" t="s">
        <v>17</v>
      </c>
      <c r="AL21" s="27" t="s">
        <v>11</v>
      </c>
      <c r="AM21" s="89" t="s">
        <v>171</v>
      </c>
      <c r="AN21" s="89" t="s">
        <v>40</v>
      </c>
      <c r="AO21" s="89" t="s">
        <v>14</v>
      </c>
      <c r="AP21" s="90" t="s">
        <v>9</v>
      </c>
      <c r="AQ21" s="89" t="s">
        <v>15</v>
      </c>
      <c r="AR21" s="90" t="s">
        <v>16</v>
      </c>
      <c r="AS21" s="91" t="s">
        <v>17</v>
      </c>
    </row>
    <row r="22" spans="1:55" ht="18" customHeight="1" x14ac:dyDescent="0.25">
      <c r="A22" s="13">
        <v>1</v>
      </c>
      <c r="B22" s="69">
        <v>50.592857142857142</v>
      </c>
      <c r="C22" s="200"/>
      <c r="D22" s="200"/>
      <c r="E22" s="200" t="s">
        <v>46</v>
      </c>
      <c r="F22" s="200"/>
      <c r="G22" s="200"/>
      <c r="H22" s="221"/>
      <c r="J22" s="13">
        <v>1</v>
      </c>
      <c r="K22" s="69">
        <v>21.327142857142857</v>
      </c>
      <c r="L22" s="36"/>
      <c r="M22" s="36"/>
      <c r="N22" s="36" t="s">
        <v>46</v>
      </c>
      <c r="O22" s="36"/>
      <c r="P22" s="36"/>
      <c r="Q22" s="30"/>
      <c r="S22" s="13">
        <v>1</v>
      </c>
      <c r="T22" s="69">
        <v>9.9599999999999991</v>
      </c>
      <c r="U22" s="36"/>
      <c r="V22" s="36"/>
      <c r="W22" s="36" t="s">
        <v>46</v>
      </c>
      <c r="X22" s="36"/>
      <c r="Y22" s="36"/>
      <c r="Z22" s="30"/>
      <c r="AB22" s="13">
        <v>1</v>
      </c>
      <c r="AC22" s="69">
        <v>5.7785714285714294</v>
      </c>
      <c r="AD22" s="36"/>
      <c r="AE22" s="36"/>
      <c r="AF22" s="36" t="s">
        <v>46</v>
      </c>
      <c r="AG22" s="36"/>
      <c r="AH22" s="36"/>
      <c r="AI22" s="30"/>
      <c r="AL22" s="13">
        <v>1</v>
      </c>
      <c r="AM22" s="69">
        <v>5.7785714285714294</v>
      </c>
      <c r="AN22" s="36"/>
      <c r="AO22" s="36"/>
      <c r="AP22" s="36" t="s">
        <v>46</v>
      </c>
      <c r="AQ22" s="36"/>
      <c r="AR22" s="36"/>
      <c r="AS22" s="30"/>
    </row>
    <row r="23" spans="1:55" ht="18" customHeight="1" x14ac:dyDescent="0.25">
      <c r="A23" s="13">
        <v>2</v>
      </c>
      <c r="B23" s="69">
        <v>47.142857142857146</v>
      </c>
      <c r="C23" s="263"/>
      <c r="D23" s="54"/>
      <c r="E23" s="81" t="s">
        <v>42</v>
      </c>
      <c r="F23" s="81"/>
      <c r="G23" s="81"/>
      <c r="H23" s="264"/>
      <c r="J23" s="13">
        <v>2</v>
      </c>
      <c r="K23" s="69">
        <v>18.361428571428572</v>
      </c>
      <c r="L23" s="68"/>
      <c r="N23" s="69" t="s">
        <v>42</v>
      </c>
      <c r="O23" s="69"/>
      <c r="P23" s="69"/>
      <c r="Q23" s="70"/>
      <c r="S23" s="13">
        <v>2</v>
      </c>
      <c r="T23" s="69">
        <v>7.4799999999999995</v>
      </c>
      <c r="U23" s="68"/>
      <c r="W23" s="69" t="s">
        <v>42</v>
      </c>
      <c r="X23" s="69"/>
      <c r="Y23" s="69"/>
      <c r="Z23" s="70"/>
      <c r="AB23" s="13">
        <v>2</v>
      </c>
      <c r="AC23" s="69">
        <v>3.6485714285714286</v>
      </c>
      <c r="AD23" s="68"/>
      <c r="AF23" s="69" t="s">
        <v>42</v>
      </c>
      <c r="AG23" s="69"/>
      <c r="AH23" s="69"/>
      <c r="AI23" s="70"/>
      <c r="AL23" s="13">
        <v>2</v>
      </c>
      <c r="AM23" s="69">
        <v>3.6485714285714286</v>
      </c>
      <c r="AN23" s="68"/>
      <c r="AP23" s="69" t="s">
        <v>42</v>
      </c>
      <c r="AQ23" s="69"/>
      <c r="AR23" s="69"/>
      <c r="AS23" s="70"/>
    </row>
    <row r="24" spans="1:55" ht="18" customHeight="1" x14ac:dyDescent="0.25">
      <c r="A24" s="13">
        <v>3</v>
      </c>
      <c r="B24" s="69">
        <v>44.581428571428567</v>
      </c>
      <c r="C24" s="263">
        <f>B22/B24</f>
        <v>1.1348415419617395</v>
      </c>
      <c r="D24" s="81">
        <f t="shared" ref="D24:D27" si="37">20*LOG10(C24)</f>
        <v>1.0987045036066192</v>
      </c>
      <c r="E24" s="81">
        <f>E12+E13</f>
        <v>0.64705611423883003</v>
      </c>
      <c r="F24" s="81">
        <f t="shared" ref="F24:F27" si="38">D24-E24</f>
        <v>0.45164838936778917</v>
      </c>
      <c r="G24" s="246">
        <f t="shared" ref="G24:G27" si="39">D24/2/($B$6/1000)/2</f>
        <v>27.491915443417458</v>
      </c>
      <c r="H24" s="264">
        <f t="shared" ref="H24:H27" si="40">F24/2/($B$6/1000)/2</f>
        <v>11.3011999949903</v>
      </c>
      <c r="I24" s="245" t="s">
        <v>151</v>
      </c>
      <c r="J24" s="13">
        <v>3</v>
      </c>
      <c r="K24" s="69">
        <v>15.664285714285715</v>
      </c>
      <c r="L24" s="68">
        <f>K22/K24</f>
        <v>1.3615139078887368</v>
      </c>
      <c r="M24" s="69">
        <f t="shared" ref="M24:M27" si="41">20*LOG10(L24)</f>
        <v>2.6804416404896747</v>
      </c>
      <c r="N24" s="69">
        <f>N12+N13</f>
        <v>0.47668435957593069</v>
      </c>
      <c r="O24" s="69">
        <f t="shared" ref="O24:O27" si="42">M24-N24</f>
        <v>2.2037572809137442</v>
      </c>
      <c r="P24" s="69">
        <f t="shared" ref="P24:P27" si="43">M24/2/($B$6/1000)/2</f>
        <v>67.070331185009408</v>
      </c>
      <c r="Q24" s="289">
        <f t="shared" ref="Q24:Q27" si="44">O24/2/($B$6/1000)/2</f>
        <v>55.142678150328493</v>
      </c>
      <c r="R24" s="245" t="s">
        <v>151</v>
      </c>
      <c r="S24" s="13">
        <v>3</v>
      </c>
      <c r="T24" s="69">
        <v>5.3214285714285712</v>
      </c>
      <c r="U24" s="68">
        <f>T22/T24</f>
        <v>1.8716778523489932</v>
      </c>
      <c r="V24" s="246">
        <f t="shared" ref="V24:V27" si="45">20*LOG10(U24)</f>
        <v>5.4446220270728771</v>
      </c>
      <c r="W24" s="69">
        <f>W12+W13</f>
        <v>0.39091488590163137</v>
      </c>
      <c r="X24" s="69">
        <f t="shared" ref="X24:X27" si="46">V24-W24</f>
        <v>5.0537071411712455</v>
      </c>
      <c r="Y24" s="246">
        <f t="shared" ref="Y24:Y27" si="47">V24/2/($B$6/1000)/2</f>
        <v>136.23598328604677</v>
      </c>
      <c r="Z24" s="289">
        <f t="shared" ref="Z24:Z27" si="48">X24/2/($B$6/1000)/2</f>
        <v>126.45446427570084</v>
      </c>
      <c r="AB24" s="13">
        <v>3</v>
      </c>
      <c r="AC24" s="69">
        <v>2.2671428571428573</v>
      </c>
      <c r="AD24" s="68">
        <f>AC22/AC24</f>
        <v>2.5488342785129174</v>
      </c>
      <c r="AE24" s="81">
        <f t="shared" ref="AE24:AE27" si="49">20*LOG10(AD24)</f>
        <v>8.1268319838688576</v>
      </c>
      <c r="AF24" s="81">
        <f>AF12+AF13</f>
        <v>0.34686689507099844</v>
      </c>
      <c r="AG24" s="81">
        <f t="shared" ref="AG24:AG27" si="50">AE24-AF24</f>
        <v>7.7799650887978595</v>
      </c>
      <c r="AH24" s="81">
        <f t="shared" ref="AH24:AH27" si="51">AE24/2/($B$6/1000)/2</f>
        <v>203.3505614930813</v>
      </c>
      <c r="AI24" s="264">
        <f t="shared" ref="AI24:AI27" si="52">AG24/2/($B$6/1000)/2</f>
        <v>194.67121657539911</v>
      </c>
      <c r="AL24" s="13">
        <v>3</v>
      </c>
      <c r="AM24" s="69">
        <v>2.2671428571428573</v>
      </c>
      <c r="AN24" s="68">
        <f>AM22/AM24</f>
        <v>2.5488342785129174</v>
      </c>
      <c r="AO24" s="81">
        <f t="shared" ref="AO24:AO26" si="53">20*LOG10(AN24)</f>
        <v>8.1268319838688576</v>
      </c>
      <c r="AP24" s="81">
        <f>AP12+AP13</f>
        <v>0.34686689507099844</v>
      </c>
      <c r="AQ24" s="81">
        <f t="shared" ref="AQ24:AQ26" si="54">AO24-AP24</f>
        <v>7.7799650887978595</v>
      </c>
      <c r="AR24" s="81">
        <f t="shared" ref="AR24:AR26" si="55">AO24/2/($B$6/1000)/2</f>
        <v>203.3505614930813</v>
      </c>
      <c r="AS24" s="264">
        <f t="shared" ref="AS24:AS26" si="56">AQ24/2/($B$6/1000)/2</f>
        <v>194.67121657539911</v>
      </c>
    </row>
    <row r="25" spans="1:55" ht="18" customHeight="1" x14ac:dyDescent="0.25">
      <c r="A25" s="13">
        <v>4</v>
      </c>
      <c r="B25" s="69">
        <v>42.182857142857145</v>
      </c>
      <c r="C25" s="263">
        <f t="shared" ref="C25:C27" si="57">B23/B25</f>
        <v>1.1175833107558928</v>
      </c>
      <c r="D25" s="81">
        <f t="shared" si="37"/>
        <v>0.96559815380573499</v>
      </c>
      <c r="E25" s="81">
        <f t="shared" ref="E25:E27" si="58">E13+E14</f>
        <v>0.66777271178555231</v>
      </c>
      <c r="F25" s="81">
        <f t="shared" si="38"/>
        <v>0.29782544202018268</v>
      </c>
      <c r="G25" s="246">
        <f t="shared" si="39"/>
        <v>24.161312445345057</v>
      </c>
      <c r="H25" s="264">
        <f t="shared" si="40"/>
        <v>7.4522238163582273</v>
      </c>
      <c r="I25" s="247" t="s">
        <v>140</v>
      </c>
      <c r="J25" s="13">
        <v>4</v>
      </c>
      <c r="K25" s="69">
        <v>13.362857142857143</v>
      </c>
      <c r="L25" s="68">
        <f t="shared" ref="L25:L27" si="59">K23/K25</f>
        <v>1.374064571306393</v>
      </c>
      <c r="M25" s="246">
        <f t="shared" si="41"/>
        <v>2.7601428393779854</v>
      </c>
      <c r="N25" s="81">
        <f t="shared" ref="N25:N27" si="60">N13+N14</f>
        <v>0.44466496885657064</v>
      </c>
      <c r="O25" s="81">
        <f t="shared" si="42"/>
        <v>2.315477870521415</v>
      </c>
      <c r="P25" s="246">
        <f t="shared" si="43"/>
        <v>69.064624112164779</v>
      </c>
      <c r="Q25" s="289">
        <f t="shared" si="44"/>
        <v>57.938164100099861</v>
      </c>
      <c r="R25" s="247" t="s">
        <v>140</v>
      </c>
      <c r="S25" s="13">
        <v>4</v>
      </c>
      <c r="T25" s="69">
        <v>3.891428571428571</v>
      </c>
      <c r="U25" s="68">
        <f t="shared" ref="U25:U27" si="61">T23/T25</f>
        <v>1.9221732745961821</v>
      </c>
      <c r="V25" s="246">
        <f t="shared" si="45"/>
        <v>5.675850692759413</v>
      </c>
      <c r="W25" s="81">
        <f t="shared" ref="W25:W27" si="62">W13+W14</f>
        <v>0.31908315454889047</v>
      </c>
      <c r="X25" s="81">
        <f t="shared" si="46"/>
        <v>5.3567675382105229</v>
      </c>
      <c r="Y25" s="246">
        <f t="shared" si="47"/>
        <v>142.02181460309444</v>
      </c>
      <c r="Z25" s="289">
        <f t="shared" si="48"/>
        <v>134.03767776240502</v>
      </c>
      <c r="AA25" s="247" t="s">
        <v>140</v>
      </c>
      <c r="AB25" s="13">
        <v>4</v>
      </c>
      <c r="AC25" s="69">
        <v>1.39</v>
      </c>
      <c r="AD25" s="68">
        <f t="shared" ref="AD25:AD27" si="63">AC23/AC25</f>
        <v>2.6248715313463515</v>
      </c>
      <c r="AE25" s="81">
        <f t="shared" si="49"/>
        <v>8.3821610531808926</v>
      </c>
      <c r="AF25" s="81">
        <f t="shared" ref="AF25:AF27" si="64">AF13+AF14</f>
        <v>0.28874016790932089</v>
      </c>
      <c r="AG25" s="81">
        <f t="shared" si="50"/>
        <v>8.0934208852715717</v>
      </c>
      <c r="AH25" s="246">
        <f t="shared" si="51"/>
        <v>209.73943599093829</v>
      </c>
      <c r="AI25" s="289">
        <f t="shared" si="52"/>
        <v>202.51454498956005</v>
      </c>
      <c r="AJ25" s="247" t="s">
        <v>140</v>
      </c>
      <c r="AL25" s="13">
        <v>4</v>
      </c>
      <c r="AM25" s="69">
        <v>1.39</v>
      </c>
      <c r="AN25" s="68">
        <f t="shared" ref="AN25:AN26" si="65">AM23/AM25</f>
        <v>2.6248715313463515</v>
      </c>
      <c r="AO25" s="81">
        <f t="shared" si="53"/>
        <v>8.3821610531808926</v>
      </c>
      <c r="AP25" s="81">
        <f t="shared" ref="AP25:AP26" si="66">AP13+AP14</f>
        <v>0.28874016790932089</v>
      </c>
      <c r="AQ25" s="81">
        <f t="shared" si="54"/>
        <v>8.0934208852715717</v>
      </c>
      <c r="AR25" s="246">
        <f t="shared" si="55"/>
        <v>209.73943599093829</v>
      </c>
      <c r="AS25" s="289">
        <f t="shared" si="56"/>
        <v>202.51454498956005</v>
      </c>
      <c r="AT25" s="247" t="s">
        <v>140</v>
      </c>
    </row>
    <row r="26" spans="1:55" ht="18" customHeight="1" x14ac:dyDescent="0.25">
      <c r="A26" s="13">
        <v>5</v>
      </c>
      <c r="B26" s="69">
        <v>38.35857142857143</v>
      </c>
      <c r="C26" s="263">
        <f t="shared" si="57"/>
        <v>1.162228594838181</v>
      </c>
      <c r="D26" s="81">
        <f t="shared" si="37"/>
        <v>1.3058311275732728</v>
      </c>
      <c r="E26" s="81">
        <f t="shared" si="58"/>
        <v>0.40698110692013395</v>
      </c>
      <c r="F26" s="81">
        <f t="shared" si="38"/>
        <v>0.8988500206531389</v>
      </c>
      <c r="G26" s="81">
        <f t="shared" si="39"/>
        <v>32.674662591062315</v>
      </c>
      <c r="H26" s="264">
        <f t="shared" si="40"/>
        <v>22.491132677615482</v>
      </c>
      <c r="I26" s="245" t="s">
        <v>141</v>
      </c>
      <c r="J26" s="13">
        <v>5</v>
      </c>
      <c r="K26" s="69">
        <v>11.56</v>
      </c>
      <c r="L26" s="68">
        <f t="shared" si="59"/>
        <v>1.3550420168067228</v>
      </c>
      <c r="M26" s="81">
        <f t="shared" si="41"/>
        <v>2.639055238295493</v>
      </c>
      <c r="N26" s="81">
        <f t="shared" si="60"/>
        <v>0.41911568177342901</v>
      </c>
      <c r="O26" s="81">
        <f t="shared" si="42"/>
        <v>2.2199395565220641</v>
      </c>
      <c r="P26" s="81">
        <f t="shared" si="43"/>
        <v>66.034755681409692</v>
      </c>
      <c r="Q26" s="264">
        <f t="shared" si="44"/>
        <v>55.54759298525056</v>
      </c>
      <c r="S26" s="13">
        <v>5</v>
      </c>
      <c r="T26" s="69">
        <v>2.9842857142857144</v>
      </c>
      <c r="U26" s="68">
        <f t="shared" si="61"/>
        <v>1.7831498324557202</v>
      </c>
      <c r="V26" s="81">
        <f t="shared" si="45"/>
        <v>5.0237567420800602</v>
      </c>
      <c r="W26" s="81">
        <f t="shared" si="62"/>
        <v>0.30429124006637809</v>
      </c>
      <c r="X26" s="81">
        <f t="shared" si="46"/>
        <v>4.7194655020136818</v>
      </c>
      <c r="Y26" s="81">
        <f t="shared" si="47"/>
        <v>125.70504180896062</v>
      </c>
      <c r="Z26" s="70">
        <f t="shared" si="48"/>
        <v>118.0910300208805</v>
      </c>
      <c r="AB26" s="13">
        <v>5</v>
      </c>
      <c r="AC26" s="69">
        <v>1.0132857142857143</v>
      </c>
      <c r="AD26" s="68">
        <f t="shared" si="63"/>
        <v>2.2374171718595801</v>
      </c>
      <c r="AE26" s="81">
        <f t="shared" si="49"/>
        <v>6.9949393381263469</v>
      </c>
      <c r="AF26" s="81">
        <f t="shared" si="64"/>
        <v>0.2391784711350462</v>
      </c>
      <c r="AG26" s="81">
        <f t="shared" si="50"/>
        <v>6.7557608669913005</v>
      </c>
      <c r="AH26" s="81">
        <f t="shared" si="51"/>
        <v>175.02820838937487</v>
      </c>
      <c r="AI26" s="70">
        <f t="shared" si="52"/>
        <v>169.04345608996604</v>
      </c>
      <c r="AL26" s="13">
        <v>5</v>
      </c>
      <c r="AM26" s="69">
        <v>1.0132857142857143</v>
      </c>
      <c r="AN26" s="68">
        <f t="shared" si="65"/>
        <v>2.2374171718595801</v>
      </c>
      <c r="AO26" s="81">
        <f t="shared" si="53"/>
        <v>6.9949393381263469</v>
      </c>
      <c r="AP26" s="81">
        <f t="shared" si="66"/>
        <v>0.2391784711350462</v>
      </c>
      <c r="AQ26" s="81">
        <f t="shared" si="54"/>
        <v>6.7557608669913005</v>
      </c>
      <c r="AR26" s="81">
        <f t="shared" si="55"/>
        <v>175.02820838937487</v>
      </c>
      <c r="AS26" s="70">
        <f t="shared" si="56"/>
        <v>169.04345608996604</v>
      </c>
    </row>
    <row r="27" spans="1:55" ht="18" customHeight="1" thickBot="1" x14ac:dyDescent="0.3">
      <c r="A27" s="13">
        <v>6</v>
      </c>
      <c r="B27" s="69">
        <v>36.284285714285723</v>
      </c>
      <c r="C27" s="263">
        <f t="shared" si="57"/>
        <v>1.162565455332887</v>
      </c>
      <c r="D27" s="81">
        <f t="shared" si="37"/>
        <v>1.3083482822439869</v>
      </c>
      <c r="E27" s="81">
        <f t="shared" si="58"/>
        <v>0.57884140457757993</v>
      </c>
      <c r="F27" s="81">
        <f t="shared" si="38"/>
        <v>0.72950687766640698</v>
      </c>
      <c r="G27" s="81">
        <f t="shared" si="39"/>
        <v>32.737647136168043</v>
      </c>
      <c r="H27" s="264">
        <f t="shared" si="40"/>
        <v>18.253808308204626</v>
      </c>
      <c r="J27" s="13">
        <v>6</v>
      </c>
      <c r="K27" s="69">
        <v>10.124285714285715</v>
      </c>
      <c r="L27" s="68">
        <f t="shared" si="59"/>
        <v>1.3198814731197968</v>
      </c>
      <c r="M27" s="81">
        <f t="shared" si="41"/>
        <v>2.4106986562193748</v>
      </c>
      <c r="N27" s="81">
        <f t="shared" si="60"/>
        <v>0.19960703159308293</v>
      </c>
      <c r="O27" s="81">
        <f t="shared" si="42"/>
        <v>2.2110916246262917</v>
      </c>
      <c r="P27" s="81">
        <f t="shared" si="43"/>
        <v>60.320789983830075</v>
      </c>
      <c r="Q27" s="289">
        <f t="shared" si="44"/>
        <v>55.326198975551677</v>
      </c>
      <c r="S27" s="13">
        <v>6</v>
      </c>
      <c r="T27" s="69">
        <v>2.31</v>
      </c>
      <c r="U27" s="68">
        <f t="shared" si="61"/>
        <v>1.6846011131725416</v>
      </c>
      <c r="V27" s="81">
        <f t="shared" si="45"/>
        <v>4.529941666686927</v>
      </c>
      <c r="W27" s="81">
        <f t="shared" si="62"/>
        <v>0.28208856521874542</v>
      </c>
      <c r="X27" s="81">
        <f t="shared" si="46"/>
        <v>4.2478531014681815</v>
      </c>
      <c r="Y27" s="81">
        <f t="shared" si="47"/>
        <v>113.34874195506144</v>
      </c>
      <c r="Z27" s="70">
        <f t="shared" si="48"/>
        <v>106.29028815143039</v>
      </c>
      <c r="AB27" s="13">
        <v>6</v>
      </c>
      <c r="AC27" s="351">
        <v>0.86828571428571422</v>
      </c>
      <c r="AD27" s="352">
        <f t="shared" si="63"/>
        <v>1.6008555445870352</v>
      </c>
      <c r="AE27" s="354">
        <f t="shared" si="49"/>
        <v>4.087042890488557</v>
      </c>
      <c r="AF27" s="354">
        <f t="shared" si="64"/>
        <v>0.23101620699240349</v>
      </c>
      <c r="AG27" s="354">
        <f t="shared" si="50"/>
        <v>3.8560266834961534</v>
      </c>
      <c r="AH27" s="354">
        <f t="shared" si="51"/>
        <v>102.26647582684485</v>
      </c>
      <c r="AI27" s="353">
        <f t="shared" si="52"/>
        <v>96.48596067664198</v>
      </c>
      <c r="AL27" s="13">
        <v>6</v>
      </c>
      <c r="AM27" s="69"/>
      <c r="AN27" s="68"/>
      <c r="AO27" s="81"/>
      <c r="AP27" s="81"/>
      <c r="AQ27" s="81"/>
      <c r="AR27" s="81"/>
      <c r="AS27" s="70"/>
    </row>
    <row r="28" spans="1:55" ht="18" customHeight="1" thickBot="1" x14ac:dyDescent="0.3">
      <c r="A28" s="13">
        <v>7</v>
      </c>
      <c r="B28" s="340" t="s">
        <v>203</v>
      </c>
      <c r="C28" s="341">
        <f t="shared" ref="C28:H28" si="67">AVERAGE(C23:C27)</f>
        <v>1.144304725722175</v>
      </c>
      <c r="D28" s="341">
        <f t="shared" si="67"/>
        <v>1.1696205168074036</v>
      </c>
      <c r="E28" s="341">
        <f t="shared" si="67"/>
        <v>0.57516283438052407</v>
      </c>
      <c r="F28" s="341">
        <f t="shared" si="67"/>
        <v>0.59445768242687946</v>
      </c>
      <c r="G28" s="341">
        <f t="shared" si="67"/>
        <v>29.266384403998217</v>
      </c>
      <c r="H28" s="341">
        <f t="shared" si="67"/>
        <v>14.874591199292158</v>
      </c>
      <c r="J28" s="13">
        <v>7</v>
      </c>
      <c r="K28" s="340" t="s">
        <v>203</v>
      </c>
      <c r="L28" s="341">
        <f t="shared" ref="L28:Q28" si="68">AVERAGE(L23:L27)</f>
        <v>1.3526254922804122</v>
      </c>
      <c r="M28" s="341">
        <f t="shared" si="68"/>
        <v>2.622584593595632</v>
      </c>
      <c r="N28" s="341">
        <f t="shared" si="68"/>
        <v>0.38501801044975331</v>
      </c>
      <c r="O28" s="341">
        <f t="shared" si="68"/>
        <v>2.2375665831458789</v>
      </c>
      <c r="P28" s="341">
        <f t="shared" si="68"/>
        <v>65.622625240603497</v>
      </c>
      <c r="Q28" s="341">
        <f t="shared" si="68"/>
        <v>55.988658552807649</v>
      </c>
      <c r="S28" s="13">
        <v>7</v>
      </c>
      <c r="T28" s="340" t="s">
        <v>203</v>
      </c>
      <c r="U28" s="341">
        <f t="shared" ref="U28:Z28" si="69">AVERAGE(U23:U27)</f>
        <v>1.8154005181433592</v>
      </c>
      <c r="V28" s="341">
        <f t="shared" si="69"/>
        <v>5.1685427821498191</v>
      </c>
      <c r="W28" s="341">
        <f t="shared" si="69"/>
        <v>0.32409446143391135</v>
      </c>
      <c r="X28" s="341">
        <f t="shared" si="69"/>
        <v>4.8444483207159079</v>
      </c>
      <c r="Y28" s="341">
        <f t="shared" si="69"/>
        <v>129.32789541329083</v>
      </c>
      <c r="Z28" s="341">
        <f t="shared" si="69"/>
        <v>121.21836505260418</v>
      </c>
      <c r="AB28" s="13">
        <v>7</v>
      </c>
      <c r="AC28" s="36"/>
      <c r="AD28" s="68"/>
      <c r="AE28" s="69"/>
      <c r="AF28" s="69"/>
      <c r="AG28" s="340" t="s">
        <v>203</v>
      </c>
      <c r="AH28" s="341">
        <f>AVERAGE(AH23:AH27)</f>
        <v>172.59617042505982</v>
      </c>
      <c r="AI28" s="341">
        <f>AVERAGE(AI23:AI27)</f>
        <v>165.67879458289181</v>
      </c>
      <c r="AL28" s="13">
        <v>7</v>
      </c>
      <c r="AM28" s="340" t="s">
        <v>203</v>
      </c>
      <c r="AN28" s="341">
        <f t="shared" ref="AN28:AS28" si="70">AVERAGE(AN23:AN27)</f>
        <v>2.4703743272396164</v>
      </c>
      <c r="AO28" s="341">
        <f t="shared" si="70"/>
        <v>7.8346441250586984</v>
      </c>
      <c r="AP28" s="341">
        <f t="shared" si="70"/>
        <v>0.29159517803845519</v>
      </c>
      <c r="AQ28" s="341">
        <f t="shared" si="70"/>
        <v>7.5430489470202433</v>
      </c>
      <c r="AR28" s="341">
        <f t="shared" si="70"/>
        <v>196.03940195779816</v>
      </c>
      <c r="AS28" s="341">
        <f t="shared" si="70"/>
        <v>188.74307255164175</v>
      </c>
    </row>
    <row r="29" spans="1:55" ht="18" customHeight="1" x14ac:dyDescent="0.25">
      <c r="A29" s="13">
        <v>8</v>
      </c>
      <c r="B29" s="36"/>
      <c r="C29" s="263"/>
      <c r="D29" s="81"/>
      <c r="E29" s="81"/>
      <c r="F29" s="81"/>
      <c r="G29" s="81"/>
      <c r="H29" s="264"/>
      <c r="J29" s="13">
        <v>8</v>
      </c>
      <c r="K29" s="36"/>
      <c r="L29" s="68"/>
      <c r="M29" s="69"/>
      <c r="N29" s="69"/>
      <c r="O29" s="69"/>
      <c r="P29" s="69"/>
      <c r="Q29" s="70"/>
      <c r="S29" s="13">
        <v>8</v>
      </c>
      <c r="T29" s="36"/>
      <c r="U29" s="68"/>
      <c r="V29" s="69"/>
      <c r="W29" s="69"/>
      <c r="X29" s="69"/>
      <c r="Y29" s="69"/>
      <c r="Z29" s="70"/>
      <c r="AB29" s="13">
        <v>8</v>
      </c>
      <c r="AC29" s="36"/>
      <c r="AD29" s="68"/>
      <c r="AE29" s="69"/>
      <c r="AF29" s="69"/>
      <c r="AG29" s="69"/>
      <c r="AH29" s="69"/>
      <c r="AI29" s="70"/>
      <c r="AL29" s="13">
        <v>8</v>
      </c>
      <c r="AM29" s="36"/>
      <c r="AN29" s="68"/>
      <c r="AO29" s="69"/>
      <c r="AP29" s="69"/>
      <c r="AQ29" s="69"/>
      <c r="AR29" s="69"/>
      <c r="AS29" s="70"/>
    </row>
    <row r="30" spans="1:55" ht="18" customHeight="1" x14ac:dyDescent="0.25">
      <c r="A30" s="13">
        <v>9</v>
      </c>
      <c r="B30" s="36"/>
      <c r="C30" s="263"/>
      <c r="D30" s="81"/>
      <c r="E30" s="81"/>
      <c r="F30" s="81"/>
      <c r="G30" s="81"/>
      <c r="H30" s="264"/>
      <c r="J30" s="13">
        <v>9</v>
      </c>
      <c r="K30" s="36"/>
      <c r="L30" s="68"/>
      <c r="M30" s="69"/>
      <c r="N30" s="69"/>
      <c r="O30" s="69"/>
      <c r="P30" s="69"/>
      <c r="Q30" s="70"/>
      <c r="S30" s="13">
        <v>9</v>
      </c>
      <c r="T30" s="36"/>
      <c r="U30" s="68"/>
      <c r="V30" s="69"/>
      <c r="W30" s="69"/>
      <c r="X30" s="69"/>
      <c r="Y30" s="69"/>
      <c r="Z30" s="70"/>
      <c r="AB30" s="13">
        <v>9</v>
      </c>
      <c r="AC30" s="36"/>
      <c r="AD30" s="68"/>
      <c r="AE30" s="69"/>
      <c r="AF30" s="69"/>
      <c r="AG30" s="69"/>
      <c r="AH30" s="69"/>
      <c r="AI30" s="70"/>
      <c r="AL30" s="13">
        <v>9</v>
      </c>
      <c r="AM30" s="36"/>
      <c r="AN30" s="68"/>
      <c r="AO30" s="69"/>
      <c r="AP30" s="69"/>
      <c r="AQ30" s="69"/>
      <c r="AR30" s="69"/>
      <c r="AS30" s="70"/>
    </row>
    <row r="31" spans="1:55" ht="18" customHeight="1" x14ac:dyDescent="0.25">
      <c r="A31" s="31">
        <v>10</v>
      </c>
      <c r="B31" s="42"/>
      <c r="C31" s="265"/>
      <c r="D31" s="266"/>
      <c r="E31" s="266"/>
      <c r="F31" s="266"/>
      <c r="G31" s="266"/>
      <c r="H31" s="267"/>
      <c r="J31" s="31">
        <v>10</v>
      </c>
      <c r="K31" s="42"/>
      <c r="L31" s="71"/>
      <c r="M31" s="72"/>
      <c r="N31" s="72"/>
      <c r="O31" s="72"/>
      <c r="P31" s="72"/>
      <c r="Q31" s="73"/>
      <c r="S31" s="31">
        <v>10</v>
      </c>
      <c r="T31" s="42"/>
      <c r="U31" s="71"/>
      <c r="V31" s="72"/>
      <c r="W31" s="72"/>
      <c r="X31" s="72"/>
      <c r="Y31" s="72"/>
      <c r="Z31" s="73"/>
      <c r="AB31" s="31">
        <v>10</v>
      </c>
      <c r="AC31" s="42"/>
      <c r="AD31" s="71"/>
      <c r="AE31" s="72"/>
      <c r="AF31" s="72"/>
      <c r="AG31" s="72"/>
      <c r="AH31" s="72"/>
      <c r="AI31" s="73"/>
      <c r="AL31" s="31">
        <v>10</v>
      </c>
      <c r="AM31" s="42"/>
      <c r="AN31" s="71"/>
      <c r="AO31" s="72"/>
      <c r="AP31" s="72"/>
      <c r="AQ31" s="72"/>
      <c r="AR31" s="72"/>
      <c r="AS31" s="73"/>
    </row>
    <row r="32" spans="1:55" ht="18" customHeight="1" x14ac:dyDescent="0.25">
      <c r="A32" s="27" t="s">
        <v>11</v>
      </c>
      <c r="B32" s="89" t="s">
        <v>171</v>
      </c>
      <c r="C32" s="89" t="s">
        <v>41</v>
      </c>
      <c r="D32" s="89" t="s">
        <v>14</v>
      </c>
      <c r="E32" s="90" t="s">
        <v>9</v>
      </c>
      <c r="F32" s="89" t="s">
        <v>15</v>
      </c>
      <c r="G32" s="90" t="s">
        <v>16</v>
      </c>
      <c r="H32" s="91" t="s">
        <v>17</v>
      </c>
      <c r="J32" s="27" t="s">
        <v>11</v>
      </c>
      <c r="K32" s="89" t="s">
        <v>171</v>
      </c>
      <c r="L32" s="89" t="s">
        <v>41</v>
      </c>
      <c r="M32" s="89" t="s">
        <v>14</v>
      </c>
      <c r="N32" s="90" t="s">
        <v>9</v>
      </c>
      <c r="O32" s="89" t="s">
        <v>15</v>
      </c>
      <c r="P32" s="90" t="s">
        <v>16</v>
      </c>
      <c r="Q32" s="91" t="s">
        <v>17</v>
      </c>
      <c r="S32" s="27" t="s">
        <v>11</v>
      </c>
      <c r="T32" s="89" t="s">
        <v>171</v>
      </c>
      <c r="U32" s="89" t="s">
        <v>41</v>
      </c>
      <c r="V32" s="89" t="s">
        <v>14</v>
      </c>
      <c r="W32" s="90" t="s">
        <v>9</v>
      </c>
      <c r="X32" s="89" t="s">
        <v>15</v>
      </c>
      <c r="Y32" s="90" t="s">
        <v>16</v>
      </c>
      <c r="Z32" s="91" t="s">
        <v>17</v>
      </c>
      <c r="AB32" s="27" t="s">
        <v>11</v>
      </c>
      <c r="AC32" s="89" t="s">
        <v>171</v>
      </c>
      <c r="AD32" s="89" t="s">
        <v>41</v>
      </c>
      <c r="AE32" s="89" t="s">
        <v>14</v>
      </c>
      <c r="AF32" s="90" t="s">
        <v>9</v>
      </c>
      <c r="AG32" s="89" t="s">
        <v>15</v>
      </c>
      <c r="AH32" s="90" t="s">
        <v>16</v>
      </c>
      <c r="AI32" s="91" t="s">
        <v>17</v>
      </c>
      <c r="AL32" s="27" t="s">
        <v>11</v>
      </c>
      <c r="AM32" s="89" t="s">
        <v>171</v>
      </c>
      <c r="AN32" s="89" t="s">
        <v>41</v>
      </c>
      <c r="AO32" s="89" t="s">
        <v>14</v>
      </c>
      <c r="AP32" s="90" t="s">
        <v>9</v>
      </c>
      <c r="AQ32" s="89" t="s">
        <v>15</v>
      </c>
      <c r="AR32" s="90" t="s">
        <v>16</v>
      </c>
      <c r="AS32" s="91" t="s">
        <v>17</v>
      </c>
    </row>
    <row r="33" spans="1:46" ht="18" customHeight="1" x14ac:dyDescent="0.25">
      <c r="A33" s="13">
        <v>1</v>
      </c>
      <c r="B33" s="69">
        <v>50.592857142857142</v>
      </c>
      <c r="C33" s="200"/>
      <c r="D33" s="200"/>
      <c r="E33" s="200" t="s">
        <v>47</v>
      </c>
      <c r="F33" s="200"/>
      <c r="G33" s="200"/>
      <c r="H33" s="221"/>
      <c r="J33" s="13">
        <v>1</v>
      </c>
      <c r="K33" s="69">
        <v>21.327142857142857</v>
      </c>
      <c r="L33" s="36"/>
      <c r="M33" s="36"/>
      <c r="N33" s="36" t="s">
        <v>47</v>
      </c>
      <c r="O33" s="36"/>
      <c r="P33" s="36"/>
      <c r="Q33" s="30"/>
      <c r="S33" s="13">
        <v>1</v>
      </c>
      <c r="T33" s="69">
        <v>9.9599999999999991</v>
      </c>
      <c r="U33" s="36"/>
      <c r="V33" s="36"/>
      <c r="W33" s="36" t="s">
        <v>47</v>
      </c>
      <c r="X33" s="36"/>
      <c r="Y33" s="36"/>
      <c r="Z33" s="30"/>
      <c r="AB33" s="13">
        <v>1</v>
      </c>
      <c r="AC33" s="69">
        <v>5.7785714285714294</v>
      </c>
      <c r="AD33" s="36"/>
      <c r="AE33" s="36"/>
      <c r="AF33" s="36" t="s">
        <v>47</v>
      </c>
      <c r="AG33" s="36"/>
      <c r="AH33" s="36"/>
      <c r="AI33" s="30"/>
      <c r="AL33" s="13">
        <v>1</v>
      </c>
      <c r="AM33" s="69">
        <v>5.7785714285714294</v>
      </c>
      <c r="AN33" s="36"/>
      <c r="AO33" s="36"/>
      <c r="AP33" s="36" t="s">
        <v>47</v>
      </c>
      <c r="AQ33" s="36"/>
      <c r="AR33" s="36"/>
      <c r="AS33" s="30"/>
    </row>
    <row r="34" spans="1:46" ht="18" customHeight="1" x14ac:dyDescent="0.25">
      <c r="A34" s="13">
        <v>2</v>
      </c>
      <c r="B34" s="69">
        <v>47.142857142857146</v>
      </c>
      <c r="C34" s="263"/>
      <c r="D34" s="54"/>
      <c r="E34" s="81" t="s">
        <v>43</v>
      </c>
      <c r="F34" s="81"/>
      <c r="G34" s="81"/>
      <c r="H34" s="264"/>
      <c r="J34" s="13">
        <v>2</v>
      </c>
      <c r="K34" s="69">
        <v>18.361428571428572</v>
      </c>
      <c r="L34" s="68"/>
      <c r="N34" s="69" t="s">
        <v>43</v>
      </c>
      <c r="O34" s="69"/>
      <c r="P34" s="69"/>
      <c r="Q34" s="70"/>
      <c r="S34" s="13">
        <v>2</v>
      </c>
      <c r="T34" s="69">
        <v>7.4799999999999995</v>
      </c>
      <c r="U34" s="68"/>
      <c r="W34" s="69" t="s">
        <v>43</v>
      </c>
      <c r="X34" s="69"/>
      <c r="Y34" s="69"/>
      <c r="Z34" s="70"/>
      <c r="AB34" s="13">
        <v>2</v>
      </c>
      <c r="AC34" s="69">
        <v>3.6485714285714286</v>
      </c>
      <c r="AD34" s="68"/>
      <c r="AF34" s="69" t="s">
        <v>43</v>
      </c>
      <c r="AG34" s="69"/>
      <c r="AH34" s="69"/>
      <c r="AI34" s="70"/>
      <c r="AL34" s="13">
        <v>2</v>
      </c>
      <c r="AM34" s="69">
        <v>3.6485714285714286</v>
      </c>
      <c r="AN34" s="68"/>
      <c r="AP34" s="69" t="s">
        <v>43</v>
      </c>
      <c r="AQ34" s="69"/>
      <c r="AR34" s="69"/>
      <c r="AS34" s="70"/>
    </row>
    <row r="35" spans="1:46" ht="18" customHeight="1" x14ac:dyDescent="0.25">
      <c r="A35" s="13">
        <v>3</v>
      </c>
      <c r="B35" s="69">
        <v>44.581428571428567</v>
      </c>
      <c r="C35" s="263"/>
      <c r="D35" s="81"/>
      <c r="E35" s="81"/>
      <c r="F35" s="81"/>
      <c r="G35" s="81"/>
      <c r="H35" s="264"/>
      <c r="J35" s="13">
        <v>3</v>
      </c>
      <c r="K35" s="69">
        <v>15.664285714285715</v>
      </c>
      <c r="L35" s="68"/>
      <c r="M35" s="69"/>
      <c r="N35" s="69"/>
      <c r="O35" s="69"/>
      <c r="P35" s="69"/>
      <c r="Q35" s="70"/>
      <c r="S35" s="13">
        <v>3</v>
      </c>
      <c r="T35" s="69">
        <v>5.3214285714285712</v>
      </c>
      <c r="U35" s="68"/>
      <c r="V35" s="69"/>
      <c r="W35" s="69"/>
      <c r="X35" s="69"/>
      <c r="Y35" s="69"/>
      <c r="Z35" s="70"/>
      <c r="AB35" s="13">
        <v>3</v>
      </c>
      <c r="AC35" s="69">
        <v>2.2671428571428573</v>
      </c>
      <c r="AD35" s="68"/>
      <c r="AE35" s="69"/>
      <c r="AF35" s="69"/>
      <c r="AG35" s="69"/>
      <c r="AH35" s="69"/>
      <c r="AI35" s="70"/>
      <c r="AL35" s="13">
        <v>3</v>
      </c>
      <c r="AM35" s="69">
        <v>2.2671428571428573</v>
      </c>
      <c r="AN35" s="68"/>
      <c r="AO35" s="69"/>
      <c r="AP35" s="69"/>
      <c r="AQ35" s="69"/>
      <c r="AR35" s="69"/>
      <c r="AS35" s="70"/>
    </row>
    <row r="36" spans="1:46" ht="18" customHeight="1" x14ac:dyDescent="0.25">
      <c r="A36" s="13">
        <v>4</v>
      </c>
      <c r="B36" s="69">
        <v>42.182857142857145</v>
      </c>
      <c r="C36" s="263">
        <f>B33/B36</f>
        <v>1.1993700894066648</v>
      </c>
      <c r="D36" s="81">
        <f t="shared" ref="D36:D38" si="71">20*LOG10(C36)</f>
        <v>1.5790642789361489</v>
      </c>
      <c r="E36" s="81">
        <f>E12+E13+E14</f>
        <v>1.0170995007159069</v>
      </c>
      <c r="F36" s="81">
        <f t="shared" ref="F36:F38" si="72">D36-E36</f>
        <v>0.56196477822024193</v>
      </c>
      <c r="G36" s="246">
        <f t="shared" ref="G36:G38" si="73">D36/2/($B$6/1000)/3</f>
        <v>26.341023446996289</v>
      </c>
      <c r="H36" s="264">
        <f t="shared" ref="H36:H38" si="74">F36/2/($B$6/1000)/3</f>
        <v>9.3743665770581508</v>
      </c>
      <c r="I36" s="245" t="s">
        <v>166</v>
      </c>
      <c r="J36" s="13">
        <v>4</v>
      </c>
      <c r="K36" s="69">
        <v>13.362857142857143</v>
      </c>
      <c r="L36" s="68">
        <f>K33/K36</f>
        <v>1.5960017104981825</v>
      </c>
      <c r="M36" s="69">
        <f t="shared" ref="M36:M38" si="75">20*LOG10(L36)</f>
        <v>4.060667049310803</v>
      </c>
      <c r="N36" s="69">
        <f>N12+N13+N14</f>
        <v>0.71830571502480378</v>
      </c>
      <c r="O36" s="69">
        <f t="shared" ref="O36:O38" si="76">M36-N36</f>
        <v>3.3423613342859992</v>
      </c>
      <c r="P36" s="69">
        <f t="shared" ref="P36:P38" si="77">M36/2/($B$6/1000)/3</f>
        <v>67.737664250377378</v>
      </c>
      <c r="Q36" s="289">
        <f t="shared" ref="Q36:Q38" si="78">O36/2/($B$6/1000)/3</f>
        <v>55.755309932079939</v>
      </c>
      <c r="S36" s="13">
        <v>4</v>
      </c>
      <c r="T36" s="69">
        <v>3.891428571428571</v>
      </c>
      <c r="U36" s="68">
        <f>T33/T36</f>
        <v>2.5594713656387666</v>
      </c>
      <c r="V36" s="69">
        <f t="shared" ref="V36:V38" si="79">20*LOG10(U36)</f>
        <v>8.1630055039441611</v>
      </c>
      <c r="W36" s="69">
        <f>W12+W13+W14</f>
        <v>0.53466383109710436</v>
      </c>
      <c r="X36" s="69">
        <f t="shared" ref="X36:X38" si="80">V36-W36</f>
        <v>7.628341672847057</v>
      </c>
      <c r="Y36" s="246">
        <f t="shared" ref="Y36:Y38" si="81">V36/2/($B$6/1000)/3</f>
        <v>136.17046642472212</v>
      </c>
      <c r="Z36" s="289">
        <f t="shared" ref="Z36:Z38" si="82">X36/2/($B$6/1000)/3</f>
        <v>127.25151822289331</v>
      </c>
      <c r="AB36" s="13">
        <v>4</v>
      </c>
      <c r="AC36" s="69">
        <v>1.39</v>
      </c>
      <c r="AD36" s="68">
        <f>AC33/AC36</f>
        <v>4.1572456320657771</v>
      </c>
      <c r="AE36" s="69">
        <f t="shared" ref="AE36:AE38" si="83">20*LOG10(AD36)</f>
        <v>12.376113713598787</v>
      </c>
      <c r="AF36" s="69">
        <f>AF12+AF13+AF14</f>
        <v>0.47464541163027696</v>
      </c>
      <c r="AG36" s="69">
        <f t="shared" ref="AG36:AG38" si="84">AE36-AF36</f>
        <v>11.90146830196851</v>
      </c>
      <c r="AH36" s="246">
        <f t="shared" ref="AH36:AH38" si="85">AE36/2/($B$6/1000)/3</f>
        <v>206.45106463444995</v>
      </c>
      <c r="AI36" s="289">
        <f t="shared" ref="AI36:AI38" si="86">AG36/2/($B$6/1000)/3</f>
        <v>198.5333084775026</v>
      </c>
      <c r="AJ36" s="247" t="s">
        <v>166</v>
      </c>
      <c r="AL36" s="13">
        <v>4</v>
      </c>
      <c r="AM36" s="69">
        <v>1.39</v>
      </c>
      <c r="AN36" s="68">
        <f>AM33/AM36</f>
        <v>4.1572456320657771</v>
      </c>
      <c r="AO36" s="69">
        <f t="shared" ref="AO36:AO37" si="87">20*LOG10(AN36)</f>
        <v>12.376113713598787</v>
      </c>
      <c r="AP36" s="69">
        <f>AP12+AP13+AP14</f>
        <v>0.47464541163027696</v>
      </c>
      <c r="AQ36" s="69">
        <f t="shared" ref="AQ36:AQ37" si="88">AO36-AP36</f>
        <v>11.90146830196851</v>
      </c>
      <c r="AR36" s="246">
        <f t="shared" ref="AR36:AR37" si="89">AO36/2/($B$6/1000)/3</f>
        <v>206.45106463444995</v>
      </c>
      <c r="AS36" s="289">
        <f t="shared" ref="AS36:AS37" si="90">AQ36/2/($B$6/1000)/3</f>
        <v>198.5333084775026</v>
      </c>
      <c r="AT36" s="247" t="s">
        <v>166</v>
      </c>
    </row>
    <row r="37" spans="1:46" ht="18" customHeight="1" x14ac:dyDescent="0.25">
      <c r="A37" s="13">
        <v>5</v>
      </c>
      <c r="B37" s="69">
        <v>38.35857142857143</v>
      </c>
      <c r="C37" s="263">
        <f t="shared" ref="C37:C38" si="91">B34/B37</f>
        <v>1.2290045063498567</v>
      </c>
      <c r="D37" s="81">
        <f t="shared" si="71"/>
        <v>1.7910695060494772</v>
      </c>
      <c r="E37" s="81">
        <f t="shared" ref="E37:E38" si="92">E13+E14+E15</f>
        <v>0.70471043222860918</v>
      </c>
      <c r="F37" s="81">
        <f t="shared" si="72"/>
        <v>1.0863590738208679</v>
      </c>
      <c r="G37" s="246">
        <f t="shared" si="73"/>
        <v>29.877570206220252</v>
      </c>
      <c r="H37" s="264">
        <f t="shared" si="74"/>
        <v>18.122004415584509</v>
      </c>
      <c r="I37" s="247" t="s">
        <v>142</v>
      </c>
      <c r="J37" s="13">
        <v>5</v>
      </c>
      <c r="K37" s="69">
        <v>11.56</v>
      </c>
      <c r="L37" s="68">
        <f t="shared" ref="L37:L38" si="93">K34/K37</f>
        <v>1.588358872960949</v>
      </c>
      <c r="M37" s="246">
        <f t="shared" si="75"/>
        <v>4.0189726688523493</v>
      </c>
      <c r="N37" s="81">
        <f t="shared" ref="N37:N38" si="94">N13+N14+N15</f>
        <v>0.62215929518112656</v>
      </c>
      <c r="O37" s="81">
        <f t="shared" si="76"/>
        <v>3.3968133736712227</v>
      </c>
      <c r="P37" s="246">
        <f t="shared" si="77"/>
        <v>67.042143068678527</v>
      </c>
      <c r="Q37" s="289">
        <f t="shared" si="78"/>
        <v>56.66364689170598</v>
      </c>
      <c r="R37" s="247" t="s">
        <v>142</v>
      </c>
      <c r="S37" s="13">
        <v>5</v>
      </c>
      <c r="T37" s="69">
        <v>2.9842857142857144</v>
      </c>
      <c r="U37" s="68">
        <f t="shared" ref="U37:U38" si="95">T34/T37</f>
        <v>2.5064624222115843</v>
      </c>
      <c r="V37" s="246">
        <f t="shared" si="79"/>
        <v>7.9812239579681918</v>
      </c>
      <c r="W37" s="81">
        <f t="shared" ref="W37:W38" si="96">W13+W14+W15</f>
        <v>0.47962544941979551</v>
      </c>
      <c r="X37" s="81">
        <f t="shared" si="80"/>
        <v>7.5015985085483967</v>
      </c>
      <c r="Y37" s="246">
        <f t="shared" si="81"/>
        <v>133.13809337401247</v>
      </c>
      <c r="Z37" s="289">
        <f t="shared" si="82"/>
        <v>125.13726314976434</v>
      </c>
      <c r="AA37" s="247" t="s">
        <v>142</v>
      </c>
      <c r="AB37" s="13">
        <v>5</v>
      </c>
      <c r="AC37" s="69">
        <v>1.0132857142857143</v>
      </c>
      <c r="AD37" s="68">
        <f t="shared" ref="AD37:AD38" si="97">AC34/AC37</f>
        <v>3.6007331171577608</v>
      </c>
      <c r="AE37" s="81">
        <f t="shared" si="83"/>
        <v>11.127818661577312</v>
      </c>
      <c r="AF37" s="81">
        <f t="shared" ref="AF37:AF38" si="98">AF13+AF14+AF15</f>
        <v>0.40014012248508857</v>
      </c>
      <c r="AG37" s="81">
        <f t="shared" si="84"/>
        <v>10.727678539092222</v>
      </c>
      <c r="AH37" s="81">
        <f t="shared" si="85"/>
        <v>185.6277392811464</v>
      </c>
      <c r="AI37" s="264">
        <f t="shared" si="86"/>
        <v>178.95283662578086</v>
      </c>
      <c r="AJ37" s="247" t="s">
        <v>142</v>
      </c>
      <c r="AL37" s="13">
        <v>5</v>
      </c>
      <c r="AM37" s="69">
        <v>1.0132857142857143</v>
      </c>
      <c r="AN37" s="68">
        <f t="shared" ref="AN37" si="99">AM34/AM37</f>
        <v>3.6007331171577608</v>
      </c>
      <c r="AO37" s="81">
        <f t="shared" si="87"/>
        <v>11.127818661577312</v>
      </c>
      <c r="AP37" s="81">
        <f t="shared" ref="AP37" si="100">AP13+AP14+AP15</f>
        <v>0.40014012248508857</v>
      </c>
      <c r="AQ37" s="81">
        <f t="shared" si="88"/>
        <v>10.727678539092222</v>
      </c>
      <c r="AR37" s="81">
        <f t="shared" si="89"/>
        <v>185.6277392811464</v>
      </c>
      <c r="AS37" s="264">
        <f t="shared" si="90"/>
        <v>178.95283662578086</v>
      </c>
      <c r="AT37" s="247" t="s">
        <v>142</v>
      </c>
    </row>
    <row r="38" spans="1:46" ht="18" customHeight="1" thickBot="1" x14ac:dyDescent="0.3">
      <c r="A38" s="13">
        <v>6</v>
      </c>
      <c r="B38" s="69">
        <v>36.284285714285723</v>
      </c>
      <c r="C38" s="263">
        <f t="shared" si="91"/>
        <v>1.2286704200952789</v>
      </c>
      <c r="D38" s="81">
        <f t="shared" si="71"/>
        <v>1.7887080575735159</v>
      </c>
      <c r="E38" s="81">
        <f t="shared" si="92"/>
        <v>0.94888479105465695</v>
      </c>
      <c r="F38" s="81">
        <f t="shared" si="72"/>
        <v>0.83982326651885897</v>
      </c>
      <c r="G38" s="81">
        <f t="shared" si="73"/>
        <v>29.838177908830001</v>
      </c>
      <c r="H38" s="264">
        <f t="shared" si="74"/>
        <v>14.009438785867689</v>
      </c>
      <c r="I38" s="245" t="s">
        <v>146</v>
      </c>
      <c r="J38" s="13">
        <v>6</v>
      </c>
      <c r="K38" s="69">
        <v>10.124285714285715</v>
      </c>
      <c r="L38" s="68">
        <f t="shared" si="93"/>
        <v>1.5471990969380554</v>
      </c>
      <c r="M38" s="81">
        <f t="shared" si="75"/>
        <v>3.7909240650405014</v>
      </c>
      <c r="N38" s="81">
        <f t="shared" si="94"/>
        <v>0.44122838704195599</v>
      </c>
      <c r="O38" s="81">
        <f t="shared" si="76"/>
        <v>3.3496956779985454</v>
      </c>
      <c r="P38" s="81">
        <f t="shared" si="77"/>
        <v>63.237970116257792</v>
      </c>
      <c r="Q38" s="289">
        <f t="shared" si="78"/>
        <v>55.877657148895373</v>
      </c>
      <c r="S38" s="13">
        <v>6</v>
      </c>
      <c r="T38" s="69">
        <v>2.31</v>
      </c>
      <c r="U38" s="68">
        <f t="shared" si="95"/>
        <v>2.3036487322201604</v>
      </c>
      <c r="V38" s="81">
        <f t="shared" si="79"/>
        <v>7.2483251435582083</v>
      </c>
      <c r="W38" s="81">
        <f t="shared" si="96"/>
        <v>0.42583751041421847</v>
      </c>
      <c r="X38" s="81">
        <f t="shared" si="80"/>
        <v>6.8224876331439894</v>
      </c>
      <c r="Y38" s="81">
        <f t="shared" si="81"/>
        <v>120.91230553739852</v>
      </c>
      <c r="Z38" s="70">
        <f t="shared" si="82"/>
        <v>113.80873414004628</v>
      </c>
      <c r="AB38" s="13">
        <v>6</v>
      </c>
      <c r="AC38" s="351">
        <v>0.86828571428571422</v>
      </c>
      <c r="AD38" s="352">
        <f t="shared" si="97"/>
        <v>2.6110562685093783</v>
      </c>
      <c r="AE38" s="354">
        <f t="shared" si="83"/>
        <v>8.336324620218484</v>
      </c>
      <c r="AF38" s="354">
        <f t="shared" si="98"/>
        <v>0.35879472355168202</v>
      </c>
      <c r="AG38" s="354">
        <f t="shared" si="84"/>
        <v>7.9775298966668018</v>
      </c>
      <c r="AH38" s="354">
        <f t="shared" si="85"/>
        <v>139.06167419029228</v>
      </c>
      <c r="AI38" s="353">
        <f t="shared" si="86"/>
        <v>133.07647121166448</v>
      </c>
      <c r="AL38" s="13">
        <v>6</v>
      </c>
      <c r="AM38" s="69"/>
      <c r="AN38" s="68"/>
      <c r="AO38" s="81"/>
      <c r="AP38" s="81"/>
      <c r="AQ38" s="81"/>
      <c r="AR38" s="81"/>
      <c r="AS38" s="70"/>
    </row>
    <row r="39" spans="1:46" ht="18" customHeight="1" thickBot="1" x14ac:dyDescent="0.3">
      <c r="A39" s="13">
        <v>7</v>
      </c>
      <c r="B39" s="340" t="s">
        <v>203</v>
      </c>
      <c r="C39" s="341">
        <f t="shared" ref="C39:H39" si="101">AVERAGE(C34:C38)</f>
        <v>1.2190150052839333</v>
      </c>
      <c r="D39" s="341">
        <f t="shared" si="101"/>
        <v>1.7196139475197139</v>
      </c>
      <c r="E39" s="341">
        <f t="shared" si="101"/>
        <v>0.89023157466639102</v>
      </c>
      <c r="F39" s="341">
        <f t="shared" si="101"/>
        <v>0.82938237285332284</v>
      </c>
      <c r="G39" s="341">
        <f t="shared" si="101"/>
        <v>28.685590520682183</v>
      </c>
      <c r="H39" s="341">
        <f t="shared" si="101"/>
        <v>13.835269926170115</v>
      </c>
      <c r="I39" s="245" t="s">
        <v>147</v>
      </c>
      <c r="J39" s="13">
        <v>7</v>
      </c>
      <c r="K39" s="340" t="s">
        <v>203</v>
      </c>
      <c r="L39" s="341">
        <f t="shared" ref="L39:Q39" si="102">AVERAGE(L34:L38)</f>
        <v>1.5771865601323956</v>
      </c>
      <c r="M39" s="341">
        <f t="shared" si="102"/>
        <v>3.9568545944012179</v>
      </c>
      <c r="N39" s="341">
        <f t="shared" si="102"/>
        <v>0.59389779908262874</v>
      </c>
      <c r="O39" s="341">
        <f t="shared" si="102"/>
        <v>3.3629567953185888</v>
      </c>
      <c r="P39" s="341">
        <f t="shared" si="102"/>
        <v>66.005925811771235</v>
      </c>
      <c r="Q39" s="341">
        <f t="shared" si="102"/>
        <v>56.098871324227098</v>
      </c>
      <c r="S39" s="13">
        <v>7</v>
      </c>
      <c r="T39" s="340" t="s">
        <v>203</v>
      </c>
      <c r="U39" s="341">
        <f t="shared" ref="U39:Z39" si="103">AVERAGE(U34:U38)</f>
        <v>2.4565275066901706</v>
      </c>
      <c r="V39" s="341">
        <f t="shared" si="103"/>
        <v>7.7975182018235207</v>
      </c>
      <c r="W39" s="341">
        <f t="shared" si="103"/>
        <v>0.48004226364370611</v>
      </c>
      <c r="X39" s="341">
        <f t="shared" si="103"/>
        <v>7.3174759381798147</v>
      </c>
      <c r="Y39" s="341">
        <f t="shared" si="103"/>
        <v>130.07362177871104</v>
      </c>
      <c r="Z39" s="341">
        <f t="shared" si="103"/>
        <v>122.06583850423465</v>
      </c>
      <c r="AB39" s="13">
        <v>7</v>
      </c>
      <c r="AC39" s="36"/>
      <c r="AD39" s="68"/>
      <c r="AE39" s="81"/>
      <c r="AF39" s="81"/>
      <c r="AG39" s="340" t="s">
        <v>203</v>
      </c>
      <c r="AH39" s="341">
        <f>AVERAGE(AH34:AH38)</f>
        <v>177.04682603529622</v>
      </c>
      <c r="AI39" s="341">
        <f>AVERAGE(AI34:AI38)</f>
        <v>170.18753877164932</v>
      </c>
      <c r="AL39" s="13">
        <v>7</v>
      </c>
      <c r="AM39" s="340" t="s">
        <v>203</v>
      </c>
      <c r="AN39" s="341">
        <f t="shared" ref="AN39:AS39" si="104">AVERAGE(AN34:AN38)</f>
        <v>3.878989374611769</v>
      </c>
      <c r="AO39" s="341">
        <f t="shared" si="104"/>
        <v>11.751966187588049</v>
      </c>
      <c r="AP39" s="341">
        <f t="shared" si="104"/>
        <v>0.43739276705768276</v>
      </c>
      <c r="AQ39" s="341">
        <f t="shared" si="104"/>
        <v>11.314573420530365</v>
      </c>
      <c r="AR39" s="341">
        <f t="shared" si="104"/>
        <v>196.03940195779819</v>
      </c>
      <c r="AS39" s="341">
        <f t="shared" si="104"/>
        <v>188.74307255164172</v>
      </c>
    </row>
    <row r="40" spans="1:46" ht="18" customHeight="1" x14ac:dyDescent="0.25">
      <c r="A40" s="13">
        <v>8</v>
      </c>
      <c r="B40" s="36"/>
      <c r="C40" s="263"/>
      <c r="D40" s="81"/>
      <c r="E40" s="81"/>
      <c r="F40" s="81"/>
      <c r="G40" s="81"/>
      <c r="H40" s="264"/>
      <c r="J40" s="13">
        <v>8</v>
      </c>
      <c r="K40" s="36"/>
      <c r="L40" s="68"/>
      <c r="M40" s="69"/>
      <c r="N40" s="69"/>
      <c r="O40" s="69"/>
      <c r="P40" s="69"/>
      <c r="Q40" s="70"/>
      <c r="S40" s="13">
        <v>8</v>
      </c>
      <c r="T40" s="36"/>
      <c r="U40" s="68"/>
      <c r="V40" s="69"/>
      <c r="W40" s="69"/>
      <c r="X40" s="69"/>
      <c r="Y40" s="69"/>
      <c r="Z40" s="70"/>
      <c r="AB40" s="13">
        <v>8</v>
      </c>
      <c r="AC40" s="36"/>
      <c r="AD40" s="68"/>
      <c r="AE40" s="69"/>
      <c r="AF40" s="69"/>
      <c r="AG40" s="69"/>
      <c r="AH40" s="69"/>
      <c r="AI40" s="70"/>
      <c r="AL40" s="13">
        <v>8</v>
      </c>
      <c r="AM40" s="36"/>
      <c r="AN40" s="68"/>
      <c r="AO40" s="69"/>
      <c r="AP40" s="69"/>
      <c r="AQ40" s="69"/>
      <c r="AR40" s="69"/>
      <c r="AS40" s="70"/>
    </row>
    <row r="41" spans="1:46" ht="18" customHeight="1" x14ac:dyDescent="0.25">
      <c r="A41" s="13">
        <v>9</v>
      </c>
      <c r="B41" s="36"/>
      <c r="C41" s="263"/>
      <c r="D41" s="81"/>
      <c r="E41" s="81"/>
      <c r="F41" s="81"/>
      <c r="G41" s="81"/>
      <c r="H41" s="264"/>
      <c r="J41" s="13">
        <v>9</v>
      </c>
      <c r="K41" s="36"/>
      <c r="L41" s="68"/>
      <c r="M41" s="69"/>
      <c r="N41" s="69"/>
      <c r="O41" s="69"/>
      <c r="P41" s="69"/>
      <c r="Q41" s="70"/>
      <c r="S41" s="13">
        <v>9</v>
      </c>
      <c r="T41" s="36"/>
      <c r="U41" s="68"/>
      <c r="V41" s="69"/>
      <c r="W41" s="69"/>
      <c r="X41" s="69"/>
      <c r="Y41" s="69"/>
      <c r="Z41" s="70"/>
      <c r="AB41" s="13">
        <v>9</v>
      </c>
      <c r="AC41" s="36"/>
      <c r="AD41" s="68"/>
      <c r="AE41" s="69"/>
      <c r="AF41" s="69"/>
      <c r="AG41" s="69"/>
      <c r="AH41" s="69"/>
      <c r="AI41" s="70"/>
      <c r="AL41" s="13">
        <v>9</v>
      </c>
      <c r="AM41" s="36"/>
      <c r="AN41" s="68"/>
      <c r="AO41" s="69"/>
      <c r="AP41" s="69"/>
      <c r="AQ41" s="69"/>
      <c r="AR41" s="69"/>
      <c r="AS41" s="70"/>
    </row>
    <row r="42" spans="1:46" ht="18" customHeight="1" x14ac:dyDescent="0.25">
      <c r="A42" s="31">
        <v>10</v>
      </c>
      <c r="B42" s="42"/>
      <c r="C42" s="263"/>
      <c r="D42" s="266"/>
      <c r="E42" s="81"/>
      <c r="F42" s="266"/>
      <c r="G42" s="81"/>
      <c r="H42" s="264"/>
      <c r="J42" s="31">
        <v>10</v>
      </c>
      <c r="K42" s="42"/>
      <c r="L42" s="68"/>
      <c r="M42" s="72"/>
      <c r="N42" s="69"/>
      <c r="O42" s="72"/>
      <c r="P42" s="69"/>
      <c r="Q42" s="70"/>
      <c r="S42" s="31">
        <v>10</v>
      </c>
      <c r="T42" s="42"/>
      <c r="U42" s="68"/>
      <c r="V42" s="72"/>
      <c r="W42" s="69"/>
      <c r="X42" s="72"/>
      <c r="Y42" s="69"/>
      <c r="Z42" s="70"/>
      <c r="AB42" s="31">
        <v>10</v>
      </c>
      <c r="AC42" s="42"/>
      <c r="AD42" s="68"/>
      <c r="AE42" s="72"/>
      <c r="AF42" s="69"/>
      <c r="AG42" s="72"/>
      <c r="AH42" s="69"/>
      <c r="AI42" s="70"/>
      <c r="AL42" s="31">
        <v>10</v>
      </c>
      <c r="AM42" s="42"/>
      <c r="AN42" s="68"/>
      <c r="AO42" s="72"/>
      <c r="AP42" s="69"/>
      <c r="AQ42" s="72"/>
      <c r="AR42" s="69"/>
      <c r="AS42" s="70"/>
    </row>
    <row r="43" spans="1:46" ht="18" customHeight="1" x14ac:dyDescent="0.25">
      <c r="A43" s="27" t="s">
        <v>11</v>
      </c>
      <c r="B43" s="89" t="s">
        <v>171</v>
      </c>
      <c r="C43" s="89" t="s">
        <v>41</v>
      </c>
      <c r="D43" s="89" t="s">
        <v>14</v>
      </c>
      <c r="E43" s="90" t="s">
        <v>9</v>
      </c>
      <c r="F43" s="89" t="s">
        <v>15</v>
      </c>
      <c r="G43" s="90" t="s">
        <v>16</v>
      </c>
      <c r="H43" s="91" t="s">
        <v>17</v>
      </c>
      <c r="J43" s="27" t="s">
        <v>11</v>
      </c>
      <c r="K43" s="89" t="s">
        <v>171</v>
      </c>
      <c r="L43" s="89" t="s">
        <v>41</v>
      </c>
      <c r="M43" s="89" t="s">
        <v>14</v>
      </c>
      <c r="N43" s="90" t="s">
        <v>9</v>
      </c>
      <c r="O43" s="89" t="s">
        <v>15</v>
      </c>
      <c r="P43" s="90" t="s">
        <v>16</v>
      </c>
      <c r="Q43" s="91" t="s">
        <v>17</v>
      </c>
      <c r="S43" s="27" t="s">
        <v>11</v>
      </c>
      <c r="T43" s="89" t="s">
        <v>171</v>
      </c>
      <c r="U43" s="89" t="s">
        <v>41</v>
      </c>
      <c r="V43" s="89" t="s">
        <v>14</v>
      </c>
      <c r="W43" s="90" t="s">
        <v>9</v>
      </c>
      <c r="X43" s="89" t="s">
        <v>15</v>
      </c>
      <c r="Y43" s="90" t="s">
        <v>16</v>
      </c>
      <c r="Z43" s="91" t="s">
        <v>17</v>
      </c>
      <c r="AB43" s="27" t="s">
        <v>11</v>
      </c>
      <c r="AC43" s="89" t="s">
        <v>171</v>
      </c>
      <c r="AD43" s="89" t="s">
        <v>41</v>
      </c>
      <c r="AE43" s="89" t="s">
        <v>14</v>
      </c>
      <c r="AF43" s="90" t="s">
        <v>9</v>
      </c>
      <c r="AG43" s="89" t="s">
        <v>15</v>
      </c>
      <c r="AH43" s="90" t="s">
        <v>16</v>
      </c>
      <c r="AI43" s="91" t="s">
        <v>17</v>
      </c>
      <c r="AL43" s="27" t="s">
        <v>11</v>
      </c>
      <c r="AM43" s="89" t="s">
        <v>171</v>
      </c>
      <c r="AN43" s="89" t="s">
        <v>41</v>
      </c>
      <c r="AO43" s="89" t="s">
        <v>14</v>
      </c>
      <c r="AP43" s="90" t="s">
        <v>9</v>
      </c>
      <c r="AQ43" s="89" t="s">
        <v>15</v>
      </c>
      <c r="AR43" s="90" t="s">
        <v>16</v>
      </c>
      <c r="AS43" s="91" t="s">
        <v>17</v>
      </c>
    </row>
    <row r="44" spans="1:46" ht="18" customHeight="1" x14ac:dyDescent="0.25">
      <c r="A44" s="13">
        <v>1</v>
      </c>
      <c r="B44" s="69">
        <v>50.592857142857142</v>
      </c>
      <c r="C44" s="200"/>
      <c r="D44" s="200"/>
      <c r="E44" s="200" t="s">
        <v>48</v>
      </c>
      <c r="F44" s="200"/>
      <c r="G44" s="200"/>
      <c r="H44" s="221"/>
      <c r="J44" s="13">
        <v>1</v>
      </c>
      <c r="K44" s="69">
        <v>21.327142857142857</v>
      </c>
      <c r="L44" s="36"/>
      <c r="M44" s="36"/>
      <c r="N44" s="36" t="s">
        <v>48</v>
      </c>
      <c r="O44" s="36"/>
      <c r="P44" s="36"/>
      <c r="Q44" s="30"/>
      <c r="S44" s="13">
        <v>1</v>
      </c>
      <c r="T44" s="69">
        <v>9.9599999999999991</v>
      </c>
      <c r="U44" s="36"/>
      <c r="V44" s="36"/>
      <c r="W44" s="36" t="s">
        <v>48</v>
      </c>
      <c r="X44" s="36"/>
      <c r="Y44" s="36"/>
      <c r="Z44" s="30"/>
      <c r="AB44" s="13">
        <v>1</v>
      </c>
      <c r="AC44" s="69">
        <v>5.7785714285714294</v>
      </c>
      <c r="AD44" s="36"/>
      <c r="AE44" s="36"/>
      <c r="AF44" s="36" t="s">
        <v>48</v>
      </c>
      <c r="AG44" s="36"/>
      <c r="AH44" s="36"/>
      <c r="AI44" s="30"/>
      <c r="AL44" s="13">
        <v>1</v>
      </c>
      <c r="AM44" s="69">
        <v>5.7785714285714294</v>
      </c>
      <c r="AN44" s="36"/>
      <c r="AO44" s="36"/>
      <c r="AP44" s="36" t="s">
        <v>48</v>
      </c>
      <c r="AQ44" s="36"/>
      <c r="AR44" s="36"/>
      <c r="AS44" s="30"/>
    </row>
    <row r="45" spans="1:46" ht="18" customHeight="1" x14ac:dyDescent="0.25">
      <c r="A45" s="13">
        <v>2</v>
      </c>
      <c r="B45" s="69">
        <v>47.142857142857146</v>
      </c>
      <c r="C45" s="263"/>
      <c r="D45" s="54"/>
      <c r="E45" s="81" t="s">
        <v>44</v>
      </c>
      <c r="F45" s="81"/>
      <c r="G45" s="81"/>
      <c r="H45" s="264"/>
      <c r="J45" s="13">
        <v>2</v>
      </c>
      <c r="K45" s="69">
        <v>18.361428571428572</v>
      </c>
      <c r="L45" s="68"/>
      <c r="N45" s="69" t="s">
        <v>44</v>
      </c>
      <c r="O45" s="69"/>
      <c r="P45" s="69"/>
      <c r="Q45" s="70"/>
      <c r="S45" s="13">
        <v>2</v>
      </c>
      <c r="T45" s="69">
        <v>7.4799999999999995</v>
      </c>
      <c r="U45" s="68"/>
      <c r="W45" s="69" t="s">
        <v>44</v>
      </c>
      <c r="X45" s="69"/>
      <c r="Y45" s="69"/>
      <c r="Z45" s="70"/>
      <c r="AB45" s="13">
        <v>2</v>
      </c>
      <c r="AC45" s="69">
        <v>3.6485714285714286</v>
      </c>
      <c r="AD45" s="68"/>
      <c r="AF45" s="69" t="s">
        <v>44</v>
      </c>
      <c r="AG45" s="69"/>
      <c r="AH45" s="69"/>
      <c r="AI45" s="70"/>
      <c r="AL45" s="13">
        <v>2</v>
      </c>
      <c r="AM45" s="69">
        <v>3.6485714285714286</v>
      </c>
      <c r="AN45" s="68"/>
      <c r="AP45" s="69" t="s">
        <v>44</v>
      </c>
      <c r="AQ45" s="69"/>
      <c r="AR45" s="69"/>
      <c r="AS45" s="70"/>
    </row>
    <row r="46" spans="1:46" ht="18" customHeight="1" x14ac:dyDescent="0.25">
      <c r="A46" s="13">
        <v>3</v>
      </c>
      <c r="B46" s="69">
        <v>44.581428571428567</v>
      </c>
      <c r="C46" s="263"/>
      <c r="D46" s="81"/>
      <c r="E46" s="81"/>
      <c r="F46" s="81"/>
      <c r="G46" s="81"/>
      <c r="H46" s="264"/>
      <c r="J46" s="13">
        <v>3</v>
      </c>
      <c r="K46" s="69">
        <v>15.664285714285715</v>
      </c>
      <c r="L46" s="68"/>
      <c r="M46" s="69"/>
      <c r="N46" s="69"/>
      <c r="O46" s="69"/>
      <c r="P46" s="69"/>
      <c r="Q46" s="70"/>
      <c r="S46" s="13">
        <v>3</v>
      </c>
      <c r="T46" s="69">
        <v>5.3214285714285712</v>
      </c>
      <c r="U46" s="68"/>
      <c r="V46" s="69"/>
      <c r="W46" s="69"/>
      <c r="X46" s="69"/>
      <c r="Y46" s="69"/>
      <c r="Z46" s="70"/>
      <c r="AB46" s="13">
        <v>3</v>
      </c>
      <c r="AC46" s="69">
        <v>2.2671428571428573</v>
      </c>
      <c r="AD46" s="68"/>
      <c r="AE46" s="69"/>
      <c r="AF46" s="69"/>
      <c r="AG46" s="69"/>
      <c r="AH46" s="69"/>
      <c r="AI46" s="70"/>
      <c r="AL46" s="13">
        <v>3</v>
      </c>
      <c r="AM46" s="69">
        <v>2.2671428571428573</v>
      </c>
      <c r="AN46" s="68"/>
      <c r="AO46" s="69"/>
      <c r="AP46" s="69"/>
      <c r="AQ46" s="69"/>
      <c r="AR46" s="69"/>
      <c r="AS46" s="70"/>
    </row>
    <row r="47" spans="1:46" ht="18" customHeight="1" x14ac:dyDescent="0.25">
      <c r="A47" s="13">
        <v>4</v>
      </c>
      <c r="B47" s="69">
        <v>42.182857142857145</v>
      </c>
      <c r="C47" s="263"/>
      <c r="D47" s="81"/>
      <c r="E47" s="81"/>
      <c r="F47" s="81"/>
      <c r="G47" s="81"/>
      <c r="H47" s="264"/>
      <c r="J47" s="13">
        <v>4</v>
      </c>
      <c r="K47" s="69">
        <v>13.362857142857143</v>
      </c>
      <c r="L47" s="68"/>
      <c r="M47" s="69"/>
      <c r="N47" s="69"/>
      <c r="O47" s="69"/>
      <c r="P47" s="69"/>
      <c r="Q47" s="70"/>
      <c r="S47" s="13">
        <v>4</v>
      </c>
      <c r="T47" s="69">
        <v>3.891428571428571</v>
      </c>
      <c r="U47" s="68"/>
      <c r="V47" s="69"/>
      <c r="W47" s="69"/>
      <c r="X47" s="69"/>
      <c r="Y47" s="69"/>
      <c r="Z47" s="70"/>
      <c r="AB47" s="13">
        <v>4</v>
      </c>
      <c r="AC47" s="69">
        <v>1.39</v>
      </c>
      <c r="AD47" s="68"/>
      <c r="AE47" s="69"/>
      <c r="AF47" s="69"/>
      <c r="AG47" s="69"/>
      <c r="AH47" s="69"/>
      <c r="AI47" s="70"/>
      <c r="AL47" s="13">
        <v>4</v>
      </c>
      <c r="AM47" s="69">
        <v>1.39</v>
      </c>
      <c r="AN47" s="68"/>
      <c r="AO47" s="69"/>
      <c r="AP47" s="69"/>
      <c r="AQ47" s="69"/>
      <c r="AR47" s="69"/>
      <c r="AS47" s="70"/>
    </row>
    <row r="48" spans="1:46" ht="18" customHeight="1" x14ac:dyDescent="0.25">
      <c r="A48" s="13">
        <v>5</v>
      </c>
      <c r="B48" s="69">
        <v>38.35857142857143</v>
      </c>
      <c r="C48" s="263">
        <f>B44/B48</f>
        <v>1.3189452906781869</v>
      </c>
      <c r="D48" s="81">
        <f t="shared" ref="D48:D49" si="105">20*LOG10(C48)</f>
        <v>2.4045356311798907</v>
      </c>
      <c r="E48" s="81">
        <f>E12+E13+E14+E15</f>
        <v>1.0540372211589639</v>
      </c>
      <c r="F48" s="81">
        <f t="shared" ref="F48:F49" si="106">D48-E48</f>
        <v>1.3504984100209267</v>
      </c>
      <c r="G48" s="246">
        <f t="shared" ref="G48:G49" si="107">D48/2/($B$6/1000)/4</f>
        <v>30.083289017239871</v>
      </c>
      <c r="H48" s="264">
        <f t="shared" ref="H48:H49" si="108">F48/2/($B$6/1000)/4</f>
        <v>16.896166336302876</v>
      </c>
      <c r="J48" s="13">
        <v>5</v>
      </c>
      <c r="K48" s="69">
        <v>11.56</v>
      </c>
      <c r="L48" s="68">
        <f>K44/K48</f>
        <v>1.8449085516559565</v>
      </c>
      <c r="M48" s="69">
        <f t="shared" ref="M48:M49" si="109">20*LOG10(L48)</f>
        <v>5.3194968787851673</v>
      </c>
      <c r="N48" s="69">
        <f>N12+N13+N14+N15</f>
        <v>0.89580004134935975</v>
      </c>
      <c r="O48" s="69">
        <f t="shared" ref="O48:O49" si="110">M48-N48</f>
        <v>4.4236968374358074</v>
      </c>
      <c r="P48" s="69">
        <f t="shared" ref="P48:P49" si="111">M48/2/($B$6/1000)/4</f>
        <v>66.55254343320955</v>
      </c>
      <c r="Q48" s="289">
        <f t="shared" ref="Q48:Q49" si="112">O48/2/($B$6/1000)/4</f>
        <v>55.345135567789512</v>
      </c>
      <c r="S48" s="13">
        <v>5</v>
      </c>
      <c r="T48" s="69">
        <v>2.9842857142857144</v>
      </c>
      <c r="U48" s="68">
        <f>T44/T48</f>
        <v>3.3374820488271895</v>
      </c>
      <c r="V48" s="69">
        <f t="shared" ref="V48:V49" si="113">20*LOG10(U48)</f>
        <v>10.468378769152938</v>
      </c>
      <c r="W48" s="69">
        <f>W12+W13+W14+W15</f>
        <v>0.69520612596800935</v>
      </c>
      <c r="X48" s="69">
        <f t="shared" ref="X48:X49" si="114">V48-W48</f>
        <v>9.7731726431849282</v>
      </c>
      <c r="Y48" s="246">
        <f t="shared" ref="Y48:Y49" si="115">V48/2/($B$6/1000)/4</f>
        <v>130.97051254750372</v>
      </c>
      <c r="Z48" s="289">
        <f t="shared" ref="Z48:Z49" si="116">X48/2/($B$6/1000)/4</f>
        <v>122.27274714829068</v>
      </c>
      <c r="AB48" s="13">
        <v>5</v>
      </c>
      <c r="AC48" s="69">
        <v>1.0132857142857143</v>
      </c>
      <c r="AD48" s="68">
        <f>AC44/AC48</f>
        <v>5.7028055829691251</v>
      </c>
      <c r="AE48" s="69">
        <f t="shared" ref="AE48:AE49" si="117">20*LOG10(AD48)</f>
        <v>15.121771321995205</v>
      </c>
      <c r="AF48" s="69">
        <f>AF12+AF13+AF14+AF15</f>
        <v>0.58604536620604464</v>
      </c>
      <c r="AG48" s="69">
        <f t="shared" ref="AG48:AG49" si="118">AE48-AF48</f>
        <v>14.535725955789159</v>
      </c>
      <c r="AH48" s="81">
        <f t="shared" ref="AH48:AH49" si="119">AE48/2/($B$6/1000)/4</f>
        <v>189.1893849412281</v>
      </c>
      <c r="AI48" s="264">
        <f t="shared" ref="AI48:AI49" si="120">AG48/2/($B$6/1000)/4</f>
        <v>181.85733633268256</v>
      </c>
      <c r="AL48" s="13">
        <v>5</v>
      </c>
      <c r="AM48" s="69">
        <v>1.0132857142857143</v>
      </c>
      <c r="AN48" s="68">
        <f>AM44/AM48</f>
        <v>5.7028055829691251</v>
      </c>
      <c r="AO48" s="69">
        <f t="shared" ref="AO48" si="121">20*LOG10(AN48)</f>
        <v>15.121771321995205</v>
      </c>
      <c r="AP48" s="69">
        <f>AP12+AP13+AP14+AP15</f>
        <v>0.58604536620604464</v>
      </c>
      <c r="AQ48" s="69">
        <f t="shared" ref="AQ48" si="122">AO48-AP48</f>
        <v>14.535725955789159</v>
      </c>
      <c r="AR48" s="81">
        <f t="shared" ref="AR48" si="123">AO48/2/($B$6/1000)/4</f>
        <v>189.1893849412281</v>
      </c>
      <c r="AS48" s="264">
        <f t="shared" ref="AS48" si="124">AQ48/2/($B$6/1000)/4</f>
        <v>181.85733633268256</v>
      </c>
    </row>
    <row r="49" spans="1:55" ht="18" customHeight="1" thickBot="1" x14ac:dyDescent="0.3">
      <c r="A49" s="13">
        <v>6</v>
      </c>
      <c r="B49" s="69">
        <v>36.284285714285723</v>
      </c>
      <c r="C49" s="263">
        <f t="shared" ref="C49" si="125">B45/B49</f>
        <v>1.2992637505413598</v>
      </c>
      <c r="D49" s="81">
        <f t="shared" si="105"/>
        <v>2.2739464360497212</v>
      </c>
      <c r="E49" s="81">
        <f t="shared" ref="E49" si="126">E13+E14+E15+E16</f>
        <v>1.2466141163631321</v>
      </c>
      <c r="F49" s="81">
        <f t="shared" si="106"/>
        <v>1.0273323196865891</v>
      </c>
      <c r="G49" s="246">
        <f t="shared" si="107"/>
        <v>28.449479790756541</v>
      </c>
      <c r="H49" s="264">
        <f t="shared" si="108"/>
        <v>12.853016062281419</v>
      </c>
      <c r="I49" s="247" t="s">
        <v>143</v>
      </c>
      <c r="J49" s="13">
        <v>6</v>
      </c>
      <c r="K49" s="69">
        <v>10.124285714285715</v>
      </c>
      <c r="L49" s="68">
        <f t="shared" ref="L49" si="127">K45/K49</f>
        <v>1.8136023705376039</v>
      </c>
      <c r="M49" s="246">
        <f t="shared" si="109"/>
        <v>5.1708414955973589</v>
      </c>
      <c r="N49" s="81">
        <f t="shared" ref="N49" si="128">N13+N14+N15+N16</f>
        <v>0.64427200044965349</v>
      </c>
      <c r="O49" s="81">
        <f t="shared" si="110"/>
        <v>4.5265694951477053</v>
      </c>
      <c r="P49" s="246">
        <f t="shared" si="111"/>
        <v>64.692707047997416</v>
      </c>
      <c r="Q49" s="289">
        <f t="shared" si="112"/>
        <v>56.632181537825751</v>
      </c>
      <c r="R49" s="247" t="s">
        <v>143</v>
      </c>
      <c r="S49" s="13">
        <v>6</v>
      </c>
      <c r="T49" s="69">
        <v>2.31</v>
      </c>
      <c r="U49" s="68">
        <f t="shared" ref="U49" si="129">T45/T49</f>
        <v>3.2380952380952377</v>
      </c>
      <c r="V49" s="246">
        <f t="shared" si="113"/>
        <v>10.20579235944634</v>
      </c>
      <c r="W49" s="81">
        <f t="shared" ref="W49" si="130">W13+W14+W15+W16</f>
        <v>0.60117171976763584</v>
      </c>
      <c r="X49" s="81">
        <f t="shared" si="114"/>
        <v>9.6046206396787035</v>
      </c>
      <c r="Y49" s="81">
        <f t="shared" si="115"/>
        <v>127.68527827907795</v>
      </c>
      <c r="Z49" s="70">
        <f t="shared" si="116"/>
        <v>120.16398295691771</v>
      </c>
      <c r="AA49" s="247" t="s">
        <v>143</v>
      </c>
      <c r="AB49" s="13">
        <v>6</v>
      </c>
      <c r="AC49" s="351">
        <v>0.86828571428571422</v>
      </c>
      <c r="AD49" s="352">
        <f t="shared" ref="AD49" si="131">AC45/AC49</f>
        <v>4.2020401447844691</v>
      </c>
      <c r="AE49" s="354">
        <f t="shared" si="117"/>
        <v>12.469203943669449</v>
      </c>
      <c r="AF49" s="354">
        <f t="shared" ref="AF49" si="132">AF13+AF14+AF15+AF16</f>
        <v>0.51975637490172444</v>
      </c>
      <c r="AG49" s="354">
        <f t="shared" si="118"/>
        <v>11.949447568767724</v>
      </c>
      <c r="AH49" s="354">
        <f t="shared" si="119"/>
        <v>156.00295590889155</v>
      </c>
      <c r="AI49" s="353">
        <f t="shared" si="120"/>
        <v>149.500252833101</v>
      </c>
      <c r="AJ49" s="247" t="s">
        <v>143</v>
      </c>
      <c r="AL49" s="13">
        <v>6</v>
      </c>
      <c r="AM49" s="69" t="s">
        <v>303</v>
      </c>
      <c r="AN49" s="68"/>
      <c r="AO49" s="81"/>
      <c r="AP49" s="81"/>
      <c r="AQ49" s="81"/>
      <c r="AR49" s="81"/>
      <c r="AS49" s="70"/>
      <c r="AT49" s="247" t="s">
        <v>143</v>
      </c>
    </row>
    <row r="50" spans="1:55" ht="18" customHeight="1" thickBot="1" x14ac:dyDescent="0.3">
      <c r="A50" s="13">
        <v>7</v>
      </c>
      <c r="B50" s="340" t="s">
        <v>203</v>
      </c>
      <c r="C50" s="341">
        <f t="shared" ref="C50:H50" si="133">AVERAGE(C45:C49)</f>
        <v>1.3091045206097733</v>
      </c>
      <c r="D50" s="341">
        <f t="shared" si="133"/>
        <v>2.339241033614806</v>
      </c>
      <c r="E50" s="341">
        <f t="shared" si="133"/>
        <v>1.1503256687610479</v>
      </c>
      <c r="F50" s="341">
        <f t="shared" si="133"/>
        <v>1.188915364853758</v>
      </c>
      <c r="G50" s="341">
        <f t="shared" si="133"/>
        <v>29.266384403998206</v>
      </c>
      <c r="H50" s="341">
        <f t="shared" si="133"/>
        <v>14.874591199292148</v>
      </c>
      <c r="I50" s="245" t="s">
        <v>148</v>
      </c>
      <c r="J50" s="13">
        <v>7</v>
      </c>
      <c r="K50" s="340" t="s">
        <v>203</v>
      </c>
      <c r="L50" s="341">
        <f t="shared" ref="L50:Q50" si="134">AVERAGE(L45:L49)</f>
        <v>1.8292554610967802</v>
      </c>
      <c r="M50" s="341">
        <f t="shared" si="134"/>
        <v>5.2451691871912631</v>
      </c>
      <c r="N50" s="341">
        <f t="shared" si="134"/>
        <v>0.77003602089950662</v>
      </c>
      <c r="O50" s="341">
        <f t="shared" si="134"/>
        <v>4.4751331662917568</v>
      </c>
      <c r="P50" s="341">
        <f t="shared" si="134"/>
        <v>65.622625240603483</v>
      </c>
      <c r="Q50" s="341">
        <f t="shared" si="134"/>
        <v>55.988658552807635</v>
      </c>
      <c r="S50" s="13">
        <v>7</v>
      </c>
      <c r="T50" s="340" t="s">
        <v>203</v>
      </c>
      <c r="U50" s="341">
        <f t="shared" ref="U50:Z50" si="135">AVERAGE(U45:U49)</f>
        <v>3.2877886434612136</v>
      </c>
      <c r="V50" s="341">
        <f t="shared" si="135"/>
        <v>10.337085564299638</v>
      </c>
      <c r="W50" s="341">
        <f t="shared" si="135"/>
        <v>0.64818892286782259</v>
      </c>
      <c r="X50" s="341">
        <f t="shared" si="135"/>
        <v>9.6888966414318158</v>
      </c>
      <c r="Y50" s="341">
        <f t="shared" si="135"/>
        <v>129.32789541329083</v>
      </c>
      <c r="Z50" s="341">
        <f t="shared" si="135"/>
        <v>121.21836505260418</v>
      </c>
      <c r="AB50" s="13">
        <v>7</v>
      </c>
      <c r="AC50" s="36"/>
      <c r="AD50" s="68"/>
      <c r="AE50" s="81"/>
      <c r="AF50" s="81"/>
      <c r="AG50" s="340" t="s">
        <v>203</v>
      </c>
      <c r="AH50" s="341">
        <f>AVERAGE(AH45:AH49)</f>
        <v>172.59617042505982</v>
      </c>
      <c r="AI50" s="341">
        <f>AVERAGE(AI45:AI49)</f>
        <v>165.67879458289178</v>
      </c>
      <c r="AL50" s="13">
        <v>7</v>
      </c>
      <c r="AM50" s="340" t="s">
        <v>203</v>
      </c>
      <c r="AN50" s="341">
        <f t="shared" ref="AN50:AS50" si="136">AVERAGE(AN45:AN49)</f>
        <v>5.7028055829691251</v>
      </c>
      <c r="AO50" s="341">
        <f t="shared" si="136"/>
        <v>15.121771321995205</v>
      </c>
      <c r="AP50" s="341">
        <f t="shared" si="136"/>
        <v>0.58604536620604464</v>
      </c>
      <c r="AQ50" s="341">
        <f t="shared" si="136"/>
        <v>14.535725955789159</v>
      </c>
      <c r="AR50" s="341">
        <f t="shared" si="136"/>
        <v>189.1893849412281</v>
      </c>
      <c r="AS50" s="341">
        <f t="shared" si="136"/>
        <v>181.85733633268256</v>
      </c>
    </row>
    <row r="51" spans="1:55" ht="18" customHeight="1" x14ac:dyDescent="0.25">
      <c r="A51" s="13">
        <v>8</v>
      </c>
      <c r="B51" s="36"/>
      <c r="C51" s="263"/>
      <c r="D51" s="81"/>
      <c r="E51" s="81"/>
      <c r="F51" s="81"/>
      <c r="G51" s="81"/>
      <c r="H51" s="264"/>
      <c r="I51" s="245" t="s">
        <v>149</v>
      </c>
      <c r="J51" s="13">
        <v>8</v>
      </c>
      <c r="K51" s="36"/>
      <c r="L51" s="68"/>
      <c r="M51" s="81"/>
      <c r="N51" s="81"/>
      <c r="O51" s="81"/>
      <c r="P51" s="81"/>
      <c r="Q51" s="70"/>
      <c r="S51" s="13">
        <v>8</v>
      </c>
      <c r="T51" s="36"/>
      <c r="U51" s="68"/>
      <c r="V51" s="81"/>
      <c r="W51" s="81"/>
      <c r="X51" s="81"/>
      <c r="Y51" s="81"/>
      <c r="Z51" s="70"/>
      <c r="AB51" s="13">
        <v>8</v>
      </c>
      <c r="AC51" s="36"/>
      <c r="AD51" s="68"/>
      <c r="AE51" s="81"/>
      <c r="AF51" s="81"/>
      <c r="AG51" s="81"/>
      <c r="AH51" s="81"/>
      <c r="AI51" s="70"/>
      <c r="AL51" s="13">
        <v>8</v>
      </c>
      <c r="AM51" s="36"/>
      <c r="AN51" s="68"/>
      <c r="AO51" s="81"/>
      <c r="AP51" s="81"/>
      <c r="AQ51" s="81"/>
      <c r="AR51" s="81"/>
      <c r="AS51" s="70"/>
    </row>
    <row r="52" spans="1:55" ht="18" customHeight="1" x14ac:dyDescent="0.25">
      <c r="A52" s="13">
        <v>9</v>
      </c>
      <c r="B52" s="36"/>
      <c r="C52" s="263"/>
      <c r="D52" s="81"/>
      <c r="E52" s="81"/>
      <c r="F52" s="81"/>
      <c r="G52" s="81"/>
      <c r="H52" s="264"/>
      <c r="I52" s="245" t="s">
        <v>150</v>
      </c>
      <c r="J52" s="13">
        <v>9</v>
      </c>
      <c r="K52" s="36"/>
      <c r="L52" s="68"/>
      <c r="M52" s="81"/>
      <c r="N52" s="81"/>
      <c r="O52" s="81"/>
      <c r="P52" s="81"/>
      <c r="Q52" s="70"/>
      <c r="S52" s="13">
        <v>9</v>
      </c>
      <c r="T52" s="36"/>
      <c r="U52" s="68"/>
      <c r="V52" s="81"/>
      <c r="W52" s="81"/>
      <c r="X52" s="81"/>
      <c r="Y52" s="81"/>
      <c r="Z52" s="70"/>
      <c r="AB52" s="13">
        <v>9</v>
      </c>
      <c r="AC52" s="36"/>
      <c r="AD52" s="68"/>
      <c r="AE52" s="81"/>
      <c r="AF52" s="81"/>
      <c r="AG52" s="81"/>
      <c r="AH52" s="81"/>
      <c r="AI52" s="70"/>
      <c r="AL52" s="13">
        <v>9</v>
      </c>
      <c r="AM52" s="36"/>
      <c r="AN52" s="68"/>
      <c r="AO52" s="81"/>
      <c r="AP52" s="81"/>
      <c r="AQ52" s="81"/>
      <c r="AR52" s="81"/>
      <c r="AS52" s="70"/>
    </row>
    <row r="53" spans="1:55" ht="18" customHeight="1" thickBot="1" x14ac:dyDescent="0.3">
      <c r="A53" s="31">
        <v>10</v>
      </c>
      <c r="B53" s="42"/>
      <c r="C53" s="265"/>
      <c r="D53" s="266"/>
      <c r="E53" s="266"/>
      <c r="F53" s="266"/>
      <c r="G53" s="266"/>
      <c r="H53" s="267"/>
      <c r="J53" s="31">
        <v>10</v>
      </c>
      <c r="K53" s="42"/>
      <c r="L53" s="71"/>
      <c r="M53" s="72"/>
      <c r="N53" s="72"/>
      <c r="O53" s="72"/>
      <c r="P53" s="72"/>
      <c r="Q53" s="73"/>
      <c r="S53" s="31">
        <v>10</v>
      </c>
      <c r="T53" s="42"/>
      <c r="U53" s="71"/>
      <c r="V53" s="72"/>
      <c r="W53" s="72"/>
      <c r="X53" s="72"/>
      <c r="Y53" s="72"/>
      <c r="Z53" s="73"/>
      <c r="AB53" s="31">
        <v>10</v>
      </c>
      <c r="AC53" s="42"/>
      <c r="AD53" s="71"/>
      <c r="AE53" s="72"/>
      <c r="AF53" s="72"/>
      <c r="AG53" s="72"/>
      <c r="AH53" s="72"/>
      <c r="AI53" s="73"/>
      <c r="AL53" s="31">
        <v>10</v>
      </c>
      <c r="AM53" s="42"/>
      <c r="AN53" s="71"/>
      <c r="AO53" s="72"/>
      <c r="AP53" s="72"/>
      <c r="AQ53" s="72"/>
      <c r="AR53" s="72"/>
      <c r="AS53" s="73"/>
    </row>
    <row r="54" spans="1:55" ht="18" customHeight="1" thickBot="1" x14ac:dyDescent="0.3">
      <c r="D54" s="6"/>
      <c r="E54" s="332"/>
      <c r="F54" s="342" t="s">
        <v>204</v>
      </c>
      <c r="G54" s="331">
        <f>AVERAGE(G17,G28,G39,G50)</f>
        <v>29.029508062835895</v>
      </c>
      <c r="H54" s="331">
        <f>AVERAGE(H17,H28,H39,H50)</f>
        <v>14.127648898567786</v>
      </c>
      <c r="N54" s="332"/>
      <c r="O54" s="342" t="s">
        <v>204</v>
      </c>
      <c r="P54" s="331">
        <f>AVERAGE(P17,P28,P39,P50)</f>
        <v>65.505522709184163</v>
      </c>
      <c r="Q54" s="331">
        <f>AVERAGE(Q17,Q28,Q39,Q50)</f>
        <v>55.914963494827752</v>
      </c>
      <c r="W54" s="332"/>
      <c r="X54" s="342" t="s">
        <v>204</v>
      </c>
      <c r="Y54" s="331">
        <f>AVERAGE(Y17,Y28,Y39,Y50)</f>
        <v>128.94279731053763</v>
      </c>
      <c r="Z54" s="331">
        <f>AVERAGE(Z17,Z28,Z39,Z50)</f>
        <v>120.84239870093779</v>
      </c>
      <c r="AF54" s="332"/>
      <c r="AG54" s="342" t="s">
        <v>204</v>
      </c>
      <c r="AH54" s="331">
        <f>AVERAGE(AH17,AH28,AH39,AH50)</f>
        <v>171.75409899920595</v>
      </c>
      <c r="AI54" s="331">
        <f>AVERAGE(AI17,AI28,AI39,AI50)</f>
        <v>164.81487432364781</v>
      </c>
      <c r="AP54" s="332"/>
      <c r="AQ54" s="342" t="s">
        <v>204</v>
      </c>
      <c r="AR54" s="331">
        <f>AVERAGE(AR17,AR28,AR39,AR50)</f>
        <v>192.61439344951316</v>
      </c>
      <c r="AS54" s="331">
        <f>AVERAGE(AS17,AS28,AS39,AS50)</f>
        <v>185.30020444216217</v>
      </c>
      <c r="AZ54" s="332"/>
      <c r="BA54" s="342" t="s">
        <v>204</v>
      </c>
      <c r="BB54" s="331">
        <f>AVERAGE(BB17,BB28,BB39,BB50)</f>
        <v>592.03018601029703</v>
      </c>
      <c r="BC54" s="331">
        <f>AVERAGE(BC17,BC28,BC39,BC50)</f>
        <v>584.37842185077989</v>
      </c>
    </row>
    <row r="55" spans="1:55" ht="18" customHeight="1" x14ac:dyDescent="0.25"/>
    <row r="56" spans="1:55" ht="18" customHeight="1" x14ac:dyDescent="0.25"/>
    <row r="57" spans="1:55" ht="18" customHeight="1" x14ac:dyDescent="0.25">
      <c r="A57" t="s">
        <v>216</v>
      </c>
      <c r="P57" s="332" t="s">
        <v>205</v>
      </c>
      <c r="Q57" s="332"/>
    </row>
    <row r="58" spans="1:55" ht="18" customHeight="1" x14ac:dyDescent="0.25">
      <c r="A58" s="4" t="s">
        <v>1</v>
      </c>
      <c r="B58" s="1">
        <v>5</v>
      </c>
      <c r="C58" s="1">
        <v>10</v>
      </c>
      <c r="D58" s="1">
        <v>16</v>
      </c>
      <c r="E58" s="1">
        <v>20</v>
      </c>
      <c r="F58" s="7">
        <v>32</v>
      </c>
      <c r="G58" s="221">
        <v>0</v>
      </c>
      <c r="O58" s="93" t="s">
        <v>1</v>
      </c>
      <c r="P58" s="343" t="s">
        <v>16</v>
      </c>
      <c r="Q58" s="91" t="s">
        <v>17</v>
      </c>
    </row>
    <row r="59" spans="1:55" ht="18" customHeight="1" x14ac:dyDescent="0.25">
      <c r="A59" s="250" t="s">
        <v>16</v>
      </c>
      <c r="B59" s="13">
        <v>22.56</v>
      </c>
      <c r="C59" s="13">
        <v>61.35</v>
      </c>
      <c r="D59" s="13">
        <v>122.9</v>
      </c>
      <c r="E59" s="13">
        <v>189.2</v>
      </c>
      <c r="F59" s="30">
        <v>592</v>
      </c>
      <c r="G59" s="221">
        <v>0</v>
      </c>
      <c r="N59" s="30"/>
      <c r="O59" s="4">
        <v>0</v>
      </c>
      <c r="P59" s="4">
        <v>0</v>
      </c>
      <c r="Q59" s="4">
        <v>0</v>
      </c>
    </row>
    <row r="60" spans="1:55" ht="18" customHeight="1" x14ac:dyDescent="0.25">
      <c r="A60" s="91" t="s">
        <v>17</v>
      </c>
      <c r="B60" s="1">
        <v>5.95</v>
      </c>
      <c r="C60" s="1">
        <v>50.22</v>
      </c>
      <c r="D60" s="1">
        <v>114.9</v>
      </c>
      <c r="E60" s="1">
        <v>181.14</v>
      </c>
      <c r="F60" s="7">
        <v>584</v>
      </c>
      <c r="O60" s="35">
        <v>5</v>
      </c>
      <c r="P60" s="39">
        <v>29.029508062835895</v>
      </c>
      <c r="Q60" s="70">
        <v>14.127648898567786</v>
      </c>
    </row>
    <row r="61" spans="1:55" ht="18" customHeight="1" x14ac:dyDescent="0.25">
      <c r="A61" s="7" t="s">
        <v>138</v>
      </c>
      <c r="B61" s="292" t="s">
        <v>140</v>
      </c>
      <c r="C61" s="292" t="s">
        <v>140</v>
      </c>
      <c r="D61" s="279" t="s">
        <v>140</v>
      </c>
      <c r="E61" s="292" t="s">
        <v>140</v>
      </c>
      <c r="F61" s="290" t="s">
        <v>151</v>
      </c>
      <c r="O61" s="35">
        <v>10</v>
      </c>
      <c r="P61" s="39">
        <v>65.505522709184163</v>
      </c>
      <c r="Q61" s="70">
        <v>55.914963494827752</v>
      </c>
    </row>
    <row r="62" spans="1:55" ht="18" customHeight="1" x14ac:dyDescent="0.25">
      <c r="O62" s="35">
        <v>16</v>
      </c>
      <c r="P62" s="39">
        <v>128.94279731053763</v>
      </c>
      <c r="Q62" s="70">
        <v>120.84239870093779</v>
      </c>
    </row>
    <row r="63" spans="1:55" ht="18" customHeight="1" x14ac:dyDescent="0.25">
      <c r="O63" s="41">
        <v>20</v>
      </c>
      <c r="P63" s="429">
        <v>171.75409899920595</v>
      </c>
      <c r="Q63" s="430">
        <v>164.81487432364781</v>
      </c>
    </row>
    <row r="64" spans="1:55" ht="18" customHeight="1" x14ac:dyDescent="0.25">
      <c r="P64" t="s">
        <v>255</v>
      </c>
    </row>
    <row r="65" spans="6:23" ht="18" customHeight="1" x14ac:dyDescent="0.25"/>
    <row r="66" spans="6:23" ht="18" customHeight="1" x14ac:dyDescent="0.25">
      <c r="O66" s="346" t="s">
        <v>209</v>
      </c>
      <c r="P66" s="332" t="s">
        <v>205</v>
      </c>
      <c r="Q66" s="332"/>
    </row>
    <row r="67" spans="6:23" ht="18" customHeight="1" x14ac:dyDescent="0.25">
      <c r="O67" s="93" t="s">
        <v>1</v>
      </c>
      <c r="P67" s="343" t="s">
        <v>16</v>
      </c>
      <c r="Q67" s="91" t="s">
        <v>17</v>
      </c>
    </row>
    <row r="68" spans="6:23" ht="18" customHeight="1" x14ac:dyDescent="0.25">
      <c r="O68" s="4">
        <v>0</v>
      </c>
      <c r="P68" s="4">
        <v>0</v>
      </c>
      <c r="Q68" s="4">
        <v>0</v>
      </c>
    </row>
    <row r="69" spans="6:23" ht="18" customHeight="1" x14ac:dyDescent="0.25">
      <c r="O69" s="35">
        <v>5</v>
      </c>
      <c r="P69" s="39">
        <v>29.029508062835895</v>
      </c>
      <c r="Q69" s="70">
        <v>14.127648898567786</v>
      </c>
    </row>
    <row r="70" spans="6:23" ht="18" customHeight="1" x14ac:dyDescent="0.25">
      <c r="O70" s="35">
        <v>10</v>
      </c>
      <c r="P70" s="39">
        <v>65.505522709184163</v>
      </c>
      <c r="Q70" s="70">
        <v>55.914963494827752</v>
      </c>
    </row>
    <row r="71" spans="6:23" ht="18" customHeight="1" x14ac:dyDescent="0.25">
      <c r="O71" s="35">
        <v>16</v>
      </c>
      <c r="P71" s="39">
        <v>128.94279731053763</v>
      </c>
      <c r="Q71" s="70">
        <v>120.84239870093779</v>
      </c>
    </row>
    <row r="72" spans="6:23" ht="18" customHeight="1" x14ac:dyDescent="0.25">
      <c r="O72" s="41">
        <v>20</v>
      </c>
      <c r="P72" s="347">
        <v>192.61439344951316</v>
      </c>
      <c r="Q72" s="348">
        <v>185.30020444216217</v>
      </c>
    </row>
    <row r="73" spans="6:23" ht="18" customHeight="1" x14ac:dyDescent="0.25">
      <c r="P73" s="346" t="s">
        <v>207</v>
      </c>
      <c r="Q73" s="346"/>
    </row>
    <row r="74" spans="6:23" ht="18" customHeight="1" x14ac:dyDescent="0.25"/>
    <row r="75" spans="6:23" ht="18" customHeight="1" x14ac:dyDescent="0.25">
      <c r="F75" t="s">
        <v>217</v>
      </c>
    </row>
    <row r="76" spans="6:23" ht="18" customHeight="1" x14ac:dyDescent="0.25">
      <c r="F76" s="93" t="s">
        <v>1</v>
      </c>
      <c r="G76" s="343" t="s">
        <v>16</v>
      </c>
      <c r="H76" s="343" t="s">
        <v>16</v>
      </c>
      <c r="I76" s="91" t="s">
        <v>17</v>
      </c>
    </row>
    <row r="77" spans="6:23" ht="18" customHeight="1" x14ac:dyDescent="0.25">
      <c r="F77" s="4">
        <v>0</v>
      </c>
      <c r="G77" s="4">
        <v>0</v>
      </c>
      <c r="H77" s="396">
        <v>0</v>
      </c>
      <c r="I77" s="396">
        <v>0</v>
      </c>
    </row>
    <row r="78" spans="6:23" ht="18" customHeight="1" x14ac:dyDescent="0.25">
      <c r="F78" s="13">
        <v>5</v>
      </c>
      <c r="G78" s="70">
        <v>27.08725467732414</v>
      </c>
      <c r="H78" s="397">
        <v>27.08725467732414</v>
      </c>
      <c r="I78" s="397">
        <v>12.185395513056029</v>
      </c>
    </row>
    <row r="79" spans="6:23" ht="18" customHeight="1" x14ac:dyDescent="0.25">
      <c r="F79" s="13">
        <v>10</v>
      </c>
      <c r="G79" s="70">
        <v>59.317371860166112</v>
      </c>
      <c r="H79" s="398">
        <v>59.317371860166112</v>
      </c>
      <c r="I79" s="264">
        <v>49.726812645809702</v>
      </c>
    </row>
    <row r="80" spans="6:23" ht="18" customHeight="1" x14ac:dyDescent="0.25">
      <c r="F80" s="13">
        <v>16</v>
      </c>
      <c r="G80" s="39">
        <v>113.78396151965714</v>
      </c>
      <c r="H80" s="398">
        <v>113.78396151965714</v>
      </c>
      <c r="I80" s="264">
        <v>105.68356291005729</v>
      </c>
      <c r="S80" s="346" t="s">
        <v>209</v>
      </c>
      <c r="T80" s="332" t="s">
        <v>205</v>
      </c>
      <c r="U80" s="332"/>
      <c r="V80" s="93" t="s">
        <v>292</v>
      </c>
      <c r="W80" s="7"/>
    </row>
    <row r="81" spans="6:26" ht="18" customHeight="1" x14ac:dyDescent="0.25">
      <c r="F81" s="31">
        <v>20</v>
      </c>
      <c r="G81" s="278">
        <v>163.56938061270176</v>
      </c>
      <c r="H81" s="399">
        <v>163.56938061270176</v>
      </c>
      <c r="I81" s="267">
        <v>156.63015593714363</v>
      </c>
      <c r="S81" s="93" t="s">
        <v>1</v>
      </c>
      <c r="T81" s="343" t="s">
        <v>16</v>
      </c>
      <c r="U81" s="91" t="s">
        <v>17</v>
      </c>
      <c r="V81" s="403" t="s">
        <v>235</v>
      </c>
      <c r="W81" s="403" t="s">
        <v>242</v>
      </c>
    </row>
    <row r="82" spans="6:26" ht="18" customHeight="1" x14ac:dyDescent="0.25">
      <c r="F82" s="183">
        <v>32</v>
      </c>
      <c r="G82" s="7"/>
      <c r="H82" s="399">
        <v>592.03018601029703</v>
      </c>
      <c r="I82" s="267">
        <v>584.37842185077989</v>
      </c>
      <c r="S82" s="4">
        <v>0</v>
      </c>
      <c r="T82" s="4">
        <v>0</v>
      </c>
      <c r="U82" s="4">
        <v>0</v>
      </c>
      <c r="V82" s="1">
        <v>0</v>
      </c>
      <c r="W82" s="7">
        <v>0</v>
      </c>
    </row>
    <row r="83" spans="6:26" ht="18" customHeight="1" x14ac:dyDescent="0.25">
      <c r="S83" s="35">
        <v>5</v>
      </c>
      <c r="T83" s="39">
        <v>29.029508062835895</v>
      </c>
      <c r="U83" s="70">
        <v>14.127648898567786</v>
      </c>
      <c r="V83" s="409">
        <v>29.025658682275129</v>
      </c>
      <c r="W83" s="413">
        <v>13.053539328766627</v>
      </c>
    </row>
    <row r="84" spans="6:26" ht="18" customHeight="1" x14ac:dyDescent="0.25">
      <c r="S84" s="35">
        <v>10</v>
      </c>
      <c r="T84" s="39">
        <v>65.505522709184163</v>
      </c>
      <c r="U84" s="70">
        <v>55.914963494827752</v>
      </c>
      <c r="V84" s="409">
        <v>65.557953230655897</v>
      </c>
      <c r="W84" s="413">
        <v>56.377838008799777</v>
      </c>
    </row>
    <row r="85" spans="6:26" ht="18" customHeight="1" x14ac:dyDescent="0.25">
      <c r="S85" s="35">
        <v>16</v>
      </c>
      <c r="T85" s="39">
        <v>128.94279731053763</v>
      </c>
      <c r="U85" s="70">
        <v>120.84239870093779</v>
      </c>
      <c r="V85" s="409">
        <v>129.61457928809065</v>
      </c>
      <c r="W85" s="413">
        <v>121.4573683135892</v>
      </c>
    </row>
    <row r="86" spans="6:26" ht="18" customHeight="1" x14ac:dyDescent="0.25">
      <c r="S86" s="41">
        <v>20</v>
      </c>
      <c r="T86" s="347">
        <v>192.61439344951316</v>
      </c>
      <c r="U86" s="348">
        <v>185.30020444216217</v>
      </c>
      <c r="V86" s="415">
        <v>196.67385969196769</v>
      </c>
      <c r="W86" s="419">
        <v>189.33612313284942</v>
      </c>
    </row>
    <row r="87" spans="6:26" ht="18" customHeight="1" x14ac:dyDescent="0.25">
      <c r="S87" s="349">
        <v>32</v>
      </c>
      <c r="T87" s="280">
        <v>592.03018601029703</v>
      </c>
      <c r="U87" s="281">
        <v>584.37842185077989</v>
      </c>
      <c r="V87" s="415">
        <v>592.02334864019792</v>
      </c>
      <c r="W87" s="419">
        <v>584.38159332850239</v>
      </c>
    </row>
    <row r="88" spans="6:26" ht="18" customHeight="1" x14ac:dyDescent="0.25">
      <c r="T88" s="346" t="s">
        <v>207</v>
      </c>
      <c r="U88" s="346"/>
    </row>
    <row r="89" spans="6:26" ht="18" customHeight="1" x14ac:dyDescent="0.25">
      <c r="U89" s="350" t="s">
        <v>210</v>
      </c>
    </row>
    <row r="90" spans="6:26" ht="18" customHeight="1" x14ac:dyDescent="0.25"/>
    <row r="91" spans="6:26" ht="18" customHeight="1" x14ac:dyDescent="0.25"/>
    <row r="92" spans="6:26" ht="18" customHeight="1" x14ac:dyDescent="0.25">
      <c r="J92" t="s">
        <v>215</v>
      </c>
    </row>
    <row r="93" spans="6:26" ht="18" customHeight="1" x14ac:dyDescent="0.25">
      <c r="J93" s="355" t="s">
        <v>10</v>
      </c>
      <c r="K93" s="356">
        <v>1.2617114579496753</v>
      </c>
      <c r="L93" s="356">
        <v>4.2919674681409008</v>
      </c>
      <c r="M93" s="357">
        <v>36.254114031383018</v>
      </c>
      <c r="N93" s="358">
        <v>28.775014835106845</v>
      </c>
      <c r="O93" s="358">
        <v>19.594979800486477</v>
      </c>
      <c r="P93" s="359">
        <v>43.310603389677667</v>
      </c>
      <c r="Q93" s="360">
        <v>41.290000094558486</v>
      </c>
      <c r="R93" s="361">
        <v>80.034914977701291</v>
      </c>
      <c r="S93" s="362">
        <v>82.711855192301456</v>
      </c>
      <c r="T93" s="362">
        <v>82.765695768697157</v>
      </c>
      <c r="U93" s="363">
        <v>165.4783902771847</v>
      </c>
      <c r="V93" s="363">
        <v>143.8737408726563</v>
      </c>
      <c r="W93" s="363">
        <v>141.56747747963772</v>
      </c>
      <c r="X93" s="364">
        <v>316.71920114588517</v>
      </c>
      <c r="Y93" s="364">
        <v>243.00318359512795</v>
      </c>
      <c r="Z93" s="365">
        <v>735.61680372597198</v>
      </c>
    </row>
    <row r="94" spans="6:26" ht="18" customHeight="1" x14ac:dyDescent="0.25">
      <c r="J94" s="93" t="s">
        <v>213</v>
      </c>
      <c r="K94" s="366">
        <v>1.3</v>
      </c>
      <c r="L94" s="366">
        <v>4.2919674681409008</v>
      </c>
      <c r="M94" s="366">
        <v>36.299999999999997</v>
      </c>
      <c r="N94" s="366"/>
      <c r="O94" s="367"/>
      <c r="P94" s="367"/>
      <c r="Q94" s="368"/>
      <c r="R94" s="368">
        <v>80</v>
      </c>
      <c r="S94" s="368"/>
      <c r="T94" s="368"/>
      <c r="U94" s="368">
        <v>165.5</v>
      </c>
      <c r="V94" s="368"/>
      <c r="W94" s="368"/>
      <c r="X94" s="368">
        <v>317</v>
      </c>
      <c r="Y94" s="368"/>
      <c r="Z94" s="368"/>
    </row>
    <row r="95" spans="6:26" ht="18" customHeight="1" x14ac:dyDescent="0.25">
      <c r="J95" s="1" t="s">
        <v>1</v>
      </c>
      <c r="K95" s="261">
        <v>1.25</v>
      </c>
      <c r="L95" s="92">
        <v>2.5</v>
      </c>
      <c r="M95" s="262">
        <v>5</v>
      </c>
      <c r="N95" s="369">
        <v>5</v>
      </c>
      <c r="O95" s="370">
        <v>5</v>
      </c>
      <c r="P95" s="371">
        <v>5</v>
      </c>
      <c r="Q95" s="372">
        <v>5</v>
      </c>
      <c r="R95" s="373">
        <v>10</v>
      </c>
      <c r="S95" s="373">
        <v>10</v>
      </c>
      <c r="T95" s="373">
        <v>10</v>
      </c>
      <c r="U95" s="374">
        <v>16</v>
      </c>
      <c r="V95" s="374">
        <v>16</v>
      </c>
      <c r="W95" s="375">
        <v>16</v>
      </c>
      <c r="X95" s="92">
        <v>20</v>
      </c>
      <c r="Y95" s="92">
        <v>20</v>
      </c>
      <c r="Z95" s="92">
        <v>25</v>
      </c>
    </row>
    <row r="96" spans="6:26" ht="18" customHeight="1" x14ac:dyDescent="0.25">
      <c r="J96" s="376" t="s">
        <v>212</v>
      </c>
      <c r="K96" s="296">
        <v>-3</v>
      </c>
      <c r="L96" s="296">
        <v>-3</v>
      </c>
      <c r="M96" s="377">
        <v>-3</v>
      </c>
      <c r="N96" s="378">
        <v>-2</v>
      </c>
      <c r="O96" s="378">
        <v>-1</v>
      </c>
      <c r="P96" s="379">
        <v>-3</v>
      </c>
      <c r="Q96" s="379">
        <v>-1</v>
      </c>
      <c r="R96" s="380">
        <v>-3</v>
      </c>
      <c r="S96" s="380">
        <v>-2</v>
      </c>
      <c r="T96" s="380">
        <v>-1</v>
      </c>
      <c r="U96" s="381">
        <v>-3</v>
      </c>
      <c r="V96" s="381">
        <v>-2</v>
      </c>
      <c r="W96" s="381">
        <v>-1</v>
      </c>
      <c r="X96" s="382">
        <v>-3</v>
      </c>
      <c r="Y96" s="382">
        <v>-1</v>
      </c>
      <c r="Z96" s="381">
        <v>-1</v>
      </c>
    </row>
    <row r="97" spans="10:28" ht="18" customHeight="1" x14ac:dyDescent="0.25">
      <c r="J97" s="1" t="s">
        <v>214</v>
      </c>
      <c r="K97" s="383">
        <v>1.28359</v>
      </c>
      <c r="L97" s="384">
        <v>2.5590600000000001</v>
      </c>
      <c r="M97" s="385">
        <v>4.79725</v>
      </c>
      <c r="N97" s="385">
        <v>4.79725</v>
      </c>
      <c r="O97" s="385">
        <v>4.79725</v>
      </c>
      <c r="P97" s="386">
        <v>5.1166999999999998</v>
      </c>
      <c r="Q97" s="386">
        <v>5.1166999999999998</v>
      </c>
      <c r="R97" s="387">
        <v>9.9082500000000007</v>
      </c>
      <c r="S97" s="387">
        <v>9.9082500000000007</v>
      </c>
      <c r="T97" s="388">
        <v>9.9082500000000007</v>
      </c>
      <c r="U97" s="389">
        <v>16.2943</v>
      </c>
      <c r="V97" s="389">
        <v>16.2943</v>
      </c>
      <c r="W97" s="389">
        <v>16.2943</v>
      </c>
      <c r="X97" s="390">
        <v>20.121099999999998</v>
      </c>
      <c r="Y97" s="393">
        <v>20.121099999999998</v>
      </c>
      <c r="Z97" s="394">
        <v>25.233499999999999</v>
      </c>
    </row>
    <row r="98" spans="10:28" ht="18" customHeight="1" x14ac:dyDescent="0.25">
      <c r="J98" s="155" t="s">
        <v>218</v>
      </c>
      <c r="Y98" s="93" t="s">
        <v>221</v>
      </c>
      <c r="Z98" s="6"/>
      <c r="AA98" s="7"/>
      <c r="AB98" t="s">
        <v>222</v>
      </c>
    </row>
    <row r="99" spans="10:28" ht="18" customHeight="1" x14ac:dyDescent="0.25">
      <c r="J99" s="355" t="s">
        <v>10</v>
      </c>
      <c r="K99" s="356">
        <v>1.2617114579496753</v>
      </c>
      <c r="L99" s="356">
        <v>4.2919674681409008</v>
      </c>
      <c r="M99" s="357">
        <v>36.254114031383018</v>
      </c>
      <c r="N99" s="361">
        <v>80.034914977701291</v>
      </c>
      <c r="O99" s="363">
        <v>165.4783902771847</v>
      </c>
      <c r="P99" s="364">
        <v>316.71920114588517</v>
      </c>
      <c r="Y99" s="271" t="s">
        <v>220</v>
      </c>
      <c r="Z99" s="6" t="s">
        <v>219</v>
      </c>
      <c r="AA99" s="7"/>
      <c r="AB99" s="355" t="s">
        <v>10</v>
      </c>
    </row>
    <row r="100" spans="10:28" ht="18" customHeight="1" x14ac:dyDescent="0.25">
      <c r="J100" s="93" t="s">
        <v>213</v>
      </c>
      <c r="K100" s="366">
        <v>1.3</v>
      </c>
      <c r="L100" s="366">
        <v>4.2919674681409008</v>
      </c>
      <c r="M100" s="366">
        <v>36.299999999999997</v>
      </c>
      <c r="N100" s="368">
        <v>80</v>
      </c>
      <c r="O100" s="368">
        <v>165.5</v>
      </c>
      <c r="P100" s="368">
        <v>317</v>
      </c>
      <c r="Y100" s="13">
        <v>1.25</v>
      </c>
      <c r="Z100" s="69">
        <f>0.7373*Y100^1.8532</f>
        <v>1.1149050176383326</v>
      </c>
      <c r="AA100" s="30"/>
      <c r="AB100" s="4">
        <v>1.3</v>
      </c>
    </row>
    <row r="101" spans="10:28" ht="18" customHeight="1" x14ac:dyDescent="0.25">
      <c r="J101" s="1" t="s">
        <v>1</v>
      </c>
      <c r="K101" s="261">
        <v>1.25</v>
      </c>
      <c r="L101" s="92">
        <v>2.5</v>
      </c>
      <c r="M101" s="262">
        <v>5</v>
      </c>
      <c r="N101" s="373">
        <v>10</v>
      </c>
      <c r="O101" s="374">
        <v>16</v>
      </c>
      <c r="P101" s="92">
        <v>20</v>
      </c>
      <c r="Y101" s="31">
        <v>2.5</v>
      </c>
      <c r="Z101" s="72">
        <f t="shared" ref="Z101:Z102" si="137">0.7373*Y101^1.8532</f>
        <v>4.0281594936959948</v>
      </c>
      <c r="AA101" s="33"/>
      <c r="AB101" s="13">
        <v>4.3</v>
      </c>
    </row>
    <row r="102" spans="10:28" ht="18" customHeight="1" x14ac:dyDescent="0.25">
      <c r="J102" s="376" t="s">
        <v>212</v>
      </c>
      <c r="K102" s="296">
        <v>-3</v>
      </c>
      <c r="L102" s="296">
        <v>-3</v>
      </c>
      <c r="M102" s="377">
        <v>-3</v>
      </c>
      <c r="N102" s="380">
        <v>-3</v>
      </c>
      <c r="O102" s="381">
        <v>-3</v>
      </c>
      <c r="P102" s="382">
        <v>-3</v>
      </c>
      <c r="Y102" s="31">
        <v>5</v>
      </c>
      <c r="Z102" s="72">
        <f t="shared" si="137"/>
        <v>14.553767944308229</v>
      </c>
      <c r="AA102" s="33"/>
      <c r="AB102" s="1">
        <v>36</v>
      </c>
    </row>
    <row r="103" spans="10:28" ht="18" customHeight="1" x14ac:dyDescent="0.25">
      <c r="J103" s="1" t="s">
        <v>214</v>
      </c>
      <c r="K103" s="383">
        <v>1.28359</v>
      </c>
      <c r="L103" s="384">
        <v>2.5590600000000001</v>
      </c>
      <c r="M103" s="385">
        <v>4.79725</v>
      </c>
      <c r="N103" s="387">
        <v>9.9082500000000007</v>
      </c>
      <c r="O103" s="389">
        <v>16.2943</v>
      </c>
      <c r="P103" s="390">
        <v>20.121099999999998</v>
      </c>
    </row>
    <row r="104" spans="10:28" ht="18" customHeight="1" x14ac:dyDescent="0.25"/>
    <row r="105" spans="10:28" ht="18" customHeight="1" x14ac:dyDescent="0.25"/>
    <row r="106" spans="10:28" ht="18" customHeight="1" x14ac:dyDescent="0.25"/>
    <row r="107" spans="10:28" ht="18" customHeight="1" x14ac:dyDescent="0.25"/>
    <row r="108" spans="10:28" ht="18" customHeight="1" x14ac:dyDescent="0.25"/>
    <row r="109" spans="10:28" ht="18" customHeight="1" x14ac:dyDescent="0.25"/>
    <row r="110" spans="10:28" ht="18" customHeight="1" x14ac:dyDescent="0.25"/>
    <row r="111" spans="10:28" ht="18" customHeight="1" x14ac:dyDescent="0.25"/>
    <row r="112" spans="10:28" ht="18" customHeight="1" x14ac:dyDescent="0.25"/>
    <row r="113" spans="1:41" ht="18" customHeight="1" x14ac:dyDescent="0.25"/>
    <row r="114" spans="1:41" ht="18" customHeight="1" x14ac:dyDescent="0.25"/>
    <row r="115" spans="1:41" ht="18" customHeight="1" thickBot="1" x14ac:dyDescent="0.3"/>
    <row r="116" spans="1:41" ht="18" customHeight="1" thickBot="1" x14ac:dyDescent="0.3">
      <c r="A116" s="1" t="s">
        <v>1</v>
      </c>
      <c r="B116" s="438">
        <v>5</v>
      </c>
      <c r="C116" s="93" t="s">
        <v>259</v>
      </c>
      <c r="D116" s="10"/>
      <c r="J116" s="1" t="s">
        <v>1</v>
      </c>
      <c r="K116" s="438">
        <v>10</v>
      </c>
      <c r="L116" s="93" t="s">
        <v>259</v>
      </c>
      <c r="M116" s="10"/>
      <c r="S116" s="1" t="s">
        <v>1</v>
      </c>
      <c r="T116" s="438">
        <v>16</v>
      </c>
      <c r="U116" s="93" t="s">
        <v>259</v>
      </c>
      <c r="V116" s="10"/>
      <c r="AB116" s="1" t="s">
        <v>1</v>
      </c>
      <c r="AC116" s="438">
        <v>20</v>
      </c>
      <c r="AD116" s="93" t="s">
        <v>259</v>
      </c>
      <c r="AE116" s="10"/>
      <c r="AL116" s="1" t="s">
        <v>1</v>
      </c>
      <c r="AM116" s="438">
        <v>32</v>
      </c>
      <c r="AN116" s="93" t="s">
        <v>259</v>
      </c>
      <c r="AO116" s="10"/>
    </row>
    <row r="117" spans="1:41" ht="18" customHeight="1" x14ac:dyDescent="0.25">
      <c r="A117" s="433" t="s">
        <v>5</v>
      </c>
      <c r="B117" t="s">
        <v>154</v>
      </c>
      <c r="C117" s="106" t="s">
        <v>250</v>
      </c>
      <c r="D117" s="34" t="s">
        <v>171</v>
      </c>
      <c r="J117" s="433" t="s">
        <v>5</v>
      </c>
      <c r="K117" t="s">
        <v>154</v>
      </c>
      <c r="L117" s="106" t="s">
        <v>250</v>
      </c>
      <c r="M117" s="34" t="s">
        <v>171</v>
      </c>
      <c r="S117" s="433" t="s">
        <v>5</v>
      </c>
      <c r="T117" t="s">
        <v>154</v>
      </c>
      <c r="U117" s="106" t="s">
        <v>250</v>
      </c>
      <c r="V117" s="34" t="s">
        <v>171</v>
      </c>
      <c r="AB117" s="433" t="s">
        <v>5</v>
      </c>
      <c r="AC117" t="s">
        <v>154</v>
      </c>
      <c r="AD117" s="106" t="s">
        <v>250</v>
      </c>
      <c r="AE117" s="34" t="s">
        <v>171</v>
      </c>
      <c r="AL117" s="433" t="s">
        <v>5</v>
      </c>
      <c r="AM117" t="s">
        <v>154</v>
      </c>
      <c r="AN117" s="106" t="s">
        <v>250</v>
      </c>
      <c r="AO117" s="34" t="s">
        <v>171</v>
      </c>
    </row>
    <row r="118" spans="1:41" ht="18" customHeight="1" x14ac:dyDescent="0.25">
      <c r="A118" s="259">
        <v>9.9911600000000007</v>
      </c>
      <c r="B118" s="9">
        <v>1</v>
      </c>
      <c r="C118" s="436">
        <f>(2*B118-1)*$A$118/1000</f>
        <v>9.9911600000000007E-3</v>
      </c>
      <c r="D118" s="70">
        <v>50.592857142857142</v>
      </c>
      <c r="J118" s="259">
        <v>9.9911600000000007</v>
      </c>
      <c r="K118" s="9">
        <v>1</v>
      </c>
      <c r="L118" s="436">
        <f>(2*K118-1)*$A$118/1000</f>
        <v>9.9911600000000007E-3</v>
      </c>
      <c r="M118" s="323">
        <v>21.327142857142857</v>
      </c>
      <c r="S118" s="259">
        <v>9.9911600000000007</v>
      </c>
      <c r="T118" s="9">
        <v>1</v>
      </c>
      <c r="U118" s="436">
        <f>(2*T118-1)*$A$118/1000</f>
        <v>9.9911600000000007E-3</v>
      </c>
      <c r="V118" s="323">
        <v>9.9599999999999991</v>
      </c>
      <c r="AB118" s="259">
        <v>9.9911600000000007</v>
      </c>
      <c r="AC118" s="9">
        <v>1</v>
      </c>
      <c r="AD118" s="436">
        <f>(2*AC118-1)*$A$118/1000</f>
        <v>9.9911600000000007E-3</v>
      </c>
      <c r="AE118" s="323">
        <v>5.7785714285714294</v>
      </c>
      <c r="AL118" s="259">
        <v>9.9911600000000007</v>
      </c>
      <c r="AM118" s="9">
        <v>1</v>
      </c>
      <c r="AN118" s="436">
        <f>(2*AM118-1)*$A$118/1000</f>
        <v>9.9911600000000007E-3</v>
      </c>
      <c r="AO118" s="323">
        <v>4.242909090909091</v>
      </c>
    </row>
    <row r="119" spans="1:41" ht="18" customHeight="1" x14ac:dyDescent="0.25">
      <c r="A119" s="13"/>
      <c r="B119" s="36">
        <v>2</v>
      </c>
      <c r="C119" s="437">
        <f t="shared" ref="C119:C123" si="138">(2*B119-1)*$A$118/1000</f>
        <v>2.9973480000000004E-2</v>
      </c>
      <c r="D119" s="70">
        <v>47.142857142857146</v>
      </c>
      <c r="J119" s="13"/>
      <c r="K119" s="36">
        <v>2</v>
      </c>
      <c r="L119" s="437">
        <f t="shared" ref="L119:L123" si="139">(2*K119-1)*$A$118/1000</f>
        <v>2.9973480000000004E-2</v>
      </c>
      <c r="M119" s="39">
        <v>18.361428571428572</v>
      </c>
      <c r="S119" s="13"/>
      <c r="T119" s="36">
        <v>2</v>
      </c>
      <c r="U119" s="437">
        <f t="shared" ref="U119:U123" si="140">(2*T119-1)*$A$118/1000</f>
        <v>2.9973480000000004E-2</v>
      </c>
      <c r="V119" s="39">
        <v>7.4799999999999995</v>
      </c>
      <c r="AB119" s="13"/>
      <c r="AC119" s="36">
        <v>2</v>
      </c>
      <c r="AD119" s="437">
        <f t="shared" ref="AD119:AD123" si="141">(2*AC119-1)*$A$118/1000</f>
        <v>2.9973480000000004E-2</v>
      </c>
      <c r="AE119" s="39">
        <v>3.6485714285714286</v>
      </c>
      <c r="AL119" s="13"/>
      <c r="AM119" s="36">
        <v>2</v>
      </c>
      <c r="AN119" s="437">
        <f t="shared" ref="AN119:AN123" si="142">(2*AM119-1)*$A$118/1000</f>
        <v>2.9973480000000004E-2</v>
      </c>
      <c r="AO119" s="39">
        <v>1.0868181818181817</v>
      </c>
    </row>
    <row r="120" spans="1:41" ht="18" customHeight="1" x14ac:dyDescent="0.25">
      <c r="A120" s="13"/>
      <c r="B120" s="36">
        <v>3</v>
      </c>
      <c r="C120" s="437">
        <f t="shared" si="138"/>
        <v>4.9955800000000002E-2</v>
      </c>
      <c r="D120" s="70">
        <v>44.581428571428567</v>
      </c>
      <c r="J120" s="13"/>
      <c r="K120" s="36">
        <v>3</v>
      </c>
      <c r="L120" s="437">
        <f t="shared" si="139"/>
        <v>4.9955800000000002E-2</v>
      </c>
      <c r="M120" s="39">
        <v>15.664285714285715</v>
      </c>
      <c r="S120" s="13"/>
      <c r="T120" s="36">
        <v>3</v>
      </c>
      <c r="U120" s="437">
        <f t="shared" si="140"/>
        <v>4.9955800000000002E-2</v>
      </c>
      <c r="V120" s="39">
        <v>5.3214285714285712</v>
      </c>
      <c r="AB120" s="13"/>
      <c r="AC120" s="36">
        <v>3</v>
      </c>
      <c r="AD120" s="437">
        <f t="shared" si="141"/>
        <v>4.9955800000000002E-2</v>
      </c>
      <c r="AE120" s="39">
        <v>2.2671428571428573</v>
      </c>
      <c r="AL120" s="13"/>
      <c r="AM120" s="36">
        <v>3</v>
      </c>
      <c r="AN120" s="437">
        <f t="shared" si="142"/>
        <v>4.9955800000000002E-2</v>
      </c>
      <c r="AO120" s="39"/>
    </row>
    <row r="121" spans="1:41" ht="18" customHeight="1" x14ac:dyDescent="0.25">
      <c r="A121" s="13"/>
      <c r="B121" s="36">
        <v>4</v>
      </c>
      <c r="C121" s="437">
        <f t="shared" si="138"/>
        <v>6.9938119999999993E-2</v>
      </c>
      <c r="D121" s="70">
        <v>42.182857142857145</v>
      </c>
      <c r="J121" s="13"/>
      <c r="K121" s="36">
        <v>4</v>
      </c>
      <c r="L121" s="437">
        <f t="shared" si="139"/>
        <v>6.9938119999999993E-2</v>
      </c>
      <c r="M121" s="39">
        <v>13.362857142857143</v>
      </c>
      <c r="S121" s="13"/>
      <c r="T121" s="36">
        <v>4</v>
      </c>
      <c r="U121" s="437">
        <f t="shared" si="140"/>
        <v>6.9938119999999993E-2</v>
      </c>
      <c r="V121" s="39">
        <v>3.891428571428571</v>
      </c>
      <c r="AB121" s="13"/>
      <c r="AC121" s="36">
        <v>4</v>
      </c>
      <c r="AD121" s="437">
        <f t="shared" si="141"/>
        <v>6.9938119999999993E-2</v>
      </c>
      <c r="AE121" s="39">
        <v>1.39</v>
      </c>
      <c r="AL121" s="13"/>
      <c r="AM121" s="36">
        <v>4</v>
      </c>
      <c r="AN121" s="437">
        <f t="shared" si="142"/>
        <v>6.9938119999999993E-2</v>
      </c>
      <c r="AO121" s="39"/>
    </row>
    <row r="122" spans="1:41" ht="18" customHeight="1" x14ac:dyDescent="0.25">
      <c r="A122" s="13"/>
      <c r="B122" s="36">
        <v>5</v>
      </c>
      <c r="C122" s="437">
        <f t="shared" si="138"/>
        <v>8.9920440000000018E-2</v>
      </c>
      <c r="D122" s="70">
        <v>38.35857142857143</v>
      </c>
      <c r="J122" s="13"/>
      <c r="K122" s="36">
        <v>5</v>
      </c>
      <c r="L122" s="437">
        <f t="shared" si="139"/>
        <v>8.9920440000000018E-2</v>
      </c>
      <c r="M122" s="39">
        <v>11.56</v>
      </c>
      <c r="S122" s="13"/>
      <c r="T122" s="36">
        <v>5</v>
      </c>
      <c r="U122" s="437">
        <f t="shared" si="140"/>
        <v>8.9920440000000018E-2</v>
      </c>
      <c r="V122" s="39">
        <v>2.9842857142857144</v>
      </c>
      <c r="AB122" s="13"/>
      <c r="AC122" s="36">
        <v>5</v>
      </c>
      <c r="AD122" s="437">
        <f t="shared" si="141"/>
        <v>8.9920440000000018E-2</v>
      </c>
      <c r="AE122" s="39">
        <v>1.0132857142857143</v>
      </c>
      <c r="AL122" s="13"/>
      <c r="AM122" s="36">
        <v>5</v>
      </c>
      <c r="AN122" s="437">
        <f t="shared" si="142"/>
        <v>8.9920440000000018E-2</v>
      </c>
      <c r="AO122" s="39"/>
    </row>
    <row r="123" spans="1:41" ht="18" customHeight="1" x14ac:dyDescent="0.25">
      <c r="A123" s="31"/>
      <c r="B123" s="42">
        <v>6</v>
      </c>
      <c r="C123" s="439">
        <f t="shared" si="138"/>
        <v>0.10990276</v>
      </c>
      <c r="D123" s="73">
        <v>36.284285714285723</v>
      </c>
      <c r="J123" s="31"/>
      <c r="K123" s="42">
        <v>6</v>
      </c>
      <c r="L123" s="439">
        <f t="shared" si="139"/>
        <v>0.10990276</v>
      </c>
      <c r="M123" s="278">
        <v>10.124285714285715</v>
      </c>
      <c r="S123" s="31"/>
      <c r="T123" s="42">
        <v>6</v>
      </c>
      <c r="U123" s="439">
        <f t="shared" si="140"/>
        <v>0.10990276</v>
      </c>
      <c r="V123" s="278">
        <v>2.31</v>
      </c>
      <c r="AB123" s="31"/>
      <c r="AC123" s="42">
        <v>6</v>
      </c>
      <c r="AD123" s="439">
        <f t="shared" si="141"/>
        <v>0.10990276</v>
      </c>
      <c r="AE123" s="278"/>
      <c r="AL123" s="31"/>
      <c r="AM123" s="42">
        <v>6</v>
      </c>
      <c r="AN123" s="439">
        <f t="shared" si="142"/>
        <v>0.10990276</v>
      </c>
      <c r="AO123" s="278"/>
    </row>
    <row r="124" spans="1:41" ht="18" customHeight="1" x14ac:dyDescent="0.25"/>
    <row r="125" spans="1:41" ht="18" customHeight="1" x14ac:dyDescent="0.25">
      <c r="A125" t="s">
        <v>260</v>
      </c>
      <c r="B125" s="43" t="s">
        <v>261</v>
      </c>
      <c r="C125">
        <v>3.34</v>
      </c>
      <c r="J125" t="s">
        <v>260</v>
      </c>
      <c r="K125" s="43" t="s">
        <v>261</v>
      </c>
      <c r="L125">
        <v>7.5380000000000003</v>
      </c>
      <c r="S125" t="s">
        <v>260</v>
      </c>
      <c r="T125" s="43" t="s">
        <v>261</v>
      </c>
      <c r="U125">
        <v>14.84</v>
      </c>
      <c r="AB125" t="s">
        <v>260</v>
      </c>
      <c r="AC125" s="43" t="s">
        <v>261</v>
      </c>
      <c r="AD125">
        <v>22.25</v>
      </c>
      <c r="AL125" t="s">
        <v>260</v>
      </c>
      <c r="AM125" s="43" t="s">
        <v>261</v>
      </c>
      <c r="AN125">
        <v>68.16</v>
      </c>
    </row>
    <row r="126" spans="1:41" ht="18" customHeight="1" thickBot="1" x14ac:dyDescent="0.3">
      <c r="B126" t="s">
        <v>262</v>
      </c>
      <c r="C126">
        <v>8.6859999999999999</v>
      </c>
      <c r="K126" t="s">
        <v>262</v>
      </c>
      <c r="L126">
        <v>8.6859999999999999</v>
      </c>
      <c r="T126" t="s">
        <v>262</v>
      </c>
      <c r="U126">
        <v>8.6859999999999999</v>
      </c>
      <c r="AC126" t="s">
        <v>262</v>
      </c>
      <c r="AD126">
        <v>8.6859999999999999</v>
      </c>
      <c r="AM126" t="s">
        <v>262</v>
      </c>
      <c r="AN126">
        <v>8.6859999999999999</v>
      </c>
    </row>
    <row r="127" spans="1:41" ht="18" customHeight="1" thickBot="1" x14ac:dyDescent="0.3">
      <c r="B127" s="43" t="s">
        <v>263</v>
      </c>
      <c r="C127" s="331">
        <f>C126*C125</f>
        <v>29.011239999999997</v>
      </c>
      <c r="K127" s="43" t="s">
        <v>263</v>
      </c>
      <c r="L127" s="331">
        <f>L126*L125</f>
        <v>65.475068000000007</v>
      </c>
      <c r="T127" s="43" t="s">
        <v>263</v>
      </c>
      <c r="U127" s="331">
        <f>U126*U125</f>
        <v>128.90024</v>
      </c>
      <c r="AC127" s="43" t="s">
        <v>263</v>
      </c>
      <c r="AD127" s="331">
        <f>AD126*AD125</f>
        <v>193.26349999999999</v>
      </c>
      <c r="AM127" s="43" t="s">
        <v>263</v>
      </c>
      <c r="AN127" s="331">
        <f>AN126*AN125</f>
        <v>592.03775999999993</v>
      </c>
    </row>
    <row r="128" spans="1:41" ht="18" customHeight="1" x14ac:dyDescent="0.25">
      <c r="B128" s="198" t="s">
        <v>274</v>
      </c>
      <c r="C128" s="45">
        <f>C127*2*A118/1000</f>
        <v>0.57971188127679996</v>
      </c>
      <c r="K128" s="198" t="s">
        <v>274</v>
      </c>
      <c r="L128" s="45">
        <f>L127*2*J118/1000</f>
        <v>1.3083437607977604</v>
      </c>
      <c r="T128" s="198" t="s">
        <v>274</v>
      </c>
      <c r="U128" s="45">
        <f>U127*2*S118/1000</f>
        <v>2.5757258437568002</v>
      </c>
      <c r="AC128" s="198" t="s">
        <v>274</v>
      </c>
      <c r="AD128" s="45">
        <f>AD127*2*AB118/1000</f>
        <v>3.8618531013199999</v>
      </c>
      <c r="AM128" s="198" t="s">
        <v>274</v>
      </c>
      <c r="AN128" s="45">
        <f>AN127*2*AL118/1000</f>
        <v>11.8302879724032</v>
      </c>
    </row>
    <row r="129" spans="1:46" ht="18" customHeight="1" x14ac:dyDescent="0.25">
      <c r="A129" t="s">
        <v>264</v>
      </c>
      <c r="F129" s="93" t="s">
        <v>265</v>
      </c>
      <c r="G129" s="7"/>
      <c r="J129" t="s">
        <v>264</v>
      </c>
      <c r="O129" s="93" t="s">
        <v>265</v>
      </c>
      <c r="P129" s="7"/>
      <c r="S129" t="s">
        <v>264</v>
      </c>
      <c r="X129" s="93" t="s">
        <v>265</v>
      </c>
      <c r="Y129" s="7"/>
      <c r="AB129" t="s">
        <v>264</v>
      </c>
      <c r="AG129" s="93" t="s">
        <v>265</v>
      </c>
      <c r="AH129" s="7"/>
      <c r="AL129" t="s">
        <v>264</v>
      </c>
      <c r="AQ129" s="93" t="s">
        <v>265</v>
      </c>
      <c r="AR129" s="7"/>
    </row>
    <row r="130" spans="1:46" ht="18" customHeight="1" thickBot="1" x14ac:dyDescent="0.3">
      <c r="A130" t="s">
        <v>266</v>
      </c>
      <c r="B130" s="30"/>
      <c r="C130" s="434" t="s">
        <v>16</v>
      </c>
      <c r="D130" s="91" t="s">
        <v>17</v>
      </c>
      <c r="F130" s="4" t="s">
        <v>267</v>
      </c>
      <c r="G130" s="7" t="s">
        <v>83</v>
      </c>
      <c r="J130" t="s">
        <v>266</v>
      </c>
      <c r="K130" s="30"/>
      <c r="L130" s="434" t="s">
        <v>16</v>
      </c>
      <c r="M130" s="91" t="s">
        <v>17</v>
      </c>
      <c r="O130" s="4" t="s">
        <v>267</v>
      </c>
      <c r="P130" s="7" t="s">
        <v>83</v>
      </c>
      <c r="S130" t="s">
        <v>266</v>
      </c>
      <c r="T130" s="30"/>
      <c r="U130" s="434" t="s">
        <v>16</v>
      </c>
      <c r="V130" s="91" t="s">
        <v>17</v>
      </c>
      <c r="X130" s="4" t="s">
        <v>267</v>
      </c>
      <c r="Y130" s="7" t="s">
        <v>83</v>
      </c>
      <c r="AB130" t="s">
        <v>266</v>
      </c>
      <c r="AC130" s="30"/>
      <c r="AD130" s="434" t="s">
        <v>16</v>
      </c>
      <c r="AE130" s="91" t="s">
        <v>17</v>
      </c>
      <c r="AG130" s="4" t="s">
        <v>267</v>
      </c>
      <c r="AH130" s="7" t="s">
        <v>83</v>
      </c>
      <c r="AL130" t="s">
        <v>266</v>
      </c>
      <c r="AM130" s="30"/>
      <c r="AN130" s="434" t="s">
        <v>16</v>
      </c>
      <c r="AO130" s="91" t="s">
        <v>17</v>
      </c>
      <c r="AQ130" s="4" t="s">
        <v>267</v>
      </c>
      <c r="AR130" s="7" t="s">
        <v>83</v>
      </c>
    </row>
    <row r="131" spans="1:46" ht="18" customHeight="1" thickBot="1" x14ac:dyDescent="0.3">
      <c r="A131" s="332"/>
      <c r="B131" s="342" t="s">
        <v>204</v>
      </c>
      <c r="C131" s="331">
        <v>29.029508062835895</v>
      </c>
      <c r="D131" s="341">
        <v>14.127648898567786</v>
      </c>
      <c r="F131" s="435">
        <f>G131^2/(B3/B2/1000)</f>
        <v>78.259508530286425</v>
      </c>
      <c r="G131" s="33">
        <v>10</v>
      </c>
      <c r="J131" s="332"/>
      <c r="K131" s="342" t="s">
        <v>204</v>
      </c>
      <c r="L131" s="331">
        <v>65.505522709184163</v>
      </c>
      <c r="M131" s="341">
        <v>55.914963494827752</v>
      </c>
      <c r="O131" s="435">
        <f>P131^2/(K3/K2/1000)</f>
        <v>156.61707126076743</v>
      </c>
      <c r="P131" s="33">
        <v>10</v>
      </c>
      <c r="S131" s="332"/>
      <c r="T131" s="342" t="s">
        <v>204</v>
      </c>
      <c r="U131" s="331">
        <v>128.94279731053763</v>
      </c>
      <c r="V131" s="341">
        <v>120.84239870093779</v>
      </c>
      <c r="X131" s="435">
        <f>Y131^2/(T3/T2/1000)</f>
        <v>250.70510811657789</v>
      </c>
      <c r="Y131" s="33">
        <v>10</v>
      </c>
      <c r="AB131" s="332"/>
      <c r="AC131" s="342" t="s">
        <v>204</v>
      </c>
      <c r="AD131" s="331">
        <v>192.61439344951316</v>
      </c>
      <c r="AE131" s="341">
        <v>185.30020444216217</v>
      </c>
      <c r="AG131" s="435">
        <f>AH131^2/(AC3/AC2/1000)</f>
        <v>313.57792411414238</v>
      </c>
      <c r="AH131" s="33">
        <v>10</v>
      </c>
      <c r="AL131" s="332"/>
      <c r="AM131" s="342" t="s">
        <v>204</v>
      </c>
      <c r="AN131" s="331">
        <v>592.03018601029703</v>
      </c>
      <c r="AO131" s="341">
        <v>584.37842185077989</v>
      </c>
      <c r="AQ131" s="435">
        <f>AR131^2/(AM3/AM2/1000)</f>
        <v>312.98904538341156</v>
      </c>
      <c r="AR131" s="33">
        <v>10</v>
      </c>
    </row>
    <row r="132" spans="1:46" ht="18" customHeight="1" thickBot="1" x14ac:dyDescent="0.3"/>
    <row r="133" spans="1:46" ht="18" customHeight="1" thickBot="1" x14ac:dyDescent="0.3">
      <c r="A133" t="s">
        <v>268</v>
      </c>
      <c r="D133" s="432">
        <v>1.5958000000000001</v>
      </c>
      <c r="J133" t="s">
        <v>268</v>
      </c>
      <c r="M133" s="432">
        <v>0.91720000000000002</v>
      </c>
      <c r="S133" t="s">
        <v>268</v>
      </c>
      <c r="V133" s="432">
        <v>0.81499999999999995</v>
      </c>
      <c r="AB133" t="s">
        <v>273</v>
      </c>
      <c r="AE133" s="432">
        <v>0.58654830041228057</v>
      </c>
      <c r="AL133" t="s">
        <v>304</v>
      </c>
      <c r="AO133" s="432">
        <v>0.15294365043108932</v>
      </c>
    </row>
    <row r="134" spans="1:46" ht="18" customHeight="1" thickBot="1" x14ac:dyDescent="0.3">
      <c r="A134" t="s">
        <v>269</v>
      </c>
      <c r="B134" s="488">
        <f>D133/(C123-C118)</f>
        <v>15.972119353508502</v>
      </c>
      <c r="C134" s="489"/>
      <c r="D134" s="490" t="s">
        <v>270</v>
      </c>
      <c r="E134" s="489"/>
      <c r="J134" t="s">
        <v>269</v>
      </c>
      <c r="K134" s="45">
        <f>M133/(L123-L118)</f>
        <v>9.1801152218561199</v>
      </c>
      <c r="M134" s="17" t="s">
        <v>270</v>
      </c>
      <c r="S134" t="s">
        <v>269</v>
      </c>
      <c r="T134" s="45">
        <f>V133/(U123-U118)</f>
        <v>8.1572109745014583</v>
      </c>
      <c r="V134" s="17" t="s">
        <v>270</v>
      </c>
      <c r="AB134" t="s">
        <v>269</v>
      </c>
      <c r="AC134" s="486">
        <f>AE133/(AD122-AD118)</f>
        <v>7.3383408484635471</v>
      </c>
      <c r="AD134" s="487"/>
      <c r="AE134" s="377" t="s">
        <v>272</v>
      </c>
      <c r="AF134" s="487"/>
      <c r="AL134" t="s">
        <v>269</v>
      </c>
      <c r="AM134" s="486">
        <f>AO133/(AN119-AN118)</f>
        <v>7.6539486121275848</v>
      </c>
      <c r="AN134" s="487"/>
      <c r="AO134" s="377" t="s">
        <v>307</v>
      </c>
      <c r="AP134" s="487"/>
    </row>
    <row r="135" spans="1:46" ht="18" customHeight="1" thickBot="1" x14ac:dyDescent="0.3">
      <c r="A135" t="s">
        <v>271</v>
      </c>
      <c r="B135" s="341">
        <f>C127-B134</f>
        <v>13.039120646491495</v>
      </c>
      <c r="C135" s="489" t="s">
        <v>310</v>
      </c>
      <c r="D135" s="489"/>
      <c r="E135" s="489"/>
      <c r="F135" s="489"/>
      <c r="G135" s="489"/>
      <c r="H135" s="489"/>
      <c r="J135" t="s">
        <v>271</v>
      </c>
      <c r="K135" s="341">
        <f>L127-K134</f>
        <v>56.294952778143887</v>
      </c>
      <c r="S135" t="s">
        <v>271</v>
      </c>
      <c r="T135" s="341">
        <f>U127-T134</f>
        <v>120.74302902549854</v>
      </c>
      <c r="AB135" t="s">
        <v>271</v>
      </c>
      <c r="AC135" s="341">
        <f>AD127-AC134</f>
        <v>185.92515915153643</v>
      </c>
      <c r="AD135" s="487" t="s">
        <v>308</v>
      </c>
      <c r="AE135" s="487"/>
      <c r="AF135" s="487"/>
      <c r="AG135" s="487"/>
      <c r="AH135" s="487"/>
      <c r="AI135" s="487"/>
      <c r="AJ135" s="487"/>
      <c r="AL135" t="s">
        <v>271</v>
      </c>
      <c r="AM135" s="341">
        <f>AN127-AM134</f>
        <v>584.38381138787236</v>
      </c>
      <c r="AN135" s="487" t="s">
        <v>309</v>
      </c>
      <c r="AO135" s="487"/>
      <c r="AP135" s="487"/>
      <c r="AQ135" s="487"/>
      <c r="AR135" s="487"/>
      <c r="AS135" s="487"/>
      <c r="AT135" s="487"/>
    </row>
    <row r="136" spans="1:46" ht="18" customHeight="1" x14ac:dyDescent="0.25">
      <c r="B136" s="484">
        <v>13.053539328766627</v>
      </c>
      <c r="C136" s="483" t="s">
        <v>306</v>
      </c>
      <c r="D136" s="483"/>
      <c r="E136" s="483"/>
      <c r="K136" s="484">
        <v>56.377838008799777</v>
      </c>
      <c r="L136" s="483" t="s">
        <v>306</v>
      </c>
      <c r="M136" s="483"/>
      <c r="N136" s="483"/>
      <c r="T136" s="484">
        <v>121.4573683135892</v>
      </c>
      <c r="U136" s="483" t="s">
        <v>306</v>
      </c>
      <c r="V136" s="483"/>
      <c r="W136" s="483"/>
      <c r="AC136" s="485">
        <v>189.33612313284942</v>
      </c>
      <c r="AD136" s="483" t="s">
        <v>306</v>
      </c>
      <c r="AE136" s="483"/>
      <c r="AF136" s="483"/>
      <c r="AM136" s="485">
        <v>584.38159332850239</v>
      </c>
      <c r="AN136" s="483" t="s">
        <v>306</v>
      </c>
      <c r="AO136" s="483"/>
      <c r="AP136" s="483"/>
    </row>
    <row r="137" spans="1:46" ht="18" customHeight="1" x14ac:dyDescent="0.25">
      <c r="A137" s="481" t="s">
        <v>242</v>
      </c>
      <c r="B137" s="482" t="s">
        <v>21</v>
      </c>
      <c r="C137" s="483" t="s">
        <v>305</v>
      </c>
      <c r="D137" s="483"/>
      <c r="E137" s="483"/>
      <c r="F137" s="483"/>
    </row>
    <row r="138" spans="1:46" ht="18" customHeight="1" x14ac:dyDescent="0.25">
      <c r="A138" s="1">
        <v>0</v>
      </c>
      <c r="B138" s="1">
        <v>0</v>
      </c>
    </row>
    <row r="139" spans="1:46" ht="18" customHeight="1" x14ac:dyDescent="0.25">
      <c r="A139" s="484">
        <v>13.053539328766627</v>
      </c>
      <c r="B139" s="4">
        <v>5</v>
      </c>
    </row>
    <row r="140" spans="1:46" ht="18" customHeight="1" x14ac:dyDescent="0.25">
      <c r="A140" s="484">
        <v>56.377838008799777</v>
      </c>
      <c r="B140" s="13">
        <v>10</v>
      </c>
      <c r="E140" t="s">
        <v>313</v>
      </c>
    </row>
    <row r="141" spans="1:46" ht="18" customHeight="1" x14ac:dyDescent="0.25">
      <c r="A141" s="484">
        <v>121.4573683135892</v>
      </c>
      <c r="B141" s="13">
        <v>16</v>
      </c>
      <c r="E141" t="s">
        <v>311</v>
      </c>
    </row>
    <row r="142" spans="1:46" ht="18" customHeight="1" x14ac:dyDescent="0.25">
      <c r="A142" s="485">
        <v>189.33612313284942</v>
      </c>
      <c r="B142" s="31">
        <v>20</v>
      </c>
      <c r="E142" s="491" t="s">
        <v>312</v>
      </c>
    </row>
    <row r="143" spans="1:46" x14ac:dyDescent="0.25">
      <c r="A143" s="485">
        <v>584.38159332850239</v>
      </c>
      <c r="B143" s="31">
        <v>32</v>
      </c>
    </row>
    <row r="145" spans="2:43" x14ac:dyDescent="0.25">
      <c r="B145" s="8" t="s">
        <v>154</v>
      </c>
      <c r="C145" s="106" t="s">
        <v>250</v>
      </c>
      <c r="D145" s="34" t="s">
        <v>171</v>
      </c>
      <c r="K145" s="8" t="s">
        <v>154</v>
      </c>
      <c r="L145" s="106" t="s">
        <v>250</v>
      </c>
      <c r="M145" s="34" t="s">
        <v>171</v>
      </c>
      <c r="T145" s="8" t="s">
        <v>154</v>
      </c>
      <c r="U145" s="106" t="s">
        <v>250</v>
      </c>
      <c r="V145" s="34" t="s">
        <v>171</v>
      </c>
      <c r="AC145" s="8" t="s">
        <v>154</v>
      </c>
      <c r="AD145" s="106" t="s">
        <v>250</v>
      </c>
      <c r="AE145" s="34" t="s">
        <v>171</v>
      </c>
      <c r="AM145" s="8" t="s">
        <v>154</v>
      </c>
      <c r="AN145" s="106" t="s">
        <v>250</v>
      </c>
      <c r="AO145" s="34" t="s">
        <v>171</v>
      </c>
    </row>
    <row r="146" spans="2:43" x14ac:dyDescent="0.25">
      <c r="B146" s="8">
        <v>1</v>
      </c>
      <c r="C146" s="436">
        <f>C118</f>
        <v>9.9911600000000007E-3</v>
      </c>
      <c r="D146" s="70">
        <f>D118</f>
        <v>50.592857142857142</v>
      </c>
      <c r="K146" s="8">
        <v>1</v>
      </c>
      <c r="L146" s="436">
        <f>L118</f>
        <v>9.9911600000000007E-3</v>
      </c>
      <c r="M146" s="70">
        <f>M118</f>
        <v>21.327142857142857</v>
      </c>
      <c r="T146" s="8">
        <v>1</v>
      </c>
      <c r="U146" s="436">
        <f>U118</f>
        <v>9.9911600000000007E-3</v>
      </c>
      <c r="V146" s="70">
        <f>V118</f>
        <v>9.9599999999999991</v>
      </c>
      <c r="AC146" s="8">
        <v>1</v>
      </c>
      <c r="AD146" s="436">
        <f>AD118</f>
        <v>9.9911600000000007E-3</v>
      </c>
      <c r="AE146" s="70">
        <f>AE118</f>
        <v>5.7785714285714294</v>
      </c>
      <c r="AM146" s="8">
        <v>1</v>
      </c>
      <c r="AN146" s="436">
        <f>AN118</f>
        <v>9.9911600000000007E-3</v>
      </c>
      <c r="AO146" s="70">
        <f>AO118</f>
        <v>4.242909090909091</v>
      </c>
    </row>
    <row r="147" spans="2:43" x14ac:dyDescent="0.25">
      <c r="B147" s="41">
        <v>2</v>
      </c>
      <c r="C147" s="439">
        <f>C119</f>
        <v>2.9973480000000004E-2</v>
      </c>
      <c r="D147" s="73">
        <f>D119</f>
        <v>47.142857142857146</v>
      </c>
      <c r="K147" s="41">
        <v>2</v>
      </c>
      <c r="L147" s="439">
        <f>L119</f>
        <v>2.9973480000000004E-2</v>
      </c>
      <c r="M147" s="73">
        <f>M119</f>
        <v>18.361428571428572</v>
      </c>
      <c r="T147" s="41">
        <v>2</v>
      </c>
      <c r="U147" s="439">
        <f>U119</f>
        <v>2.9973480000000004E-2</v>
      </c>
      <c r="V147" s="73">
        <f>V119</f>
        <v>7.4799999999999995</v>
      </c>
      <c r="AC147" s="41">
        <v>2</v>
      </c>
      <c r="AD147" s="439">
        <f>AD119</f>
        <v>2.9973480000000004E-2</v>
      </c>
      <c r="AE147" s="73">
        <f>AE119</f>
        <v>3.6485714285714286</v>
      </c>
      <c r="AM147" s="41">
        <v>2</v>
      </c>
      <c r="AN147" s="439">
        <f>AN119</f>
        <v>2.9973480000000004E-2</v>
      </c>
      <c r="AO147" s="73">
        <f>AO119</f>
        <v>1.0868181818181817</v>
      </c>
    </row>
    <row r="148" spans="2:43" x14ac:dyDescent="0.25">
      <c r="B148" s="46" t="s">
        <v>314</v>
      </c>
      <c r="C148" s="45">
        <f>LN(D146/D147)/(C147-C146)</f>
        <v>3.5345194021067381</v>
      </c>
      <c r="K148" s="46" t="s">
        <v>314</v>
      </c>
      <c r="L148" s="45">
        <f>LN(M146/M147)/(L147-L146)</f>
        <v>7.4930429971824211</v>
      </c>
      <c r="T148" s="46" t="s">
        <v>314</v>
      </c>
      <c r="U148" s="45">
        <f>LN(V146/V147)/(U147-U146)</f>
        <v>14.329881595836765</v>
      </c>
      <c r="AC148" s="46" t="s">
        <v>314</v>
      </c>
      <c r="AD148" s="45">
        <f>LN(AE146/AE147)/(AD147-AD146)</f>
        <v>23.011381706433863</v>
      </c>
      <c r="AM148" s="46" t="s">
        <v>314</v>
      </c>
      <c r="AN148" s="45">
        <f>LN(AO146/AO147)/(AN147-AN146)</f>
        <v>68.15999404549008</v>
      </c>
    </row>
    <row r="149" spans="2:43" x14ac:dyDescent="0.25">
      <c r="E149" s="492" t="s">
        <v>321</v>
      </c>
    </row>
    <row r="150" spans="2:43" x14ac:dyDescent="0.25">
      <c r="E150" s="493" t="s">
        <v>317</v>
      </c>
    </row>
    <row r="152" spans="2:43" x14ac:dyDescent="0.25">
      <c r="B152" s="4" t="s">
        <v>154</v>
      </c>
      <c r="C152" s="106" t="s">
        <v>250</v>
      </c>
      <c r="D152" s="34" t="s">
        <v>171</v>
      </c>
      <c r="E152" s="1" t="s">
        <v>315</v>
      </c>
      <c r="F152" s="7" t="s">
        <v>316</v>
      </c>
      <c r="K152" s="4" t="s">
        <v>154</v>
      </c>
      <c r="L152" s="106" t="s">
        <v>250</v>
      </c>
      <c r="M152" s="34" t="s">
        <v>171</v>
      </c>
      <c r="N152" s="1" t="s">
        <v>315</v>
      </c>
      <c r="O152" s="7" t="s">
        <v>316</v>
      </c>
      <c r="T152" s="4" t="s">
        <v>154</v>
      </c>
      <c r="U152" s="106" t="s">
        <v>250</v>
      </c>
      <c r="V152" s="34" t="s">
        <v>171</v>
      </c>
      <c r="W152" s="1" t="s">
        <v>315</v>
      </c>
      <c r="X152" s="7" t="s">
        <v>316</v>
      </c>
      <c r="AC152" s="4" t="s">
        <v>154</v>
      </c>
      <c r="AD152" s="106" t="s">
        <v>250</v>
      </c>
      <c r="AE152" s="34" t="s">
        <v>171</v>
      </c>
      <c r="AF152" s="1" t="s">
        <v>315</v>
      </c>
      <c r="AG152" s="7" t="s">
        <v>316</v>
      </c>
      <c r="AM152" s="4" t="s">
        <v>154</v>
      </c>
      <c r="AN152" s="106" t="s">
        <v>250</v>
      </c>
      <c r="AO152" s="34" t="s">
        <v>171</v>
      </c>
      <c r="AP152" s="1" t="s">
        <v>315</v>
      </c>
      <c r="AQ152" s="7" t="s">
        <v>316</v>
      </c>
    </row>
    <row r="153" spans="2:43" x14ac:dyDescent="0.25">
      <c r="B153" s="4">
        <v>1</v>
      </c>
      <c r="C153" s="436">
        <f>C118</f>
        <v>9.9911600000000007E-3</v>
      </c>
      <c r="D153" s="70">
        <f>D118</f>
        <v>50.592857142857142</v>
      </c>
      <c r="E153" s="39">
        <f>C153*LN(D153)</f>
        <v>3.9203417547479393E-2</v>
      </c>
      <c r="F153" s="70">
        <f>LN(D153)</f>
        <v>3.9238104031443184</v>
      </c>
      <c r="K153" s="4">
        <v>1</v>
      </c>
      <c r="L153" s="436">
        <f>L118</f>
        <v>9.9911600000000007E-3</v>
      </c>
      <c r="M153" s="70">
        <f>M118</f>
        <v>21.327142857142857</v>
      </c>
      <c r="N153" s="39">
        <f>L153*LN(M153)</f>
        <v>3.0572755511827608E-2</v>
      </c>
      <c r="O153" s="70">
        <f>LN(M153)</f>
        <v>3.0599805740101855</v>
      </c>
      <c r="T153" s="4">
        <v>1</v>
      </c>
      <c r="U153" s="436">
        <f>U118</f>
        <v>9.9911600000000007E-3</v>
      </c>
      <c r="V153" s="70">
        <f>V118</f>
        <v>9.9599999999999991</v>
      </c>
      <c r="W153" s="39">
        <f>U153*LN(V153)</f>
        <v>2.2965451294652158E-2</v>
      </c>
      <c r="X153" s="70">
        <f>LN(V153)</f>
        <v>2.2985770715965068</v>
      </c>
      <c r="AC153" s="4">
        <v>1</v>
      </c>
      <c r="AD153" s="436">
        <f>AD118</f>
        <v>9.9911600000000007E-3</v>
      </c>
      <c r="AE153" s="70">
        <f>AE118</f>
        <v>5.7785714285714294</v>
      </c>
      <c r="AF153" s="39">
        <f>AD153*LN(AE153)</f>
        <v>1.7526058201080944E-2</v>
      </c>
      <c r="AG153" s="70">
        <f>LN(AE153)</f>
        <v>1.7541564944491874</v>
      </c>
      <c r="AM153" s="4">
        <v>1</v>
      </c>
      <c r="AN153" s="436">
        <f>AN118</f>
        <v>9.9911600000000007E-3</v>
      </c>
      <c r="AO153" s="70">
        <f>AO118</f>
        <v>4.242909090909091</v>
      </c>
      <c r="AP153" s="39">
        <f>AN153*LN(AO153)</f>
        <v>1.4439715400869461E-2</v>
      </c>
      <c r="AQ153" s="70">
        <f>LN(AO153)</f>
        <v>1.4452491403269951</v>
      </c>
    </row>
    <row r="154" spans="2:43" x14ac:dyDescent="0.25">
      <c r="B154" s="13">
        <v>2</v>
      </c>
      <c r="C154" s="437">
        <f t="shared" ref="C154:D154" si="143">C119</f>
        <v>2.9973480000000004E-2</v>
      </c>
      <c r="D154" s="70">
        <f t="shared" si="143"/>
        <v>47.142857142857146</v>
      </c>
      <c r="E154" s="39">
        <f t="shared" ref="E154:E158" si="144">C154*LN(D154)</f>
        <v>0.11549328876211305</v>
      </c>
      <c r="F154" s="70">
        <f t="shared" ref="F154:F158" si="145">LN(D154)</f>
        <v>3.8531825054052127</v>
      </c>
      <c r="K154" s="13">
        <v>2</v>
      </c>
      <c r="L154" s="437">
        <f t="shared" ref="L154:M154" si="146">L119</f>
        <v>2.9973480000000004E-2</v>
      </c>
      <c r="M154" s="70">
        <f t="shared" si="146"/>
        <v>18.361428571428572</v>
      </c>
      <c r="N154" s="39">
        <f t="shared" ref="N154:N158" si="147">L154*LN(M154)</f>
        <v>8.7230385843894739E-2</v>
      </c>
      <c r="O154" s="70">
        <f t="shared" ref="O154:O158" si="148">LN(M154)</f>
        <v>2.9102521910667272</v>
      </c>
      <c r="T154" s="13">
        <v>2</v>
      </c>
      <c r="U154" s="437">
        <f t="shared" ref="U154:V154" si="149">U119</f>
        <v>2.9973480000000004E-2</v>
      </c>
      <c r="V154" s="70">
        <f t="shared" si="149"/>
        <v>7.4799999999999995</v>
      </c>
      <c r="W154" s="39">
        <f t="shared" ref="W154:W158" si="150">U154*LN(V154)</f>
        <v>6.0313619345948102E-2</v>
      </c>
      <c r="X154" s="70">
        <f t="shared" ref="X154:X158" si="151">LN(V154)</f>
        <v>2.0122327919863858</v>
      </c>
      <c r="AC154" s="13">
        <v>2</v>
      </c>
      <c r="AD154" s="437">
        <f t="shared" ref="AD154:AE154" si="152">AD119</f>
        <v>2.9973480000000004E-2</v>
      </c>
      <c r="AE154" s="70">
        <f t="shared" si="152"/>
        <v>3.6485714285714286</v>
      </c>
      <c r="AF154" s="39">
        <f t="shared" ref="AF154:AF157" si="153">AD154*LN(AE154)</f>
        <v>3.8795745263667324E-2</v>
      </c>
      <c r="AG154" s="70">
        <f t="shared" ref="AG154:AG157" si="154">LN(AE154)</f>
        <v>1.29433570154908</v>
      </c>
      <c r="AM154" s="13">
        <v>2</v>
      </c>
      <c r="AN154" s="437">
        <f t="shared" ref="AN154:AO154" si="155">AN119</f>
        <v>2.9973480000000004E-2</v>
      </c>
      <c r="AO154" s="70">
        <f t="shared" si="155"/>
        <v>1.0868181818181817</v>
      </c>
      <c r="AP154" s="39">
        <f t="shared" ref="AP154" si="156">AN154*LN(AO154)</f>
        <v>2.4954219385759937E-3</v>
      </c>
      <c r="AQ154" s="70">
        <f t="shared" ref="AQ154" si="157">LN(AO154)</f>
        <v>8.3254328111917381E-2</v>
      </c>
    </row>
    <row r="155" spans="2:43" x14ac:dyDescent="0.25">
      <c r="B155" s="13">
        <v>3</v>
      </c>
      <c r="C155" s="437">
        <f t="shared" ref="C155:D155" si="158">C120</f>
        <v>4.9955800000000002E-2</v>
      </c>
      <c r="D155" s="70">
        <f t="shared" si="158"/>
        <v>44.581428571428567</v>
      </c>
      <c r="E155" s="39">
        <f t="shared" si="144"/>
        <v>0.18969802720032355</v>
      </c>
      <c r="F155" s="70">
        <f t="shared" si="145"/>
        <v>3.7973173725638172</v>
      </c>
      <c r="K155" s="13">
        <v>3</v>
      </c>
      <c r="L155" s="437">
        <f t="shared" ref="L155:M155" si="159">L120</f>
        <v>4.9955800000000002E-2</v>
      </c>
      <c r="M155" s="70">
        <f t="shared" si="159"/>
        <v>15.664285714285715</v>
      </c>
      <c r="N155" s="39">
        <f t="shared" si="147"/>
        <v>0.13744755514742846</v>
      </c>
      <c r="O155" s="70">
        <f t="shared" si="148"/>
        <v>2.7513833258085838</v>
      </c>
      <c r="T155" s="13">
        <v>3</v>
      </c>
      <c r="U155" s="437">
        <f t="shared" ref="U155:V155" si="160">U120</f>
        <v>4.9955800000000002E-2</v>
      </c>
      <c r="V155" s="70">
        <f t="shared" si="160"/>
        <v>5.3214285714285712</v>
      </c>
      <c r="W155" s="39">
        <f t="shared" si="150"/>
        <v>8.3513198801139721E-2</v>
      </c>
      <c r="X155" s="70">
        <f t="shared" si="151"/>
        <v>1.6717417957702552</v>
      </c>
      <c r="AC155" s="13">
        <v>3</v>
      </c>
      <c r="AD155" s="437">
        <f t="shared" ref="AD155:AE155" si="161">AD120</f>
        <v>4.9955800000000002E-2</v>
      </c>
      <c r="AE155" s="70">
        <f t="shared" si="161"/>
        <v>2.2671428571428573</v>
      </c>
      <c r="AF155" s="39">
        <f t="shared" si="153"/>
        <v>4.0889840673111882E-2</v>
      </c>
      <c r="AG155" s="70">
        <f t="shared" si="154"/>
        <v>0.81852038548300454</v>
      </c>
      <c r="AM155" s="13"/>
      <c r="AN155" s="437"/>
      <c r="AO155" s="70"/>
      <c r="AP155" s="39"/>
      <c r="AQ155" s="70"/>
    </row>
    <row r="156" spans="2:43" x14ac:dyDescent="0.25">
      <c r="B156" s="13">
        <v>4</v>
      </c>
      <c r="C156" s="437">
        <f t="shared" ref="C156:D156" si="162">C121</f>
        <v>6.9938119999999993E-2</v>
      </c>
      <c r="D156" s="70">
        <f t="shared" si="162"/>
        <v>42.182857142857145</v>
      </c>
      <c r="E156" s="39">
        <f t="shared" si="144"/>
        <v>0.26170941785591989</v>
      </c>
      <c r="F156" s="70">
        <f t="shared" si="145"/>
        <v>3.7420139096664298</v>
      </c>
      <c r="K156" s="13">
        <v>4</v>
      </c>
      <c r="L156" s="437">
        <f t="shared" ref="L156:M156" si="163">L121</f>
        <v>6.9938119999999993E-2</v>
      </c>
      <c r="M156" s="70">
        <f t="shared" si="163"/>
        <v>13.362857142857143</v>
      </c>
      <c r="N156" s="39">
        <f t="shared" si="147"/>
        <v>0.18131310762624922</v>
      </c>
      <c r="O156" s="70">
        <f t="shared" si="148"/>
        <v>2.5924790032424267</v>
      </c>
      <c r="T156" s="13">
        <v>4</v>
      </c>
      <c r="U156" s="437">
        <f t="shared" ref="U156:V156" si="164">U121</f>
        <v>6.9938119999999993E-2</v>
      </c>
      <c r="V156" s="70">
        <f t="shared" si="164"/>
        <v>3.891428571428571</v>
      </c>
      <c r="W156" s="39">
        <f t="shared" si="150"/>
        <v>9.5030262176381719E-2</v>
      </c>
      <c r="X156" s="70">
        <f t="shared" si="151"/>
        <v>1.3587763322259983</v>
      </c>
      <c r="AC156" s="13">
        <v>4</v>
      </c>
      <c r="AD156" s="437">
        <f t="shared" ref="AD156:AE156" si="165">AD121</f>
        <v>6.9938119999999993E-2</v>
      </c>
      <c r="AE156" s="70">
        <f t="shared" si="165"/>
        <v>1.39</v>
      </c>
      <c r="AF156" s="39">
        <f t="shared" si="153"/>
        <v>2.3030884984108834E-2</v>
      </c>
      <c r="AG156" s="70">
        <f t="shared" si="154"/>
        <v>0.3293037471426003</v>
      </c>
      <c r="AM156" s="13"/>
      <c r="AN156" s="437"/>
      <c r="AO156" s="70"/>
      <c r="AP156" s="39"/>
      <c r="AQ156" s="70"/>
    </row>
    <row r="157" spans="2:43" x14ac:dyDescent="0.25">
      <c r="B157" s="13">
        <v>5</v>
      </c>
      <c r="C157" s="437">
        <f t="shared" ref="C157:D157" si="166">C122</f>
        <v>8.9920440000000018E-2</v>
      </c>
      <c r="D157" s="70">
        <f t="shared" si="166"/>
        <v>38.35857142857143</v>
      </c>
      <c r="E157" s="39">
        <f t="shared" si="144"/>
        <v>0.32793786716298517</v>
      </c>
      <c r="F157" s="70">
        <f t="shared" si="145"/>
        <v>3.6469780081479262</v>
      </c>
      <c r="K157" s="13">
        <v>5</v>
      </c>
      <c r="L157" s="437">
        <f t="shared" ref="L157:M157" si="167">L122</f>
        <v>8.9920440000000018E-2</v>
      </c>
      <c r="M157" s="70">
        <f t="shared" si="167"/>
        <v>11.56</v>
      </c>
      <c r="N157" s="39">
        <f t="shared" si="147"/>
        <v>0.22008485054530116</v>
      </c>
      <c r="O157" s="70">
        <f t="shared" si="148"/>
        <v>2.4475508632442313</v>
      </c>
      <c r="T157" s="13">
        <v>5</v>
      </c>
      <c r="U157" s="437">
        <f t="shared" ref="U157:V157" si="168">U122</f>
        <v>8.9920440000000018E-2</v>
      </c>
      <c r="V157" s="70">
        <f t="shared" si="168"/>
        <v>2.9842857142857144</v>
      </c>
      <c r="W157" s="39">
        <f t="shared" si="150"/>
        <v>9.8315450630651127E-2</v>
      </c>
      <c r="X157" s="70">
        <f t="shared" si="151"/>
        <v>1.0933604265131611</v>
      </c>
      <c r="AC157" s="13">
        <v>5</v>
      </c>
      <c r="AD157" s="437">
        <f t="shared" ref="AD157:AE157" si="169">AD122</f>
        <v>8.9920440000000018E-2</v>
      </c>
      <c r="AE157" s="70">
        <f t="shared" si="169"/>
        <v>1.0132857142857143</v>
      </c>
      <c r="AF157" s="39">
        <f t="shared" si="153"/>
        <v>1.1867909333867024E-3</v>
      </c>
      <c r="AG157" s="70">
        <f t="shared" si="154"/>
        <v>1.3198233164636452E-2</v>
      </c>
      <c r="AM157" s="13"/>
      <c r="AN157" s="437"/>
      <c r="AO157" s="70"/>
      <c r="AP157" s="39"/>
      <c r="AQ157" s="70"/>
    </row>
    <row r="158" spans="2:43" x14ac:dyDescent="0.25">
      <c r="B158" s="31">
        <v>6</v>
      </c>
      <c r="C158" s="439">
        <f t="shared" ref="C158:D158" si="170">C123</f>
        <v>0.10990276</v>
      </c>
      <c r="D158" s="73">
        <f t="shared" si="170"/>
        <v>36.284285714285723</v>
      </c>
      <c r="E158" s="278">
        <f t="shared" si="144"/>
        <v>0.39470309592923186</v>
      </c>
      <c r="F158" s="73">
        <f t="shared" si="145"/>
        <v>3.5913847471094615</v>
      </c>
      <c r="K158" s="31">
        <v>6</v>
      </c>
      <c r="L158" s="439">
        <f t="shared" ref="L158:M158" si="171">L123</f>
        <v>0.10990276</v>
      </c>
      <c r="M158" s="73">
        <f t="shared" si="171"/>
        <v>10.124285714285715</v>
      </c>
      <c r="N158" s="278">
        <f t="shared" si="147"/>
        <v>0.25441797253427295</v>
      </c>
      <c r="O158" s="73">
        <f t="shared" si="148"/>
        <v>2.3149370637668514</v>
      </c>
      <c r="T158" s="31">
        <v>6</v>
      </c>
      <c r="U158" s="439">
        <f t="shared" ref="U158:V158" si="172">U123</f>
        <v>0.10990276</v>
      </c>
      <c r="V158" s="73">
        <f t="shared" si="172"/>
        <v>2.31</v>
      </c>
      <c r="W158" s="278">
        <f t="shared" si="150"/>
        <v>9.2015813749421582E-2</v>
      </c>
      <c r="X158" s="73">
        <f t="shared" si="151"/>
        <v>0.83724752453370221</v>
      </c>
      <c r="AC158" s="31"/>
      <c r="AD158" s="439"/>
      <c r="AE158" s="73"/>
      <c r="AF158" s="278"/>
      <c r="AG158" s="73"/>
      <c r="AM158" s="31"/>
      <c r="AN158" s="439"/>
      <c r="AO158" s="73"/>
      <c r="AP158" s="278"/>
      <c r="AQ158" s="73"/>
    </row>
    <row r="159" spans="2:43" x14ac:dyDescent="0.25">
      <c r="B159" s="495" t="s">
        <v>18</v>
      </c>
      <c r="C159" s="496">
        <f>(MAX(B153:B158))</f>
        <v>6</v>
      </c>
      <c r="D159" s="497" t="s">
        <v>318</v>
      </c>
      <c r="E159" s="274">
        <f>SUM(E153:E158)</f>
        <v>1.3287451144580529</v>
      </c>
      <c r="F159" s="274">
        <f>SUM(F153:F158)</f>
        <v>22.554686946037165</v>
      </c>
      <c r="K159" s="495" t="s">
        <v>18</v>
      </c>
      <c r="L159" s="496">
        <f>(MAX(K153:K158))</f>
        <v>6</v>
      </c>
      <c r="M159" s="497" t="s">
        <v>318</v>
      </c>
      <c r="N159" s="274">
        <f>SUM(N153:N158)</f>
        <v>0.91106662720897402</v>
      </c>
      <c r="O159" s="274">
        <f>SUM(O153:O158)</f>
        <v>16.076583021139008</v>
      </c>
      <c r="T159" s="495" t="s">
        <v>18</v>
      </c>
      <c r="U159" s="496">
        <f>(MAX(T153:T158))</f>
        <v>6</v>
      </c>
      <c r="V159" s="497" t="s">
        <v>318</v>
      </c>
      <c r="W159" s="274">
        <f>SUM(W153:W158)</f>
        <v>0.45215379599819439</v>
      </c>
      <c r="X159" s="274">
        <f>SUM(X153:X158)</f>
        <v>9.2719359426260084</v>
      </c>
      <c r="AC159" s="495" t="s">
        <v>18</v>
      </c>
      <c r="AD159" s="496">
        <f>(MAX(AC153:AC158))</f>
        <v>5</v>
      </c>
      <c r="AE159" s="497" t="s">
        <v>318</v>
      </c>
      <c r="AF159" s="274">
        <f>SUM(AF153:AF158)</f>
        <v>0.1214293200553557</v>
      </c>
      <c r="AG159" s="274">
        <f>SUM(AG153:AG158)</f>
        <v>4.2095145617885086</v>
      </c>
      <c r="AM159" s="495" t="s">
        <v>18</v>
      </c>
      <c r="AN159" s="496">
        <f>(MAX(AM153:AM158))</f>
        <v>2</v>
      </c>
      <c r="AO159" s="497" t="s">
        <v>318</v>
      </c>
      <c r="AP159" s="274">
        <f>SUM(AP153:AP158)</f>
        <v>1.6935137339445454E-2</v>
      </c>
      <c r="AQ159" s="274">
        <f>SUM(AQ153:AQ158)</f>
        <v>1.5285034684389125</v>
      </c>
    </row>
    <row r="160" spans="2:43" x14ac:dyDescent="0.25">
      <c r="B160" s="402" t="s">
        <v>314</v>
      </c>
      <c r="C160" s="494">
        <f>(C159*E159-SUM(C153:C158)*F159)/(C159*SUMSQ(C153:C158)-(SUM(C153:C158))^2)*(-1)</f>
        <v>3.3401601799469667</v>
      </c>
      <c r="K160" s="402" t="s">
        <v>314</v>
      </c>
      <c r="L160" s="494">
        <f>(L159*N159-SUM(L153:L158)*O159)/(L159*SUMSQ(L153:L158)-(SUM(L153:L158))^2)*(-1)</f>
        <v>7.5384151836657098</v>
      </c>
      <c r="T160" s="402" t="s">
        <v>314</v>
      </c>
      <c r="U160" s="494">
        <f>(U159*W159-SUM(U153:U158)*X159)/(U159*SUMSQ(U153:U158)-(SUM(U153:U158))^2)*(-1)</f>
        <v>14.836301426572456</v>
      </c>
      <c r="AC160" s="402" t="s">
        <v>314</v>
      </c>
      <c r="AD160" s="494">
        <f>(AD159*AF159-SUM(AD153:AD158)*AG159)/(AD159*SUMSQ(AD153:AD158)-(SUM(AD153:AD158))^2)*(-1)</f>
        <v>22.254415287992472</v>
      </c>
      <c r="AM160" s="402" t="s">
        <v>314</v>
      </c>
      <c r="AN160" s="494">
        <f>(AN159*AP159-SUM(AN153:AN158)*AQ159)/(AN159*SUMSQ(AN153:AN158)-(SUM(AN153:AN158))^2)*(-1)</f>
        <v>68.159994045490038</v>
      </c>
    </row>
    <row r="161" spans="1:12" x14ac:dyDescent="0.25">
      <c r="E161" s="142" t="s">
        <v>319</v>
      </c>
    </row>
    <row r="162" spans="1:12" x14ac:dyDescent="0.25">
      <c r="F162" s="142" t="s">
        <v>320</v>
      </c>
    </row>
    <row r="163" spans="1:12" x14ac:dyDescent="0.25">
      <c r="B163" s="142" t="s">
        <v>323</v>
      </c>
    </row>
    <row r="164" spans="1:12" x14ac:dyDescent="0.25">
      <c r="B164" s="4" t="s">
        <v>154</v>
      </c>
      <c r="C164" s="106" t="s">
        <v>250</v>
      </c>
      <c r="D164" s="34" t="s">
        <v>171</v>
      </c>
      <c r="E164" s="1" t="s">
        <v>315</v>
      </c>
      <c r="F164" s="7" t="s">
        <v>316</v>
      </c>
      <c r="I164" t="s">
        <v>326</v>
      </c>
    </row>
    <row r="165" spans="1:12" x14ac:dyDescent="0.25">
      <c r="B165" s="4">
        <v>1</v>
      </c>
      <c r="C165" s="436">
        <v>9.9911600000000007E-3</v>
      </c>
      <c r="D165" s="70">
        <v>50.592857142857142</v>
      </c>
      <c r="E165" s="39">
        <v>3.9203417547479393E-2</v>
      </c>
      <c r="F165" s="70">
        <v>3.9238104031443184</v>
      </c>
      <c r="I165" s="93" t="s">
        <v>1</v>
      </c>
      <c r="J165" s="343" t="s">
        <v>16</v>
      </c>
      <c r="K165" s="91" t="s">
        <v>17</v>
      </c>
    </row>
    <row r="166" spans="1:12" x14ac:dyDescent="0.25">
      <c r="B166" s="13">
        <v>2</v>
      </c>
      <c r="C166" s="437">
        <v>2.9973480000000004E-2</v>
      </c>
      <c r="D166" s="70">
        <v>47.142857142857146</v>
      </c>
      <c r="E166" s="39">
        <v>0.11549328876211305</v>
      </c>
      <c r="F166" s="70">
        <v>3.8531825054052127</v>
      </c>
      <c r="I166" s="4">
        <v>0</v>
      </c>
      <c r="J166" s="396">
        <v>0</v>
      </c>
      <c r="K166" s="396">
        <v>0</v>
      </c>
    </row>
    <row r="167" spans="1:12" x14ac:dyDescent="0.25">
      <c r="B167" s="13">
        <v>3</v>
      </c>
      <c r="C167" s="437">
        <v>4.9955800000000002E-2</v>
      </c>
      <c r="D167" s="70">
        <v>44.581428571428567</v>
      </c>
      <c r="E167" s="39">
        <v>0.18969802720032355</v>
      </c>
      <c r="F167" s="70">
        <v>3.7973173725638172</v>
      </c>
      <c r="I167" s="13">
        <v>5</v>
      </c>
      <c r="J167" s="397">
        <v>26.14</v>
      </c>
      <c r="K167" s="397">
        <v>9.16</v>
      </c>
      <c r="L167" t="s">
        <v>327</v>
      </c>
    </row>
    <row r="168" spans="1:12" x14ac:dyDescent="0.25">
      <c r="B168" s="13">
        <v>4</v>
      </c>
      <c r="C168" s="437">
        <v>6.9938119999999993E-2</v>
      </c>
      <c r="D168" s="70">
        <v>42.182857142857145</v>
      </c>
      <c r="E168" s="39">
        <v>0.26170941785591989</v>
      </c>
      <c r="F168" s="70">
        <v>3.7420139096664298</v>
      </c>
      <c r="I168" s="13">
        <v>10</v>
      </c>
      <c r="J168" s="398">
        <v>65.48</v>
      </c>
      <c r="K168" s="264">
        <v>56.29</v>
      </c>
    </row>
    <row r="169" spans="1:12" x14ac:dyDescent="0.25">
      <c r="B169" s="13">
        <v>5</v>
      </c>
      <c r="C169" s="437"/>
      <c r="D169" s="70"/>
      <c r="E169" s="39"/>
      <c r="F169" s="70"/>
      <c r="I169" s="13">
        <v>16</v>
      </c>
      <c r="J169" s="398">
        <v>128.9</v>
      </c>
      <c r="K169" s="264">
        <v>120.74</v>
      </c>
    </row>
    <row r="170" spans="1:12" x14ac:dyDescent="0.25">
      <c r="B170" s="31">
        <v>6</v>
      </c>
      <c r="C170" s="439"/>
      <c r="D170" s="73"/>
      <c r="E170" s="278"/>
      <c r="F170" s="73"/>
      <c r="I170" s="31">
        <v>20</v>
      </c>
      <c r="J170" s="399">
        <v>193.26</v>
      </c>
      <c r="K170" s="267">
        <v>185.93</v>
      </c>
    </row>
    <row r="171" spans="1:12" x14ac:dyDescent="0.25">
      <c r="B171" s="495" t="s">
        <v>18</v>
      </c>
      <c r="C171" s="496">
        <v>4</v>
      </c>
      <c r="D171" s="497" t="s">
        <v>322</v>
      </c>
      <c r="E171" s="274">
        <f>SUM(E165:E170)</f>
        <v>0.60610415136583584</v>
      </c>
      <c r="F171" s="274">
        <f>SUM(F165:F170)</f>
        <v>15.316324190779778</v>
      </c>
      <c r="I171" s="183">
        <v>32</v>
      </c>
      <c r="J171" s="399">
        <v>592.04</v>
      </c>
      <c r="K171" s="267">
        <v>584.37842185077989</v>
      </c>
      <c r="L171" t="s">
        <v>328</v>
      </c>
    </row>
    <row r="172" spans="1:12" x14ac:dyDescent="0.25">
      <c r="B172" s="402" t="s">
        <v>314</v>
      </c>
      <c r="C172" s="494">
        <f>(C171*E171-SUM(C165:C170)*F171)/(C171*SUMSQ(C165:C170)-(SUM(C165:C170))^2)*(-1)</f>
        <v>3.0089329631146713</v>
      </c>
    </row>
    <row r="173" spans="1:12" ht="15.75" thickBot="1" x14ac:dyDescent="0.3">
      <c r="B173" t="s">
        <v>262</v>
      </c>
      <c r="C173">
        <v>8.6859999999999999</v>
      </c>
    </row>
    <row r="174" spans="1:12" ht="15.75" thickBot="1" x14ac:dyDescent="0.3">
      <c r="B174" s="43" t="s">
        <v>263</v>
      </c>
      <c r="C174" s="331">
        <f>C173*C172</f>
        <v>26.135591717614034</v>
      </c>
    </row>
    <row r="175" spans="1:12" ht="15.75" thickBot="1" x14ac:dyDescent="0.3">
      <c r="B175" s="198" t="s">
        <v>274</v>
      </c>
      <c r="C175" s="45">
        <f>C174*2*A118/1000</f>
        <v>0.52224975709071331</v>
      </c>
    </row>
    <row r="176" spans="1:12" ht="15.75" thickBot="1" x14ac:dyDescent="0.3">
      <c r="A176" t="s">
        <v>324</v>
      </c>
      <c r="C176" s="432">
        <v>1.0173591754154485</v>
      </c>
    </row>
    <row r="177" spans="1:7" ht="15.75" thickBot="1" x14ac:dyDescent="0.3">
      <c r="A177" t="s">
        <v>269</v>
      </c>
      <c r="C177" s="498">
        <f>C176/(C168-C165)</f>
        <v>16.970988610856139</v>
      </c>
      <c r="D177" s="77" t="s">
        <v>325</v>
      </c>
    </row>
    <row r="178" spans="1:7" ht="15.75" thickBot="1" x14ac:dyDescent="0.3">
      <c r="A178" t="s">
        <v>271</v>
      </c>
      <c r="C178" s="341">
        <f>C174-C177</f>
        <v>9.1646031067578946</v>
      </c>
      <c r="D178" s="499" t="s">
        <v>329</v>
      </c>
      <c r="E178" s="307"/>
      <c r="F178" s="307"/>
      <c r="G178" s="307"/>
    </row>
  </sheetData>
  <pageMargins left="0.7" right="0.7" top="0.75" bottom="0.75" header="0.3" footer="0.3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1031" r:id="rId4">
          <objectPr defaultSize="0" autoPict="0" r:id="rId5">
            <anchor moveWithCells="1" sizeWithCells="1">
              <from>
                <xdr:col>0</xdr:col>
                <xdr:colOff>38100</xdr:colOff>
                <xdr:row>5</xdr:row>
                <xdr:rowOff>19050</xdr:rowOff>
              </from>
              <to>
                <xdr:col>0</xdr:col>
                <xdr:colOff>190500</xdr:colOff>
                <xdr:row>6</xdr:row>
                <xdr:rowOff>9525</xdr:rowOff>
              </to>
            </anchor>
          </objectPr>
        </oleObject>
      </mc:Choice>
      <mc:Fallback>
        <oleObject progId="Equation.3" shapeId="1031" r:id="rId4"/>
      </mc:Fallback>
    </mc:AlternateContent>
    <mc:AlternateContent xmlns:mc="http://schemas.openxmlformats.org/markup-compatibility/2006">
      <mc:Choice Requires="x14">
        <oleObject progId="Equation.3" shapeId="1032" r:id="rId6">
          <objectPr defaultSize="0" autoPict="0" r:id="rId7">
            <anchor moveWithCells="1" sizeWithCells="1">
              <from>
                <xdr:col>0</xdr:col>
                <xdr:colOff>314325</xdr:colOff>
                <xdr:row>6</xdr:row>
                <xdr:rowOff>9525</xdr:rowOff>
              </from>
              <to>
                <xdr:col>0</xdr:col>
                <xdr:colOff>666750</xdr:colOff>
                <xdr:row>7</xdr:row>
                <xdr:rowOff>19050</xdr:rowOff>
              </to>
            </anchor>
          </objectPr>
        </oleObject>
      </mc:Choice>
      <mc:Fallback>
        <oleObject progId="Equation.3" shapeId="1032" r:id="rId6"/>
      </mc:Fallback>
    </mc:AlternateContent>
    <mc:AlternateContent xmlns:mc="http://schemas.openxmlformats.org/markup-compatibility/2006">
      <mc:Choice Requires="x14">
        <oleObject progId="Equation.3" shapeId="1033" r:id="rId8">
          <objectPr defaultSize="0" autoPict="0" r:id="rId9">
            <anchor moveWithCells="1" sizeWithCells="1">
              <from>
                <xdr:col>0</xdr:col>
                <xdr:colOff>323850</xdr:colOff>
                <xdr:row>7</xdr:row>
                <xdr:rowOff>0</xdr:rowOff>
              </from>
              <to>
                <xdr:col>0</xdr:col>
                <xdr:colOff>742950</xdr:colOff>
                <xdr:row>8</xdr:row>
                <xdr:rowOff>28575</xdr:rowOff>
              </to>
            </anchor>
          </objectPr>
        </oleObject>
      </mc:Choice>
      <mc:Fallback>
        <oleObject progId="Equation.3" shapeId="1033" r:id="rId8"/>
      </mc:Fallback>
    </mc:AlternateContent>
    <mc:AlternateContent xmlns:mc="http://schemas.openxmlformats.org/markup-compatibility/2006">
      <mc:Choice Requires="x14">
        <oleObject progId="Equation.3" shapeId="1034" r:id="rId10">
          <objectPr defaultSize="0" autoPict="0" r:id="rId11">
            <anchor moveWithCells="1" sizeWithCells="1">
              <from>
                <xdr:col>0</xdr:col>
                <xdr:colOff>57150</xdr:colOff>
                <xdr:row>8</xdr:row>
                <xdr:rowOff>0</xdr:rowOff>
              </from>
              <to>
                <xdr:col>0</xdr:col>
                <xdr:colOff>247650</xdr:colOff>
                <xdr:row>9</xdr:row>
                <xdr:rowOff>0</xdr:rowOff>
              </to>
            </anchor>
          </objectPr>
        </oleObject>
      </mc:Choice>
      <mc:Fallback>
        <oleObject progId="Equation.3" shapeId="1034" r:id="rId10"/>
      </mc:Fallback>
    </mc:AlternateContent>
    <mc:AlternateContent xmlns:mc="http://schemas.openxmlformats.org/markup-compatibility/2006">
      <mc:Choice Requires="x14">
        <oleObject progId="Equation.3" shapeId="1035" r:id="rId12">
          <objectPr defaultSize="0" autoPict="0" r:id="rId13">
            <anchor moveWithCells="1" sizeWithCells="1">
              <from>
                <xdr:col>0</xdr:col>
                <xdr:colOff>304800</xdr:colOff>
                <xdr:row>4</xdr:row>
                <xdr:rowOff>9525</xdr:rowOff>
              </from>
              <to>
                <xdr:col>0</xdr:col>
                <xdr:colOff>733425</xdr:colOff>
                <xdr:row>5</xdr:row>
                <xdr:rowOff>19050</xdr:rowOff>
              </to>
            </anchor>
          </objectPr>
        </oleObject>
      </mc:Choice>
      <mc:Fallback>
        <oleObject progId="Equation.3" shapeId="1035" r:id="rId12"/>
      </mc:Fallback>
    </mc:AlternateContent>
    <mc:AlternateContent xmlns:mc="http://schemas.openxmlformats.org/markup-compatibility/2006">
      <mc:Choice Requires="x14">
        <oleObject progId="Equation.3" shapeId="1036" r:id="rId14">
          <objectPr defaultSize="0" autoPict="0" r:id="rId15">
            <anchor moveWithCells="1" sizeWithCells="1">
              <from>
                <xdr:col>4</xdr:col>
                <xdr:colOff>0</xdr:colOff>
                <xdr:row>2</xdr:row>
                <xdr:rowOff>0</xdr:rowOff>
              </from>
              <to>
                <xdr:col>6</xdr:col>
                <xdr:colOff>723900</xdr:colOff>
                <xdr:row>4</xdr:row>
                <xdr:rowOff>28575</xdr:rowOff>
              </to>
            </anchor>
          </objectPr>
        </oleObject>
      </mc:Choice>
      <mc:Fallback>
        <oleObject progId="Equation.3" shapeId="1036" r:id="rId14"/>
      </mc:Fallback>
    </mc:AlternateContent>
    <mc:AlternateContent xmlns:mc="http://schemas.openxmlformats.org/markup-compatibility/2006">
      <mc:Choice Requires="x14">
        <oleObject progId="Equation.3" shapeId="1037" r:id="rId16">
          <objectPr defaultSize="0" autoPict="0" r:id="rId5">
            <anchor moveWithCells="1" sizeWithCells="1">
              <from>
                <xdr:col>9</xdr:col>
                <xdr:colOff>38100</xdr:colOff>
                <xdr:row>5</xdr:row>
                <xdr:rowOff>19050</xdr:rowOff>
              </from>
              <to>
                <xdr:col>9</xdr:col>
                <xdr:colOff>190500</xdr:colOff>
                <xdr:row>6</xdr:row>
                <xdr:rowOff>9525</xdr:rowOff>
              </to>
            </anchor>
          </objectPr>
        </oleObject>
      </mc:Choice>
      <mc:Fallback>
        <oleObject progId="Equation.3" shapeId="1037" r:id="rId16"/>
      </mc:Fallback>
    </mc:AlternateContent>
    <mc:AlternateContent xmlns:mc="http://schemas.openxmlformats.org/markup-compatibility/2006">
      <mc:Choice Requires="x14">
        <oleObject progId="Equation.3" shapeId="1038" r:id="rId17">
          <objectPr defaultSize="0" autoPict="0" r:id="rId7">
            <anchor moveWithCells="1" sizeWithCells="1">
              <from>
                <xdr:col>9</xdr:col>
                <xdr:colOff>314325</xdr:colOff>
                <xdr:row>6</xdr:row>
                <xdr:rowOff>9525</xdr:rowOff>
              </from>
              <to>
                <xdr:col>9</xdr:col>
                <xdr:colOff>666750</xdr:colOff>
                <xdr:row>7</xdr:row>
                <xdr:rowOff>19050</xdr:rowOff>
              </to>
            </anchor>
          </objectPr>
        </oleObject>
      </mc:Choice>
      <mc:Fallback>
        <oleObject progId="Equation.3" shapeId="1038" r:id="rId17"/>
      </mc:Fallback>
    </mc:AlternateContent>
    <mc:AlternateContent xmlns:mc="http://schemas.openxmlformats.org/markup-compatibility/2006">
      <mc:Choice Requires="x14">
        <oleObject progId="Equation.3" shapeId="1039" r:id="rId18">
          <objectPr defaultSize="0" autoPict="0" r:id="rId9">
            <anchor moveWithCells="1" sizeWithCells="1">
              <from>
                <xdr:col>9</xdr:col>
                <xdr:colOff>323850</xdr:colOff>
                <xdr:row>7</xdr:row>
                <xdr:rowOff>0</xdr:rowOff>
              </from>
              <to>
                <xdr:col>9</xdr:col>
                <xdr:colOff>742950</xdr:colOff>
                <xdr:row>8</xdr:row>
                <xdr:rowOff>28575</xdr:rowOff>
              </to>
            </anchor>
          </objectPr>
        </oleObject>
      </mc:Choice>
      <mc:Fallback>
        <oleObject progId="Equation.3" shapeId="1039" r:id="rId18"/>
      </mc:Fallback>
    </mc:AlternateContent>
    <mc:AlternateContent xmlns:mc="http://schemas.openxmlformats.org/markup-compatibility/2006">
      <mc:Choice Requires="x14">
        <oleObject progId="Equation.3" shapeId="1040" r:id="rId19">
          <objectPr defaultSize="0" autoPict="0" r:id="rId11">
            <anchor moveWithCells="1" sizeWithCells="1">
              <from>
                <xdr:col>9</xdr:col>
                <xdr:colOff>57150</xdr:colOff>
                <xdr:row>8</xdr:row>
                <xdr:rowOff>0</xdr:rowOff>
              </from>
              <to>
                <xdr:col>9</xdr:col>
                <xdr:colOff>247650</xdr:colOff>
                <xdr:row>9</xdr:row>
                <xdr:rowOff>0</xdr:rowOff>
              </to>
            </anchor>
          </objectPr>
        </oleObject>
      </mc:Choice>
      <mc:Fallback>
        <oleObject progId="Equation.3" shapeId="1040" r:id="rId19"/>
      </mc:Fallback>
    </mc:AlternateContent>
    <mc:AlternateContent xmlns:mc="http://schemas.openxmlformats.org/markup-compatibility/2006">
      <mc:Choice Requires="x14">
        <oleObject progId="Equation.3" shapeId="1041" r:id="rId20">
          <objectPr defaultSize="0" autoPict="0" r:id="rId13">
            <anchor moveWithCells="1" sizeWithCells="1">
              <from>
                <xdr:col>9</xdr:col>
                <xdr:colOff>304800</xdr:colOff>
                <xdr:row>4</xdr:row>
                <xdr:rowOff>9525</xdr:rowOff>
              </from>
              <to>
                <xdr:col>9</xdr:col>
                <xdr:colOff>733425</xdr:colOff>
                <xdr:row>5</xdr:row>
                <xdr:rowOff>19050</xdr:rowOff>
              </to>
            </anchor>
          </objectPr>
        </oleObject>
      </mc:Choice>
      <mc:Fallback>
        <oleObject progId="Equation.3" shapeId="1041" r:id="rId20"/>
      </mc:Fallback>
    </mc:AlternateContent>
    <mc:AlternateContent xmlns:mc="http://schemas.openxmlformats.org/markup-compatibility/2006">
      <mc:Choice Requires="x14">
        <oleObject progId="Equation.3" shapeId="1042" r:id="rId21">
          <objectPr defaultSize="0" autoPict="0" r:id="rId15">
            <anchor moveWithCells="1" sizeWithCells="1">
              <from>
                <xdr:col>13</xdr:col>
                <xdr:colOff>0</xdr:colOff>
                <xdr:row>2</xdr:row>
                <xdr:rowOff>0</xdr:rowOff>
              </from>
              <to>
                <xdr:col>15</xdr:col>
                <xdr:colOff>723900</xdr:colOff>
                <xdr:row>4</xdr:row>
                <xdr:rowOff>28575</xdr:rowOff>
              </to>
            </anchor>
          </objectPr>
        </oleObject>
      </mc:Choice>
      <mc:Fallback>
        <oleObject progId="Equation.3" shapeId="1042" r:id="rId21"/>
      </mc:Fallback>
    </mc:AlternateContent>
    <mc:AlternateContent xmlns:mc="http://schemas.openxmlformats.org/markup-compatibility/2006">
      <mc:Choice Requires="x14">
        <oleObject progId="Equation.3" shapeId="1043" r:id="rId22">
          <objectPr defaultSize="0" autoPict="0" r:id="rId5">
            <anchor moveWithCells="1" sizeWithCells="1">
              <from>
                <xdr:col>18</xdr:col>
                <xdr:colOff>38100</xdr:colOff>
                <xdr:row>5</xdr:row>
                <xdr:rowOff>19050</xdr:rowOff>
              </from>
              <to>
                <xdr:col>18</xdr:col>
                <xdr:colOff>190500</xdr:colOff>
                <xdr:row>6</xdr:row>
                <xdr:rowOff>9525</xdr:rowOff>
              </to>
            </anchor>
          </objectPr>
        </oleObject>
      </mc:Choice>
      <mc:Fallback>
        <oleObject progId="Equation.3" shapeId="1043" r:id="rId22"/>
      </mc:Fallback>
    </mc:AlternateContent>
    <mc:AlternateContent xmlns:mc="http://schemas.openxmlformats.org/markup-compatibility/2006">
      <mc:Choice Requires="x14">
        <oleObject progId="Equation.3" shapeId="1044" r:id="rId23">
          <objectPr defaultSize="0" autoPict="0" r:id="rId7">
            <anchor moveWithCells="1" sizeWithCells="1">
              <from>
                <xdr:col>18</xdr:col>
                <xdr:colOff>314325</xdr:colOff>
                <xdr:row>6</xdr:row>
                <xdr:rowOff>9525</xdr:rowOff>
              </from>
              <to>
                <xdr:col>18</xdr:col>
                <xdr:colOff>666750</xdr:colOff>
                <xdr:row>7</xdr:row>
                <xdr:rowOff>19050</xdr:rowOff>
              </to>
            </anchor>
          </objectPr>
        </oleObject>
      </mc:Choice>
      <mc:Fallback>
        <oleObject progId="Equation.3" shapeId="1044" r:id="rId23"/>
      </mc:Fallback>
    </mc:AlternateContent>
    <mc:AlternateContent xmlns:mc="http://schemas.openxmlformats.org/markup-compatibility/2006">
      <mc:Choice Requires="x14">
        <oleObject progId="Equation.3" shapeId="1045" r:id="rId24">
          <objectPr defaultSize="0" autoPict="0" r:id="rId9">
            <anchor moveWithCells="1" sizeWithCells="1">
              <from>
                <xdr:col>18</xdr:col>
                <xdr:colOff>323850</xdr:colOff>
                <xdr:row>7</xdr:row>
                <xdr:rowOff>0</xdr:rowOff>
              </from>
              <to>
                <xdr:col>18</xdr:col>
                <xdr:colOff>742950</xdr:colOff>
                <xdr:row>8</xdr:row>
                <xdr:rowOff>28575</xdr:rowOff>
              </to>
            </anchor>
          </objectPr>
        </oleObject>
      </mc:Choice>
      <mc:Fallback>
        <oleObject progId="Equation.3" shapeId="1045" r:id="rId24"/>
      </mc:Fallback>
    </mc:AlternateContent>
    <mc:AlternateContent xmlns:mc="http://schemas.openxmlformats.org/markup-compatibility/2006">
      <mc:Choice Requires="x14">
        <oleObject progId="Equation.3" shapeId="1046" r:id="rId25">
          <objectPr defaultSize="0" autoPict="0" r:id="rId11">
            <anchor moveWithCells="1" sizeWithCells="1">
              <from>
                <xdr:col>18</xdr:col>
                <xdr:colOff>57150</xdr:colOff>
                <xdr:row>8</xdr:row>
                <xdr:rowOff>0</xdr:rowOff>
              </from>
              <to>
                <xdr:col>18</xdr:col>
                <xdr:colOff>247650</xdr:colOff>
                <xdr:row>9</xdr:row>
                <xdr:rowOff>0</xdr:rowOff>
              </to>
            </anchor>
          </objectPr>
        </oleObject>
      </mc:Choice>
      <mc:Fallback>
        <oleObject progId="Equation.3" shapeId="1046" r:id="rId25"/>
      </mc:Fallback>
    </mc:AlternateContent>
    <mc:AlternateContent xmlns:mc="http://schemas.openxmlformats.org/markup-compatibility/2006">
      <mc:Choice Requires="x14">
        <oleObject progId="Equation.3" shapeId="1047" r:id="rId26">
          <objectPr defaultSize="0" autoPict="0" r:id="rId13">
            <anchor moveWithCells="1" sizeWithCells="1">
              <from>
                <xdr:col>18</xdr:col>
                <xdr:colOff>304800</xdr:colOff>
                <xdr:row>4</xdr:row>
                <xdr:rowOff>9525</xdr:rowOff>
              </from>
              <to>
                <xdr:col>18</xdr:col>
                <xdr:colOff>733425</xdr:colOff>
                <xdr:row>5</xdr:row>
                <xdr:rowOff>19050</xdr:rowOff>
              </to>
            </anchor>
          </objectPr>
        </oleObject>
      </mc:Choice>
      <mc:Fallback>
        <oleObject progId="Equation.3" shapeId="1047" r:id="rId26"/>
      </mc:Fallback>
    </mc:AlternateContent>
    <mc:AlternateContent xmlns:mc="http://schemas.openxmlformats.org/markup-compatibility/2006">
      <mc:Choice Requires="x14">
        <oleObject progId="Equation.3" shapeId="1048" r:id="rId27">
          <objectPr defaultSize="0" autoPict="0" r:id="rId15">
            <anchor moveWithCells="1" sizeWithCells="1">
              <from>
                <xdr:col>22</xdr:col>
                <xdr:colOff>0</xdr:colOff>
                <xdr:row>2</xdr:row>
                <xdr:rowOff>0</xdr:rowOff>
              </from>
              <to>
                <xdr:col>24</xdr:col>
                <xdr:colOff>723900</xdr:colOff>
                <xdr:row>4</xdr:row>
                <xdr:rowOff>28575</xdr:rowOff>
              </to>
            </anchor>
          </objectPr>
        </oleObject>
      </mc:Choice>
      <mc:Fallback>
        <oleObject progId="Equation.3" shapeId="1048" r:id="rId27"/>
      </mc:Fallback>
    </mc:AlternateContent>
    <mc:AlternateContent xmlns:mc="http://schemas.openxmlformats.org/markup-compatibility/2006">
      <mc:Choice Requires="x14">
        <oleObject progId="Equation.3" shapeId="1055" r:id="rId28">
          <objectPr defaultSize="0" autoPict="0" r:id="rId5">
            <anchor moveWithCells="1" sizeWithCells="1">
              <from>
                <xdr:col>27</xdr:col>
                <xdr:colOff>38100</xdr:colOff>
                <xdr:row>5</xdr:row>
                <xdr:rowOff>19050</xdr:rowOff>
              </from>
              <to>
                <xdr:col>27</xdr:col>
                <xdr:colOff>190500</xdr:colOff>
                <xdr:row>6</xdr:row>
                <xdr:rowOff>9525</xdr:rowOff>
              </to>
            </anchor>
          </objectPr>
        </oleObject>
      </mc:Choice>
      <mc:Fallback>
        <oleObject progId="Equation.3" shapeId="1055" r:id="rId28"/>
      </mc:Fallback>
    </mc:AlternateContent>
    <mc:AlternateContent xmlns:mc="http://schemas.openxmlformats.org/markup-compatibility/2006">
      <mc:Choice Requires="x14">
        <oleObject progId="Equation.3" shapeId="1056" r:id="rId29">
          <objectPr defaultSize="0" autoPict="0" r:id="rId7">
            <anchor moveWithCells="1" sizeWithCells="1">
              <from>
                <xdr:col>27</xdr:col>
                <xdr:colOff>314325</xdr:colOff>
                <xdr:row>6</xdr:row>
                <xdr:rowOff>9525</xdr:rowOff>
              </from>
              <to>
                <xdr:col>27</xdr:col>
                <xdr:colOff>666750</xdr:colOff>
                <xdr:row>7</xdr:row>
                <xdr:rowOff>19050</xdr:rowOff>
              </to>
            </anchor>
          </objectPr>
        </oleObject>
      </mc:Choice>
      <mc:Fallback>
        <oleObject progId="Equation.3" shapeId="1056" r:id="rId29"/>
      </mc:Fallback>
    </mc:AlternateContent>
    <mc:AlternateContent xmlns:mc="http://schemas.openxmlformats.org/markup-compatibility/2006">
      <mc:Choice Requires="x14">
        <oleObject progId="Equation.3" shapeId="1057" r:id="rId30">
          <objectPr defaultSize="0" autoPict="0" r:id="rId9">
            <anchor moveWithCells="1" sizeWithCells="1">
              <from>
                <xdr:col>27</xdr:col>
                <xdr:colOff>323850</xdr:colOff>
                <xdr:row>7</xdr:row>
                <xdr:rowOff>0</xdr:rowOff>
              </from>
              <to>
                <xdr:col>27</xdr:col>
                <xdr:colOff>742950</xdr:colOff>
                <xdr:row>8</xdr:row>
                <xdr:rowOff>28575</xdr:rowOff>
              </to>
            </anchor>
          </objectPr>
        </oleObject>
      </mc:Choice>
      <mc:Fallback>
        <oleObject progId="Equation.3" shapeId="1057" r:id="rId30"/>
      </mc:Fallback>
    </mc:AlternateContent>
    <mc:AlternateContent xmlns:mc="http://schemas.openxmlformats.org/markup-compatibility/2006">
      <mc:Choice Requires="x14">
        <oleObject progId="Equation.3" shapeId="1058" r:id="rId31">
          <objectPr defaultSize="0" autoPict="0" r:id="rId11">
            <anchor moveWithCells="1" sizeWithCells="1">
              <from>
                <xdr:col>27</xdr:col>
                <xdr:colOff>57150</xdr:colOff>
                <xdr:row>8</xdr:row>
                <xdr:rowOff>0</xdr:rowOff>
              </from>
              <to>
                <xdr:col>27</xdr:col>
                <xdr:colOff>247650</xdr:colOff>
                <xdr:row>9</xdr:row>
                <xdr:rowOff>0</xdr:rowOff>
              </to>
            </anchor>
          </objectPr>
        </oleObject>
      </mc:Choice>
      <mc:Fallback>
        <oleObject progId="Equation.3" shapeId="1058" r:id="rId31"/>
      </mc:Fallback>
    </mc:AlternateContent>
    <mc:AlternateContent xmlns:mc="http://schemas.openxmlformats.org/markup-compatibility/2006">
      <mc:Choice Requires="x14">
        <oleObject progId="Equation.3" shapeId="1059" r:id="rId32">
          <objectPr defaultSize="0" autoPict="0" r:id="rId13">
            <anchor moveWithCells="1" sizeWithCells="1">
              <from>
                <xdr:col>27</xdr:col>
                <xdr:colOff>304800</xdr:colOff>
                <xdr:row>4</xdr:row>
                <xdr:rowOff>9525</xdr:rowOff>
              </from>
              <to>
                <xdr:col>27</xdr:col>
                <xdr:colOff>733425</xdr:colOff>
                <xdr:row>5</xdr:row>
                <xdr:rowOff>19050</xdr:rowOff>
              </to>
            </anchor>
          </objectPr>
        </oleObject>
      </mc:Choice>
      <mc:Fallback>
        <oleObject progId="Equation.3" shapeId="1059" r:id="rId32"/>
      </mc:Fallback>
    </mc:AlternateContent>
    <mc:AlternateContent xmlns:mc="http://schemas.openxmlformats.org/markup-compatibility/2006">
      <mc:Choice Requires="x14">
        <oleObject progId="Equation.3" shapeId="1060" r:id="rId33">
          <objectPr defaultSize="0" autoPict="0" r:id="rId15">
            <anchor moveWithCells="1" sizeWithCells="1">
              <from>
                <xdr:col>31</xdr:col>
                <xdr:colOff>0</xdr:colOff>
                <xdr:row>2</xdr:row>
                <xdr:rowOff>0</xdr:rowOff>
              </from>
              <to>
                <xdr:col>33</xdr:col>
                <xdr:colOff>723900</xdr:colOff>
                <xdr:row>4</xdr:row>
                <xdr:rowOff>28575</xdr:rowOff>
              </to>
            </anchor>
          </objectPr>
        </oleObject>
      </mc:Choice>
      <mc:Fallback>
        <oleObject progId="Equation.3" shapeId="1060" r:id="rId33"/>
      </mc:Fallback>
    </mc:AlternateContent>
    <mc:AlternateContent xmlns:mc="http://schemas.openxmlformats.org/markup-compatibility/2006">
      <mc:Choice Requires="x14">
        <oleObject progId="Equation.3" shapeId="1061" r:id="rId34">
          <objectPr defaultSize="0" autoPict="0" r:id="rId5">
            <anchor moveWithCells="1" sizeWithCells="1">
              <from>
                <xdr:col>47</xdr:col>
                <xdr:colOff>38100</xdr:colOff>
                <xdr:row>5</xdr:row>
                <xdr:rowOff>19050</xdr:rowOff>
              </from>
              <to>
                <xdr:col>47</xdr:col>
                <xdr:colOff>190500</xdr:colOff>
                <xdr:row>6</xdr:row>
                <xdr:rowOff>9525</xdr:rowOff>
              </to>
            </anchor>
          </objectPr>
        </oleObject>
      </mc:Choice>
      <mc:Fallback>
        <oleObject progId="Equation.3" shapeId="1061" r:id="rId34"/>
      </mc:Fallback>
    </mc:AlternateContent>
    <mc:AlternateContent xmlns:mc="http://schemas.openxmlformats.org/markup-compatibility/2006">
      <mc:Choice Requires="x14">
        <oleObject progId="Equation.3" shapeId="1062" r:id="rId35">
          <objectPr defaultSize="0" autoPict="0" r:id="rId7">
            <anchor moveWithCells="1" sizeWithCells="1">
              <from>
                <xdr:col>47</xdr:col>
                <xdr:colOff>314325</xdr:colOff>
                <xdr:row>6</xdr:row>
                <xdr:rowOff>9525</xdr:rowOff>
              </from>
              <to>
                <xdr:col>47</xdr:col>
                <xdr:colOff>666750</xdr:colOff>
                <xdr:row>7</xdr:row>
                <xdr:rowOff>19050</xdr:rowOff>
              </to>
            </anchor>
          </objectPr>
        </oleObject>
      </mc:Choice>
      <mc:Fallback>
        <oleObject progId="Equation.3" shapeId="1062" r:id="rId35"/>
      </mc:Fallback>
    </mc:AlternateContent>
    <mc:AlternateContent xmlns:mc="http://schemas.openxmlformats.org/markup-compatibility/2006">
      <mc:Choice Requires="x14">
        <oleObject progId="Equation.3" shapeId="1063" r:id="rId36">
          <objectPr defaultSize="0" autoPict="0" r:id="rId9">
            <anchor moveWithCells="1" sizeWithCells="1">
              <from>
                <xdr:col>47</xdr:col>
                <xdr:colOff>323850</xdr:colOff>
                <xdr:row>7</xdr:row>
                <xdr:rowOff>0</xdr:rowOff>
              </from>
              <to>
                <xdr:col>47</xdr:col>
                <xdr:colOff>742950</xdr:colOff>
                <xdr:row>8</xdr:row>
                <xdr:rowOff>28575</xdr:rowOff>
              </to>
            </anchor>
          </objectPr>
        </oleObject>
      </mc:Choice>
      <mc:Fallback>
        <oleObject progId="Equation.3" shapeId="1063" r:id="rId36"/>
      </mc:Fallback>
    </mc:AlternateContent>
    <mc:AlternateContent xmlns:mc="http://schemas.openxmlformats.org/markup-compatibility/2006">
      <mc:Choice Requires="x14">
        <oleObject progId="Equation.3" shapeId="1064" r:id="rId37">
          <objectPr defaultSize="0" autoPict="0" r:id="rId11">
            <anchor moveWithCells="1" sizeWithCells="1">
              <from>
                <xdr:col>47</xdr:col>
                <xdr:colOff>57150</xdr:colOff>
                <xdr:row>8</xdr:row>
                <xdr:rowOff>0</xdr:rowOff>
              </from>
              <to>
                <xdr:col>47</xdr:col>
                <xdr:colOff>247650</xdr:colOff>
                <xdr:row>9</xdr:row>
                <xdr:rowOff>0</xdr:rowOff>
              </to>
            </anchor>
          </objectPr>
        </oleObject>
      </mc:Choice>
      <mc:Fallback>
        <oleObject progId="Equation.3" shapeId="1064" r:id="rId37"/>
      </mc:Fallback>
    </mc:AlternateContent>
    <mc:AlternateContent xmlns:mc="http://schemas.openxmlformats.org/markup-compatibility/2006">
      <mc:Choice Requires="x14">
        <oleObject progId="Equation.3" shapeId="1065" r:id="rId38">
          <objectPr defaultSize="0" autoPict="0" r:id="rId13">
            <anchor moveWithCells="1" sizeWithCells="1">
              <from>
                <xdr:col>47</xdr:col>
                <xdr:colOff>304800</xdr:colOff>
                <xdr:row>4</xdr:row>
                <xdr:rowOff>9525</xdr:rowOff>
              </from>
              <to>
                <xdr:col>47</xdr:col>
                <xdr:colOff>733425</xdr:colOff>
                <xdr:row>5</xdr:row>
                <xdr:rowOff>19050</xdr:rowOff>
              </to>
            </anchor>
          </objectPr>
        </oleObject>
      </mc:Choice>
      <mc:Fallback>
        <oleObject progId="Equation.3" shapeId="1065" r:id="rId38"/>
      </mc:Fallback>
    </mc:AlternateContent>
    <mc:AlternateContent xmlns:mc="http://schemas.openxmlformats.org/markup-compatibility/2006">
      <mc:Choice Requires="x14">
        <oleObject progId="Equation.3" shapeId="1066" r:id="rId39">
          <objectPr defaultSize="0" autoPict="0" r:id="rId15">
            <anchor moveWithCells="1" sizeWithCells="1">
              <from>
                <xdr:col>51</xdr:col>
                <xdr:colOff>0</xdr:colOff>
                <xdr:row>2</xdr:row>
                <xdr:rowOff>0</xdr:rowOff>
              </from>
              <to>
                <xdr:col>54</xdr:col>
                <xdr:colOff>0</xdr:colOff>
                <xdr:row>4</xdr:row>
                <xdr:rowOff>28575</xdr:rowOff>
              </to>
            </anchor>
          </objectPr>
        </oleObject>
      </mc:Choice>
      <mc:Fallback>
        <oleObject progId="Equation.3" shapeId="1066" r:id="rId39"/>
      </mc:Fallback>
    </mc:AlternateContent>
    <mc:AlternateContent xmlns:mc="http://schemas.openxmlformats.org/markup-compatibility/2006">
      <mc:Choice Requires="x14">
        <oleObject progId="Equation.3" shapeId="1067" r:id="rId40">
          <objectPr defaultSize="0" autoPict="0" r:id="rId5">
            <anchor moveWithCells="1" sizeWithCells="1">
              <from>
                <xdr:col>37</xdr:col>
                <xdr:colOff>38100</xdr:colOff>
                <xdr:row>5</xdr:row>
                <xdr:rowOff>19050</xdr:rowOff>
              </from>
              <to>
                <xdr:col>37</xdr:col>
                <xdr:colOff>190500</xdr:colOff>
                <xdr:row>6</xdr:row>
                <xdr:rowOff>9525</xdr:rowOff>
              </to>
            </anchor>
          </objectPr>
        </oleObject>
      </mc:Choice>
      <mc:Fallback>
        <oleObject progId="Equation.3" shapeId="1067" r:id="rId40"/>
      </mc:Fallback>
    </mc:AlternateContent>
    <mc:AlternateContent xmlns:mc="http://schemas.openxmlformats.org/markup-compatibility/2006">
      <mc:Choice Requires="x14">
        <oleObject progId="Equation.3" shapeId="1068" r:id="rId41">
          <objectPr defaultSize="0" autoPict="0" r:id="rId7">
            <anchor moveWithCells="1" sizeWithCells="1">
              <from>
                <xdr:col>37</xdr:col>
                <xdr:colOff>314325</xdr:colOff>
                <xdr:row>6</xdr:row>
                <xdr:rowOff>9525</xdr:rowOff>
              </from>
              <to>
                <xdr:col>37</xdr:col>
                <xdr:colOff>666750</xdr:colOff>
                <xdr:row>7</xdr:row>
                <xdr:rowOff>19050</xdr:rowOff>
              </to>
            </anchor>
          </objectPr>
        </oleObject>
      </mc:Choice>
      <mc:Fallback>
        <oleObject progId="Equation.3" shapeId="1068" r:id="rId41"/>
      </mc:Fallback>
    </mc:AlternateContent>
    <mc:AlternateContent xmlns:mc="http://schemas.openxmlformats.org/markup-compatibility/2006">
      <mc:Choice Requires="x14">
        <oleObject progId="Equation.3" shapeId="1069" r:id="rId42">
          <objectPr defaultSize="0" autoPict="0" r:id="rId9">
            <anchor moveWithCells="1" sizeWithCells="1">
              <from>
                <xdr:col>37</xdr:col>
                <xdr:colOff>323850</xdr:colOff>
                <xdr:row>7</xdr:row>
                <xdr:rowOff>0</xdr:rowOff>
              </from>
              <to>
                <xdr:col>37</xdr:col>
                <xdr:colOff>742950</xdr:colOff>
                <xdr:row>8</xdr:row>
                <xdr:rowOff>28575</xdr:rowOff>
              </to>
            </anchor>
          </objectPr>
        </oleObject>
      </mc:Choice>
      <mc:Fallback>
        <oleObject progId="Equation.3" shapeId="1069" r:id="rId42"/>
      </mc:Fallback>
    </mc:AlternateContent>
    <mc:AlternateContent xmlns:mc="http://schemas.openxmlformats.org/markup-compatibility/2006">
      <mc:Choice Requires="x14">
        <oleObject progId="Equation.3" shapeId="1070" r:id="rId43">
          <objectPr defaultSize="0" autoPict="0" r:id="rId11">
            <anchor moveWithCells="1" sizeWithCells="1">
              <from>
                <xdr:col>37</xdr:col>
                <xdr:colOff>57150</xdr:colOff>
                <xdr:row>8</xdr:row>
                <xdr:rowOff>0</xdr:rowOff>
              </from>
              <to>
                <xdr:col>37</xdr:col>
                <xdr:colOff>247650</xdr:colOff>
                <xdr:row>9</xdr:row>
                <xdr:rowOff>0</xdr:rowOff>
              </to>
            </anchor>
          </objectPr>
        </oleObject>
      </mc:Choice>
      <mc:Fallback>
        <oleObject progId="Equation.3" shapeId="1070" r:id="rId43"/>
      </mc:Fallback>
    </mc:AlternateContent>
    <mc:AlternateContent xmlns:mc="http://schemas.openxmlformats.org/markup-compatibility/2006">
      <mc:Choice Requires="x14">
        <oleObject progId="Equation.3" shapeId="1071" r:id="rId44">
          <objectPr defaultSize="0" autoPict="0" r:id="rId13">
            <anchor moveWithCells="1" sizeWithCells="1">
              <from>
                <xdr:col>37</xdr:col>
                <xdr:colOff>304800</xdr:colOff>
                <xdr:row>4</xdr:row>
                <xdr:rowOff>9525</xdr:rowOff>
              </from>
              <to>
                <xdr:col>37</xdr:col>
                <xdr:colOff>733425</xdr:colOff>
                <xdr:row>5</xdr:row>
                <xdr:rowOff>19050</xdr:rowOff>
              </to>
            </anchor>
          </objectPr>
        </oleObject>
      </mc:Choice>
      <mc:Fallback>
        <oleObject progId="Equation.3" shapeId="1071" r:id="rId44"/>
      </mc:Fallback>
    </mc:AlternateContent>
    <mc:AlternateContent xmlns:mc="http://schemas.openxmlformats.org/markup-compatibility/2006">
      <mc:Choice Requires="x14">
        <oleObject progId="Equation.3" shapeId="1072" r:id="rId45">
          <objectPr defaultSize="0" autoPict="0" r:id="rId15">
            <anchor moveWithCells="1" sizeWithCells="1">
              <from>
                <xdr:col>41</xdr:col>
                <xdr:colOff>0</xdr:colOff>
                <xdr:row>2</xdr:row>
                <xdr:rowOff>0</xdr:rowOff>
              </from>
              <to>
                <xdr:col>44</xdr:col>
                <xdr:colOff>0</xdr:colOff>
                <xdr:row>4</xdr:row>
                <xdr:rowOff>28575</xdr:rowOff>
              </to>
            </anchor>
          </objectPr>
        </oleObject>
      </mc:Choice>
      <mc:Fallback>
        <oleObject progId="Equation.3" shapeId="1072" r:id="rId45"/>
      </mc:Fallback>
    </mc:AlternateContent>
    <mc:AlternateContent xmlns:mc="http://schemas.openxmlformats.org/markup-compatibility/2006">
      <mc:Choice Requires="x14">
        <oleObject progId="Equation.3" shapeId="1074" r:id="rId46">
          <objectPr defaultSize="0" autoPict="0" r:id="rId47">
            <anchor moveWithCells="1" sizeWithCells="1">
              <from>
                <xdr:col>9</xdr:col>
                <xdr:colOff>19050</xdr:colOff>
                <xdr:row>92</xdr:row>
                <xdr:rowOff>0</xdr:rowOff>
              </from>
              <to>
                <xdr:col>9</xdr:col>
                <xdr:colOff>371475</xdr:colOff>
                <xdr:row>93</xdr:row>
                <xdr:rowOff>9525</xdr:rowOff>
              </to>
            </anchor>
          </objectPr>
        </oleObject>
      </mc:Choice>
      <mc:Fallback>
        <oleObject progId="Equation.3" shapeId="1074" r:id="rId46"/>
      </mc:Fallback>
    </mc:AlternateContent>
    <mc:AlternateContent xmlns:mc="http://schemas.openxmlformats.org/markup-compatibility/2006">
      <mc:Choice Requires="x14">
        <oleObject progId="Equation.3" shapeId="1075" r:id="rId48">
          <objectPr defaultSize="0" autoPict="0" r:id="rId47">
            <anchor moveWithCells="1" sizeWithCells="1">
              <from>
                <xdr:col>9</xdr:col>
                <xdr:colOff>19050</xdr:colOff>
                <xdr:row>98</xdr:row>
                <xdr:rowOff>0</xdr:rowOff>
              </from>
              <to>
                <xdr:col>9</xdr:col>
                <xdr:colOff>371475</xdr:colOff>
                <xdr:row>99</xdr:row>
                <xdr:rowOff>9525</xdr:rowOff>
              </to>
            </anchor>
          </objectPr>
        </oleObject>
      </mc:Choice>
      <mc:Fallback>
        <oleObject progId="Equation.3" shapeId="1075" r:id="rId48"/>
      </mc:Fallback>
    </mc:AlternateContent>
    <mc:AlternateContent xmlns:mc="http://schemas.openxmlformats.org/markup-compatibility/2006">
      <mc:Choice Requires="x14">
        <oleObject progId="Equation.3" shapeId="1076" r:id="rId49">
          <objectPr defaultSize="0" autoPict="0" r:id="rId47">
            <anchor moveWithCells="1" sizeWithCells="1">
              <from>
                <xdr:col>27</xdr:col>
                <xdr:colOff>19050</xdr:colOff>
                <xdr:row>98</xdr:row>
                <xdr:rowOff>0</xdr:rowOff>
              </from>
              <to>
                <xdr:col>27</xdr:col>
                <xdr:colOff>371475</xdr:colOff>
                <xdr:row>99</xdr:row>
                <xdr:rowOff>9525</xdr:rowOff>
              </to>
            </anchor>
          </objectPr>
        </oleObject>
      </mc:Choice>
      <mc:Fallback>
        <oleObject progId="Equation.3" shapeId="1076" r:id="rId49"/>
      </mc:Fallback>
    </mc:AlternateContent>
    <mc:AlternateContent xmlns:mc="http://schemas.openxmlformats.org/markup-compatibility/2006">
      <mc:Choice Requires="x14">
        <oleObject progId="Equation.3" shapeId="1077" r:id="rId50">
          <objectPr defaultSize="0" autoPict="0" r:id="rId5">
            <anchor moveWithCells="1" sizeWithCells="1">
              <from>
                <xdr:col>0</xdr:col>
                <xdr:colOff>38100</xdr:colOff>
                <xdr:row>116</xdr:row>
                <xdr:rowOff>19050</xdr:rowOff>
              </from>
              <to>
                <xdr:col>0</xdr:col>
                <xdr:colOff>190500</xdr:colOff>
                <xdr:row>117</xdr:row>
                <xdr:rowOff>9525</xdr:rowOff>
              </to>
            </anchor>
          </objectPr>
        </oleObject>
      </mc:Choice>
      <mc:Fallback>
        <oleObject progId="Equation.3" shapeId="1077" r:id="rId50"/>
      </mc:Fallback>
    </mc:AlternateContent>
    <mc:AlternateContent xmlns:mc="http://schemas.openxmlformats.org/markup-compatibility/2006">
      <mc:Choice Requires="x14">
        <oleObject progId="Equation.3" shapeId="1078" r:id="rId51">
          <objectPr defaultSize="0" autoPict="0" r:id="rId5">
            <anchor moveWithCells="1" sizeWithCells="1">
              <from>
                <xdr:col>0</xdr:col>
                <xdr:colOff>38100</xdr:colOff>
                <xdr:row>116</xdr:row>
                <xdr:rowOff>19050</xdr:rowOff>
              </from>
              <to>
                <xdr:col>0</xdr:col>
                <xdr:colOff>190500</xdr:colOff>
                <xdr:row>117</xdr:row>
                <xdr:rowOff>9525</xdr:rowOff>
              </to>
            </anchor>
          </objectPr>
        </oleObject>
      </mc:Choice>
      <mc:Fallback>
        <oleObject progId="Equation.3" shapeId="1078" r:id="rId51"/>
      </mc:Fallback>
    </mc:AlternateContent>
    <mc:AlternateContent xmlns:mc="http://schemas.openxmlformats.org/markup-compatibility/2006">
      <mc:Choice Requires="x14">
        <oleObject progId="Equation.3" shapeId="1079" r:id="rId52">
          <objectPr defaultSize="0" autoPict="0" r:id="rId5">
            <anchor moveWithCells="1" sizeWithCells="1">
              <from>
                <xdr:col>9</xdr:col>
                <xdr:colOff>38100</xdr:colOff>
                <xdr:row>116</xdr:row>
                <xdr:rowOff>19050</xdr:rowOff>
              </from>
              <to>
                <xdr:col>9</xdr:col>
                <xdr:colOff>190500</xdr:colOff>
                <xdr:row>117</xdr:row>
                <xdr:rowOff>9525</xdr:rowOff>
              </to>
            </anchor>
          </objectPr>
        </oleObject>
      </mc:Choice>
      <mc:Fallback>
        <oleObject progId="Equation.3" shapeId="1079" r:id="rId52"/>
      </mc:Fallback>
    </mc:AlternateContent>
    <mc:AlternateContent xmlns:mc="http://schemas.openxmlformats.org/markup-compatibility/2006">
      <mc:Choice Requires="x14">
        <oleObject progId="Equation.3" shapeId="1080" r:id="rId53">
          <objectPr defaultSize="0" autoPict="0" r:id="rId5">
            <anchor moveWithCells="1" sizeWithCells="1">
              <from>
                <xdr:col>9</xdr:col>
                <xdr:colOff>38100</xdr:colOff>
                <xdr:row>116</xdr:row>
                <xdr:rowOff>19050</xdr:rowOff>
              </from>
              <to>
                <xdr:col>9</xdr:col>
                <xdr:colOff>190500</xdr:colOff>
                <xdr:row>117</xdr:row>
                <xdr:rowOff>9525</xdr:rowOff>
              </to>
            </anchor>
          </objectPr>
        </oleObject>
      </mc:Choice>
      <mc:Fallback>
        <oleObject progId="Equation.3" shapeId="1080" r:id="rId53"/>
      </mc:Fallback>
    </mc:AlternateContent>
    <mc:AlternateContent xmlns:mc="http://schemas.openxmlformats.org/markup-compatibility/2006">
      <mc:Choice Requires="x14">
        <oleObject progId="Equation.3" shapeId="1081" r:id="rId54">
          <objectPr defaultSize="0" autoPict="0" r:id="rId5">
            <anchor moveWithCells="1" sizeWithCells="1">
              <from>
                <xdr:col>18</xdr:col>
                <xdr:colOff>38100</xdr:colOff>
                <xdr:row>116</xdr:row>
                <xdr:rowOff>19050</xdr:rowOff>
              </from>
              <to>
                <xdr:col>18</xdr:col>
                <xdr:colOff>190500</xdr:colOff>
                <xdr:row>117</xdr:row>
                <xdr:rowOff>9525</xdr:rowOff>
              </to>
            </anchor>
          </objectPr>
        </oleObject>
      </mc:Choice>
      <mc:Fallback>
        <oleObject progId="Equation.3" shapeId="1081" r:id="rId54"/>
      </mc:Fallback>
    </mc:AlternateContent>
    <mc:AlternateContent xmlns:mc="http://schemas.openxmlformats.org/markup-compatibility/2006">
      <mc:Choice Requires="x14">
        <oleObject progId="Equation.3" shapeId="1082" r:id="rId55">
          <objectPr defaultSize="0" autoPict="0" r:id="rId5">
            <anchor moveWithCells="1" sizeWithCells="1">
              <from>
                <xdr:col>18</xdr:col>
                <xdr:colOff>38100</xdr:colOff>
                <xdr:row>116</xdr:row>
                <xdr:rowOff>19050</xdr:rowOff>
              </from>
              <to>
                <xdr:col>18</xdr:col>
                <xdr:colOff>190500</xdr:colOff>
                <xdr:row>117</xdr:row>
                <xdr:rowOff>9525</xdr:rowOff>
              </to>
            </anchor>
          </objectPr>
        </oleObject>
      </mc:Choice>
      <mc:Fallback>
        <oleObject progId="Equation.3" shapeId="1082" r:id="rId55"/>
      </mc:Fallback>
    </mc:AlternateContent>
    <mc:AlternateContent xmlns:mc="http://schemas.openxmlformats.org/markup-compatibility/2006">
      <mc:Choice Requires="x14">
        <oleObject progId="Equation.3" shapeId="1083" r:id="rId56">
          <objectPr defaultSize="0" autoPict="0" r:id="rId5">
            <anchor moveWithCells="1" sizeWithCells="1">
              <from>
                <xdr:col>27</xdr:col>
                <xdr:colOff>38100</xdr:colOff>
                <xdr:row>116</xdr:row>
                <xdr:rowOff>19050</xdr:rowOff>
              </from>
              <to>
                <xdr:col>27</xdr:col>
                <xdr:colOff>190500</xdr:colOff>
                <xdr:row>117</xdr:row>
                <xdr:rowOff>9525</xdr:rowOff>
              </to>
            </anchor>
          </objectPr>
        </oleObject>
      </mc:Choice>
      <mc:Fallback>
        <oleObject progId="Equation.3" shapeId="1083" r:id="rId56"/>
      </mc:Fallback>
    </mc:AlternateContent>
    <mc:AlternateContent xmlns:mc="http://schemas.openxmlformats.org/markup-compatibility/2006">
      <mc:Choice Requires="x14">
        <oleObject progId="Equation.3" shapeId="1084" r:id="rId57">
          <objectPr defaultSize="0" autoPict="0" r:id="rId5">
            <anchor moveWithCells="1" sizeWithCells="1">
              <from>
                <xdr:col>27</xdr:col>
                <xdr:colOff>38100</xdr:colOff>
                <xdr:row>116</xdr:row>
                <xdr:rowOff>19050</xdr:rowOff>
              </from>
              <to>
                <xdr:col>27</xdr:col>
                <xdr:colOff>190500</xdr:colOff>
                <xdr:row>117</xdr:row>
                <xdr:rowOff>9525</xdr:rowOff>
              </to>
            </anchor>
          </objectPr>
        </oleObject>
      </mc:Choice>
      <mc:Fallback>
        <oleObject progId="Equation.3" shapeId="1084" r:id="rId57"/>
      </mc:Fallback>
    </mc:AlternateContent>
    <mc:AlternateContent xmlns:mc="http://schemas.openxmlformats.org/markup-compatibility/2006">
      <mc:Choice Requires="x14">
        <oleObject progId="Equation.3" shapeId="1085" r:id="rId58">
          <objectPr defaultSize="0" autoPict="0" r:id="rId5">
            <anchor moveWithCells="1" sizeWithCells="1">
              <from>
                <xdr:col>37</xdr:col>
                <xdr:colOff>38100</xdr:colOff>
                <xdr:row>116</xdr:row>
                <xdr:rowOff>19050</xdr:rowOff>
              </from>
              <to>
                <xdr:col>37</xdr:col>
                <xdr:colOff>190500</xdr:colOff>
                <xdr:row>117</xdr:row>
                <xdr:rowOff>9525</xdr:rowOff>
              </to>
            </anchor>
          </objectPr>
        </oleObject>
      </mc:Choice>
      <mc:Fallback>
        <oleObject progId="Equation.3" shapeId="1085" r:id="rId58"/>
      </mc:Fallback>
    </mc:AlternateContent>
    <mc:AlternateContent xmlns:mc="http://schemas.openxmlformats.org/markup-compatibility/2006">
      <mc:Choice Requires="x14">
        <oleObject progId="Equation.3" shapeId="1086" r:id="rId59">
          <objectPr defaultSize="0" autoPict="0" r:id="rId5">
            <anchor moveWithCells="1" sizeWithCells="1">
              <from>
                <xdr:col>37</xdr:col>
                <xdr:colOff>38100</xdr:colOff>
                <xdr:row>116</xdr:row>
                <xdr:rowOff>19050</xdr:rowOff>
              </from>
              <to>
                <xdr:col>37</xdr:col>
                <xdr:colOff>190500</xdr:colOff>
                <xdr:row>117</xdr:row>
                <xdr:rowOff>9525</xdr:rowOff>
              </to>
            </anchor>
          </objectPr>
        </oleObject>
      </mc:Choice>
      <mc:Fallback>
        <oleObject progId="Equation.3" shapeId="1086" r:id="rId59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73"/>
  <sheetViews>
    <sheetView topLeftCell="A69" workbookViewId="0">
      <selection activeCell="H12" sqref="H12"/>
    </sheetView>
  </sheetViews>
  <sheetFormatPr defaultRowHeight="15" x14ac:dyDescent="0.25"/>
  <cols>
    <col min="1" max="1" width="20" customWidth="1"/>
    <col min="10" max="10" width="21.42578125" customWidth="1"/>
    <col min="11" max="11" width="19.42578125" customWidth="1"/>
    <col min="12" max="12" width="17.85546875" customWidth="1"/>
  </cols>
  <sheetData>
    <row r="1" spans="1:17" ht="18" customHeight="1" x14ac:dyDescent="0.25">
      <c r="A1" s="1" t="s">
        <v>0</v>
      </c>
      <c r="B1" s="2" t="s">
        <v>168</v>
      </c>
      <c r="C1" s="2"/>
      <c r="D1" s="2"/>
      <c r="E1" s="2"/>
      <c r="F1" s="2"/>
      <c r="G1" s="2"/>
      <c r="H1" s="2"/>
      <c r="I1" s="3"/>
      <c r="J1" s="210" t="s">
        <v>293</v>
      </c>
      <c r="K1" s="54"/>
      <c r="L1" s="54"/>
      <c r="M1" s="54"/>
      <c r="N1" s="54"/>
      <c r="O1" s="54"/>
    </row>
    <row r="2" spans="1:17" ht="18" customHeight="1" x14ac:dyDescent="0.25">
      <c r="A2" s="18" t="s">
        <v>5</v>
      </c>
      <c r="B2" s="207">
        <v>9.9911600000000007</v>
      </c>
      <c r="C2" s="207">
        <v>9.9911600000000007</v>
      </c>
      <c r="D2" s="207">
        <v>9.9911600000000007</v>
      </c>
      <c r="E2" s="207">
        <v>9.9911600000000007</v>
      </c>
      <c r="F2" s="207">
        <v>9.9911600000000007</v>
      </c>
      <c r="G2" s="208"/>
      <c r="H2" s="209"/>
      <c r="I2" s="4"/>
      <c r="K2" s="500" t="s">
        <v>49</v>
      </c>
      <c r="L2" s="501"/>
      <c r="M2" s="502"/>
      <c r="N2" s="503" t="s">
        <v>50</v>
      </c>
      <c r="O2" s="504"/>
      <c r="P2" s="500" t="s">
        <v>51</v>
      </c>
      <c r="Q2" s="502"/>
    </row>
    <row r="3" spans="1:17" ht="18" customHeight="1" x14ac:dyDescent="0.25">
      <c r="A3" s="20" t="s">
        <v>6</v>
      </c>
      <c r="B3" s="21">
        <v>2.2000000000000001E-4</v>
      </c>
      <c r="C3" s="21">
        <f>B3</f>
        <v>2.2000000000000001E-4</v>
      </c>
      <c r="D3" s="21">
        <f t="shared" ref="D3:F3" si="0">C3</f>
        <v>2.2000000000000001E-4</v>
      </c>
      <c r="E3" s="21">
        <f t="shared" si="0"/>
        <v>2.2000000000000001E-4</v>
      </c>
      <c r="F3" s="21">
        <f t="shared" si="0"/>
        <v>2.2000000000000001E-4</v>
      </c>
      <c r="G3" s="86"/>
      <c r="H3" s="86"/>
      <c r="I3" s="13"/>
      <c r="J3" s="13"/>
      <c r="K3" s="94" t="s">
        <v>52</v>
      </c>
      <c r="L3" s="95" t="s">
        <v>53</v>
      </c>
      <c r="M3" s="96" t="s">
        <v>54</v>
      </c>
      <c r="N3" s="4" t="s">
        <v>55</v>
      </c>
      <c r="O3" s="8" t="s">
        <v>56</v>
      </c>
      <c r="P3" s="95" t="s">
        <v>52</v>
      </c>
      <c r="Q3" s="96" t="s">
        <v>53</v>
      </c>
    </row>
    <row r="4" spans="1:17" ht="18" customHeight="1" x14ac:dyDescent="0.25">
      <c r="A4" s="20" t="s">
        <v>7</v>
      </c>
      <c r="B4" s="23">
        <f t="shared" ref="B4:C4" si="1">B3/B2</f>
        <v>2.2019465207243201E-5</v>
      </c>
      <c r="C4" s="23">
        <f t="shared" si="1"/>
        <v>2.2019465207243201E-5</v>
      </c>
      <c r="D4" s="23">
        <f>D3/D2</f>
        <v>2.2019465207243201E-5</v>
      </c>
      <c r="E4" s="23">
        <f>E3/E2</f>
        <v>2.2019465207243201E-5</v>
      </c>
      <c r="F4" s="23">
        <f>F3/F2</f>
        <v>2.2019465207243201E-5</v>
      </c>
      <c r="G4" s="87"/>
      <c r="H4" s="87"/>
      <c r="I4" s="13"/>
      <c r="K4" s="99">
        <v>4</v>
      </c>
      <c r="L4" s="100">
        <v>2.7759999999999998</v>
      </c>
      <c r="M4" s="100">
        <v>4.6040000000000001</v>
      </c>
      <c r="N4">
        <v>4</v>
      </c>
      <c r="O4" s="41">
        <v>2.7759999999999998</v>
      </c>
      <c r="P4" s="97">
        <v>3</v>
      </c>
      <c r="Q4" s="101">
        <v>3.1819999999999999</v>
      </c>
    </row>
    <row r="5" spans="1:17" ht="18" customHeight="1" x14ac:dyDescent="0.25">
      <c r="A5" s="25"/>
      <c r="B5" s="88">
        <v>5</v>
      </c>
      <c r="C5" s="88">
        <f>B5</f>
        <v>5</v>
      </c>
      <c r="D5" s="88">
        <f t="shared" ref="D5:F5" si="2">C5</f>
        <v>5</v>
      </c>
      <c r="E5" s="88">
        <f t="shared" si="2"/>
        <v>5</v>
      </c>
      <c r="F5" s="88">
        <f t="shared" si="2"/>
        <v>5</v>
      </c>
      <c r="G5" s="88"/>
      <c r="H5" s="88"/>
      <c r="I5" s="30"/>
      <c r="K5" s="102">
        <v>9</v>
      </c>
      <c r="L5" s="103">
        <v>2.262</v>
      </c>
      <c r="M5" s="101">
        <v>3.25</v>
      </c>
      <c r="N5" s="4" t="s">
        <v>57</v>
      </c>
      <c r="O5" s="8" t="s">
        <v>58</v>
      </c>
      <c r="P5" s="99">
        <v>4</v>
      </c>
      <c r="Q5" s="104">
        <v>2.7759999999999998</v>
      </c>
    </row>
    <row r="6" spans="1:17" ht="18" customHeight="1" x14ac:dyDescent="0.25">
      <c r="A6" s="1" t="s">
        <v>1</v>
      </c>
      <c r="B6" s="293">
        <v>5</v>
      </c>
      <c r="C6" s="294">
        <v>10</v>
      </c>
      <c r="D6" s="293">
        <v>16</v>
      </c>
      <c r="E6" s="294">
        <v>20</v>
      </c>
      <c r="F6" s="294">
        <v>32</v>
      </c>
      <c r="G6" s="92"/>
      <c r="H6" s="58"/>
      <c r="I6" s="34"/>
      <c r="K6" s="102">
        <v>10</v>
      </c>
      <c r="L6" s="103">
        <v>2.2280000000000002</v>
      </c>
      <c r="M6" s="101">
        <v>3.169</v>
      </c>
      <c r="N6" s="31">
        <v>9</v>
      </c>
      <c r="O6" s="41">
        <v>2.262</v>
      </c>
      <c r="P6" s="97">
        <v>10</v>
      </c>
      <c r="Q6" s="101">
        <v>2.2280000000000002</v>
      </c>
    </row>
    <row r="7" spans="1:17" ht="18" customHeight="1" thickBot="1" x14ac:dyDescent="0.4">
      <c r="A7" s="4" t="s">
        <v>2</v>
      </c>
      <c r="B7" s="295">
        <v>6389</v>
      </c>
      <c r="C7" s="295">
        <v>6385</v>
      </c>
      <c r="D7" s="295">
        <v>6382</v>
      </c>
      <c r="E7" s="295">
        <v>6378</v>
      </c>
      <c r="F7" s="295">
        <v>6375</v>
      </c>
      <c r="G7" s="105"/>
      <c r="H7" s="106"/>
      <c r="I7" s="106"/>
      <c r="K7" s="102">
        <v>12</v>
      </c>
      <c r="L7" s="103">
        <v>2.1789999999999998</v>
      </c>
      <c r="M7" s="101">
        <v>3.0550000000000002</v>
      </c>
      <c r="N7" s="4" t="s">
        <v>59</v>
      </c>
      <c r="O7" s="8" t="s">
        <v>60</v>
      </c>
      <c r="P7" s="98">
        <v>11</v>
      </c>
      <c r="Q7" s="101">
        <v>2.2040000000000002</v>
      </c>
    </row>
    <row r="8" spans="1:17" ht="18" customHeight="1" thickBot="1" x14ac:dyDescent="0.4">
      <c r="A8" s="13" t="s">
        <v>3</v>
      </c>
      <c r="B8" s="12">
        <f>B7/1000</f>
        <v>6.3890000000000002</v>
      </c>
      <c r="C8" s="12">
        <f t="shared" ref="C8:F8" si="3">C7/1000</f>
        <v>6.3849999999999998</v>
      </c>
      <c r="D8" s="12">
        <f t="shared" si="3"/>
        <v>6.3819999999999997</v>
      </c>
      <c r="E8" s="12">
        <f t="shared" si="3"/>
        <v>6.3780000000000001</v>
      </c>
      <c r="F8" s="12">
        <f t="shared" si="3"/>
        <v>6.375</v>
      </c>
      <c r="G8" s="211"/>
      <c r="H8" s="97"/>
      <c r="I8" s="98"/>
      <c r="K8" s="102">
        <v>14</v>
      </c>
      <c r="L8" s="103">
        <v>2.145</v>
      </c>
      <c r="M8" s="101">
        <v>2.9769999999999999</v>
      </c>
      <c r="N8" s="41">
        <v>8</v>
      </c>
      <c r="O8" s="107">
        <f>O4-(O4-O6)/(N6-N4)*(N8-N4)</f>
        <v>2.3647999999999998</v>
      </c>
      <c r="P8" s="97">
        <v>12</v>
      </c>
      <c r="Q8" s="101">
        <v>2.1789999999999998</v>
      </c>
    </row>
    <row r="9" spans="1:17" ht="18" customHeight="1" x14ac:dyDescent="0.25">
      <c r="A9" s="14" t="s">
        <v>4</v>
      </c>
      <c r="B9" s="15">
        <v>1</v>
      </c>
      <c r="C9" s="15">
        <v>1</v>
      </c>
      <c r="D9" s="15">
        <v>1</v>
      </c>
      <c r="E9" s="15">
        <v>1</v>
      </c>
      <c r="F9" s="15">
        <v>1</v>
      </c>
      <c r="G9" s="15"/>
      <c r="H9" s="31"/>
      <c r="I9" s="31"/>
      <c r="K9" s="102">
        <v>16</v>
      </c>
      <c r="L9" s="108">
        <v>2.12</v>
      </c>
      <c r="M9" s="103">
        <v>2.9209999999999998</v>
      </c>
      <c r="N9" s="505" t="s">
        <v>61</v>
      </c>
      <c r="O9" s="506"/>
      <c r="P9" s="98">
        <v>13</v>
      </c>
      <c r="Q9" s="109">
        <v>2.1619999999999999</v>
      </c>
    </row>
    <row r="10" spans="1:17" ht="18" customHeight="1" x14ac:dyDescent="0.25">
      <c r="A10" s="110" t="s">
        <v>62</v>
      </c>
      <c r="B10" s="98">
        <v>1</v>
      </c>
      <c r="C10" s="98">
        <v>1</v>
      </c>
      <c r="D10" s="98">
        <v>1</v>
      </c>
      <c r="E10" s="98">
        <v>1</v>
      </c>
      <c r="F10" s="98">
        <v>1</v>
      </c>
      <c r="G10" s="98">
        <v>1</v>
      </c>
      <c r="H10" s="98">
        <v>1</v>
      </c>
      <c r="I10" s="98">
        <v>1</v>
      </c>
      <c r="K10" s="102">
        <v>18</v>
      </c>
      <c r="L10" s="103">
        <v>2.101</v>
      </c>
      <c r="M10" s="103">
        <v>2.8780000000000001</v>
      </c>
      <c r="N10" s="83" t="s">
        <v>63</v>
      </c>
      <c r="O10" s="5" t="s">
        <v>64</v>
      </c>
      <c r="P10" s="97">
        <v>14</v>
      </c>
      <c r="Q10" s="101">
        <v>2.145</v>
      </c>
    </row>
    <row r="11" spans="1:17" ht="18" customHeight="1" x14ac:dyDescent="0.25">
      <c r="A11" s="111" t="s">
        <v>65</v>
      </c>
      <c r="B11" s="461">
        <v>1.1741590142958307</v>
      </c>
      <c r="C11" s="462">
        <v>2.6055346271417101</v>
      </c>
      <c r="D11" s="463">
        <v>5.0152921852521013</v>
      </c>
      <c r="E11" s="462">
        <v>7.9439292344226002</v>
      </c>
      <c r="F11" s="478">
        <v>11.494923118503923</v>
      </c>
      <c r="G11" s="113"/>
      <c r="H11" s="112"/>
      <c r="I11" s="311">
        <v>11.494923118503923</v>
      </c>
      <c r="J11" s="449" t="s">
        <v>294</v>
      </c>
      <c r="K11" s="102">
        <v>20</v>
      </c>
      <c r="L11" s="103">
        <v>2.0859999999999999</v>
      </c>
      <c r="M11" s="103">
        <v>2.8450000000000002</v>
      </c>
      <c r="N11" s="115">
        <v>1.1000000000000001</v>
      </c>
      <c r="O11" s="116">
        <v>1.4</v>
      </c>
      <c r="P11" s="98">
        <v>15</v>
      </c>
      <c r="Q11" s="109">
        <v>2.133</v>
      </c>
    </row>
    <row r="12" spans="1:17" ht="18" customHeight="1" x14ac:dyDescent="0.25">
      <c r="A12" s="35"/>
      <c r="B12" s="464">
        <v>1.1595179637487936</v>
      </c>
      <c r="C12" s="465">
        <v>2.6112332880238496</v>
      </c>
      <c r="D12" s="466">
        <v>5.0874913006709885</v>
      </c>
      <c r="E12" s="465">
        <v>7.7004353638892553</v>
      </c>
      <c r="F12" s="479">
        <v>12.39150101819806</v>
      </c>
      <c r="G12" s="121"/>
      <c r="H12" s="120"/>
      <c r="I12" s="455">
        <v>14.188803084467594</v>
      </c>
      <c r="J12" t="s">
        <v>288</v>
      </c>
      <c r="K12" s="16">
        <v>22</v>
      </c>
      <c r="L12" s="103">
        <v>2.0739999999999998</v>
      </c>
      <c r="M12" s="103">
        <v>2.819</v>
      </c>
      <c r="N12" s="74"/>
      <c r="O12" s="122"/>
      <c r="P12" s="97">
        <v>16</v>
      </c>
      <c r="Q12" s="123">
        <v>2.12</v>
      </c>
    </row>
    <row r="13" spans="1:17" ht="18" customHeight="1" x14ac:dyDescent="0.25">
      <c r="A13" s="35"/>
      <c r="B13" s="464">
        <v>1.1844302123185448</v>
      </c>
      <c r="C13" s="465">
        <v>2.6936960542260437</v>
      </c>
      <c r="D13" s="466">
        <v>4.9919684075266559</v>
      </c>
      <c r="E13" s="465">
        <v>8.107322751392358</v>
      </c>
      <c r="F13" s="480">
        <v>11.80069725325696</v>
      </c>
      <c r="G13" s="121"/>
      <c r="H13" s="120"/>
      <c r="I13" s="311">
        <v>11.80069725325696</v>
      </c>
      <c r="K13" s="97">
        <v>26</v>
      </c>
      <c r="L13" s="108">
        <v>2.056</v>
      </c>
      <c r="M13" s="108">
        <v>2.7789999999999999</v>
      </c>
      <c r="N13" s="74"/>
      <c r="O13" s="122"/>
      <c r="P13" s="98">
        <v>17</v>
      </c>
      <c r="Q13" s="109">
        <v>2.1110000000000002</v>
      </c>
    </row>
    <row r="14" spans="1:17" ht="18" customHeight="1" x14ac:dyDescent="0.25">
      <c r="A14" s="35"/>
      <c r="B14" s="464">
        <v>1.1607293639746881</v>
      </c>
      <c r="C14" s="465">
        <v>2.5936813006609949</v>
      </c>
      <c r="D14" s="466">
        <v>5.2688998360117871</v>
      </c>
      <c r="E14" s="465">
        <v>8.481433781853676</v>
      </c>
      <c r="F14" s="480">
        <v>11.552198717124366</v>
      </c>
      <c r="G14" s="121"/>
      <c r="H14" s="120"/>
      <c r="I14" s="311">
        <v>11.552198717124366</v>
      </c>
      <c r="K14" s="97">
        <v>28</v>
      </c>
      <c r="L14" s="108">
        <v>2.048</v>
      </c>
      <c r="M14" s="108">
        <v>2.7629999999999999</v>
      </c>
      <c r="N14" s="74"/>
      <c r="O14" s="122"/>
      <c r="P14" s="97">
        <v>18</v>
      </c>
      <c r="Q14" s="101">
        <v>2.101</v>
      </c>
    </row>
    <row r="15" spans="1:17" ht="18" customHeight="1" x14ac:dyDescent="0.25">
      <c r="A15" s="35"/>
      <c r="B15" s="464">
        <v>1.1559427896500496</v>
      </c>
      <c r="C15" s="465">
        <v>2.6204277740327004</v>
      </c>
      <c r="D15" s="466">
        <v>5.5414577896322026</v>
      </c>
      <c r="E15" s="465">
        <v>7.2114413311677756</v>
      </c>
      <c r="F15" s="479">
        <v>12.350522351900281</v>
      </c>
      <c r="G15" s="121"/>
      <c r="H15" s="120"/>
      <c r="I15" s="455">
        <v>9.7554441119050548</v>
      </c>
      <c r="J15" t="s">
        <v>289</v>
      </c>
      <c r="K15" s="97">
        <v>30</v>
      </c>
      <c r="L15" s="108">
        <v>2.0419999999999998</v>
      </c>
      <c r="M15" s="108">
        <v>2.75</v>
      </c>
      <c r="N15" s="74"/>
      <c r="P15" s="98">
        <v>19</v>
      </c>
      <c r="Q15" s="109">
        <v>2.0939999999999999</v>
      </c>
    </row>
    <row r="16" spans="1:17" ht="18" customHeight="1" x14ac:dyDescent="0.25">
      <c r="A16" s="124"/>
      <c r="B16" s="464">
        <v>1.1788622230573309</v>
      </c>
      <c r="C16" s="465">
        <v>2.6196993612580464</v>
      </c>
      <c r="D16" s="466">
        <v>5.1238794897488971</v>
      </c>
      <c r="E16" s="465">
        <v>7.6386951570835038</v>
      </c>
      <c r="F16" s="480">
        <v>10.669067884384145</v>
      </c>
      <c r="G16" s="121"/>
      <c r="H16" s="120"/>
      <c r="I16" s="311">
        <v>10.669067884384145</v>
      </c>
      <c r="K16" s="97">
        <v>40</v>
      </c>
      <c r="L16" s="108">
        <v>2.02</v>
      </c>
      <c r="M16" s="108">
        <v>2.7</v>
      </c>
      <c r="N16" s="74"/>
      <c r="O16" s="122"/>
      <c r="P16" s="97">
        <v>20</v>
      </c>
      <c r="Q16" s="101">
        <v>2.0859999999999999</v>
      </c>
    </row>
    <row r="17" spans="1:20" ht="18" customHeight="1" x14ac:dyDescent="0.25">
      <c r="A17" s="35"/>
      <c r="B17" s="464">
        <v>1.1737166414869404</v>
      </c>
      <c r="C17" s="465">
        <v>2.6157906104222879</v>
      </c>
      <c r="D17" s="466">
        <v>5.1858689267423266</v>
      </c>
      <c r="E17" s="465">
        <v>7.9097337627452218</v>
      </c>
      <c r="F17" s="480">
        <v>13.191126760429237</v>
      </c>
      <c r="G17" s="121"/>
      <c r="H17" s="120"/>
      <c r="I17" s="311">
        <v>13.191126760429237</v>
      </c>
      <c r="K17" s="97">
        <v>60</v>
      </c>
      <c r="L17" s="108">
        <v>2</v>
      </c>
      <c r="M17" s="108">
        <v>2.66</v>
      </c>
      <c r="N17" s="74"/>
      <c r="O17" s="122"/>
      <c r="P17" s="98">
        <v>21</v>
      </c>
      <c r="Q17" s="109">
        <v>2.08</v>
      </c>
    </row>
    <row r="18" spans="1:20" ht="18" customHeight="1" x14ac:dyDescent="0.25">
      <c r="A18" s="35"/>
      <c r="B18" s="464"/>
      <c r="C18" s="465"/>
      <c r="D18" s="466"/>
      <c r="E18" s="465"/>
      <c r="F18" s="465"/>
      <c r="G18" s="125"/>
      <c r="H18" s="120"/>
      <c r="I18" s="456">
        <v>12.39150101819806</v>
      </c>
      <c r="J18" s="141" t="s">
        <v>287</v>
      </c>
      <c r="K18" s="98">
        <v>120</v>
      </c>
      <c r="L18" s="123">
        <v>1.98</v>
      </c>
      <c r="M18" s="108">
        <v>2.62</v>
      </c>
      <c r="N18" s="74"/>
      <c r="O18" s="122"/>
      <c r="P18" s="98">
        <v>22</v>
      </c>
      <c r="Q18" s="101">
        <v>2.0739999999999998</v>
      </c>
    </row>
    <row r="19" spans="1:20" ht="18" customHeight="1" x14ac:dyDescent="0.25">
      <c r="A19" s="124"/>
      <c r="B19" s="464"/>
      <c r="C19" s="465"/>
      <c r="D19" s="466"/>
      <c r="E19" s="465"/>
      <c r="F19" s="465"/>
      <c r="G19" s="125"/>
      <c r="H19" s="120"/>
      <c r="I19" s="311">
        <v>10.915816683873889</v>
      </c>
      <c r="J19" s="43"/>
      <c r="K19" s="88" t="s">
        <v>66</v>
      </c>
      <c r="L19" s="126">
        <v>1.96</v>
      </c>
      <c r="M19" s="127">
        <v>2.5760000000000001</v>
      </c>
      <c r="N19" s="74"/>
      <c r="O19" s="122"/>
      <c r="P19" s="98">
        <v>23</v>
      </c>
      <c r="Q19" s="109">
        <v>2.0699999999999998</v>
      </c>
    </row>
    <row r="20" spans="1:20" ht="18" customHeight="1" x14ac:dyDescent="0.25">
      <c r="A20" s="35"/>
      <c r="B20" s="464"/>
      <c r="C20" s="465"/>
      <c r="D20" s="466"/>
      <c r="E20" s="465"/>
      <c r="F20" s="465"/>
      <c r="G20" s="125"/>
      <c r="H20" s="120"/>
      <c r="I20" s="311">
        <v>12.255883012388963</v>
      </c>
      <c r="J20" s="43"/>
      <c r="P20" s="98">
        <v>24</v>
      </c>
      <c r="Q20" s="109">
        <v>2.0649999999999999</v>
      </c>
    </row>
    <row r="21" spans="1:20" ht="18" customHeight="1" x14ac:dyDescent="0.25">
      <c r="A21" s="35"/>
      <c r="B21" s="464"/>
      <c r="C21" s="465"/>
      <c r="D21" s="466"/>
      <c r="E21" s="465"/>
      <c r="F21" s="465"/>
      <c r="G21" s="125"/>
      <c r="H21" s="120"/>
      <c r="I21" s="457">
        <v>12.350522351900281</v>
      </c>
      <c r="M21" s="128"/>
      <c r="P21" s="98">
        <v>25</v>
      </c>
      <c r="Q21" s="109">
        <v>2.0609999999999999</v>
      </c>
    </row>
    <row r="22" spans="1:20" ht="18" customHeight="1" x14ac:dyDescent="0.3">
      <c r="A22" s="124"/>
      <c r="B22" s="129"/>
      <c r="C22" s="130"/>
      <c r="D22" s="131"/>
      <c r="E22" s="130"/>
      <c r="F22" s="85"/>
      <c r="G22" s="132"/>
      <c r="H22" s="85"/>
      <c r="I22" s="268">
        <v>11.869634908766587</v>
      </c>
      <c r="J22" t="s">
        <v>203</v>
      </c>
      <c r="N22" s="133"/>
      <c r="P22" s="97">
        <v>26</v>
      </c>
      <c r="Q22" s="123">
        <v>2.056</v>
      </c>
    </row>
    <row r="23" spans="1:20" ht="18" customHeight="1" x14ac:dyDescent="0.25">
      <c r="A23" s="35"/>
      <c r="B23" s="129"/>
      <c r="C23" s="130"/>
      <c r="D23" s="131"/>
      <c r="E23" s="130"/>
      <c r="F23" s="85"/>
      <c r="G23" s="132"/>
      <c r="H23" s="85"/>
      <c r="I23" s="12"/>
      <c r="M23" s="47"/>
      <c r="P23" s="97">
        <v>27</v>
      </c>
      <c r="Q23" s="109">
        <v>2.052</v>
      </c>
    </row>
    <row r="24" spans="1:20" ht="18" customHeight="1" x14ac:dyDescent="0.25">
      <c r="A24" s="35"/>
      <c r="B24" s="129"/>
      <c r="C24" s="130"/>
      <c r="D24" s="131"/>
      <c r="E24" s="130"/>
      <c r="F24" s="85"/>
      <c r="G24" s="132"/>
      <c r="H24" s="85"/>
      <c r="I24" s="12"/>
      <c r="P24" s="98">
        <v>28</v>
      </c>
      <c r="Q24" s="123">
        <v>2.048</v>
      </c>
    </row>
    <row r="25" spans="1:20" ht="18" customHeight="1" x14ac:dyDescent="0.25">
      <c r="A25" s="124"/>
      <c r="B25" s="129"/>
      <c r="C25" s="130"/>
      <c r="D25" s="131"/>
      <c r="E25" s="130"/>
      <c r="F25" s="85"/>
      <c r="G25" s="132"/>
      <c r="H25" s="85"/>
      <c r="I25" s="85"/>
      <c r="J25" s="134"/>
      <c r="K25" s="477"/>
      <c r="P25" s="32">
        <v>29</v>
      </c>
      <c r="Q25" s="135">
        <v>2.0449999999999999</v>
      </c>
    </row>
    <row r="26" spans="1:20" ht="18" customHeight="1" x14ac:dyDescent="0.25">
      <c r="A26" s="41"/>
      <c r="B26" s="251"/>
      <c r="C26" s="252"/>
      <c r="D26" s="253"/>
      <c r="E26" s="252"/>
      <c r="F26" s="254"/>
      <c r="G26" s="255"/>
      <c r="H26" s="254"/>
      <c r="I26" s="254"/>
      <c r="J26" s="134"/>
      <c r="L26" s="52"/>
      <c r="Q26" s="74"/>
      <c r="T26" s="43"/>
    </row>
    <row r="27" spans="1:20" ht="18" customHeight="1" x14ac:dyDescent="0.25">
      <c r="A27" s="124" t="s">
        <v>67</v>
      </c>
      <c r="B27" s="136">
        <f>AVERAGE(B11:B26)</f>
        <v>1.1696226012188828</v>
      </c>
      <c r="C27" s="136">
        <f>AVERAGE(C11:C26)</f>
        <v>2.6228661451093762</v>
      </c>
      <c r="D27" s="136">
        <f>AVERAGE(D11:D26)</f>
        <v>5.1735511336549944</v>
      </c>
      <c r="E27" s="136">
        <f>AVERAGE(E11:E26)</f>
        <v>7.8561416260791983</v>
      </c>
      <c r="F27" s="136">
        <f>AVERAGE(F11:F26)</f>
        <v>11.921433871970999</v>
      </c>
      <c r="G27" s="136"/>
      <c r="H27" s="137"/>
      <c r="I27" s="108"/>
      <c r="J27" s="134"/>
      <c r="L27" s="52"/>
      <c r="M27" s="52"/>
      <c r="N27" s="52"/>
      <c r="O27" s="52"/>
      <c r="P27" s="52"/>
      <c r="Q27" s="76"/>
      <c r="T27" s="43"/>
    </row>
    <row r="28" spans="1:20" ht="18" customHeight="1" x14ac:dyDescent="0.35">
      <c r="A28" s="141" t="s">
        <v>69</v>
      </c>
      <c r="B28" s="102">
        <f>DCOUNT(B10:B26,"1",B10:B26)</f>
        <v>7</v>
      </c>
      <c r="C28" s="102">
        <f>DCOUNT(C10:C26,"1",C10:C26)</f>
        <v>7</v>
      </c>
      <c r="D28" s="102">
        <f>DCOUNT(D10:D26,"1",D10:D26)</f>
        <v>7</v>
      </c>
      <c r="E28" s="102">
        <f>DCOUNT(E10:E26,"1",E10:E26)</f>
        <v>7</v>
      </c>
      <c r="F28" s="102">
        <f>DCOUNT(F10:F26,"1",F10:F26)</f>
        <v>7</v>
      </c>
      <c r="G28" s="102"/>
      <c r="H28" s="102"/>
      <c r="I28" s="97"/>
      <c r="J28" s="134"/>
      <c r="L28" s="52"/>
      <c r="M28" s="52"/>
      <c r="N28" s="52"/>
      <c r="O28" s="52"/>
      <c r="P28" s="52"/>
      <c r="Q28" s="76"/>
    </row>
    <row r="29" spans="1:20" ht="18" customHeight="1" x14ac:dyDescent="0.25">
      <c r="A29" s="124" t="s">
        <v>72</v>
      </c>
      <c r="B29" s="467">
        <v>5.6000000000000001E-2</v>
      </c>
      <c r="C29" s="467">
        <v>8.3000000000000004E-2</v>
      </c>
      <c r="D29" s="467">
        <v>6.6000000000000003E-2</v>
      </c>
      <c r="E29" s="467">
        <v>9.0999999999999998E-2</v>
      </c>
      <c r="F29" s="467">
        <f>IF(STDEV(F11:F26)/SQRT(F28)&lt;10^(-7),0,STDEV(F11:F26)/SQRT(F28))</f>
        <v>0.30544440679318324</v>
      </c>
      <c r="G29" s="467"/>
      <c r="H29" s="467"/>
      <c r="I29" s="468"/>
      <c r="J29" s="469" t="s">
        <v>300</v>
      </c>
      <c r="K29" s="470"/>
      <c r="L29" s="288"/>
      <c r="M29" s="139" t="s">
        <v>68</v>
      </c>
      <c r="N29" s="6"/>
      <c r="O29" s="6"/>
      <c r="P29" s="139"/>
      <c r="Q29" s="139"/>
      <c r="R29" s="140"/>
      <c r="S29" s="35"/>
      <c r="T29" s="36"/>
    </row>
    <row r="30" spans="1:20" ht="18" customHeight="1" x14ac:dyDescent="0.25">
      <c r="A30" s="145" t="s">
        <v>7</v>
      </c>
      <c r="B30" s="146">
        <f>B29/B27</f>
        <v>4.7878691760608494E-2</v>
      </c>
      <c r="C30" s="146">
        <f t="shared" ref="C30:F30" si="4">C29/C27</f>
        <v>3.1644771562118285E-2</v>
      </c>
      <c r="D30" s="146">
        <f t="shared" si="4"/>
        <v>1.2757194873489639E-2</v>
      </c>
      <c r="E30" s="146">
        <f t="shared" si="4"/>
        <v>1.1583294234146311E-2</v>
      </c>
      <c r="F30" s="146">
        <f t="shared" si="4"/>
        <v>2.5621448734562614E-2</v>
      </c>
      <c r="G30" s="146"/>
      <c r="H30" s="146"/>
      <c r="I30" s="147"/>
      <c r="J30" s="134"/>
      <c r="L30" s="83" t="s">
        <v>70</v>
      </c>
      <c r="M30" s="138" t="s">
        <v>71</v>
      </c>
      <c r="N30" s="139"/>
      <c r="O30" s="139"/>
      <c r="P30" s="139"/>
      <c r="Q30" s="6"/>
      <c r="R30" s="231"/>
      <c r="S30" s="36"/>
      <c r="T30" s="36"/>
    </row>
    <row r="31" spans="1:20" ht="18" customHeight="1" x14ac:dyDescent="0.25">
      <c r="A31" s="40" t="s">
        <v>18</v>
      </c>
      <c r="B31" s="296">
        <v>2</v>
      </c>
      <c r="C31" s="296">
        <v>2</v>
      </c>
      <c r="D31" s="296">
        <v>2</v>
      </c>
      <c r="E31" s="296">
        <v>2</v>
      </c>
      <c r="F31" s="296">
        <v>1</v>
      </c>
      <c r="G31" s="106"/>
      <c r="H31" s="106"/>
      <c r="I31" s="106"/>
      <c r="J31" s="470" t="s">
        <v>291</v>
      </c>
      <c r="K31" s="470"/>
      <c r="L31" s="1" t="s">
        <v>1</v>
      </c>
      <c r="M31" s="260">
        <v>5</v>
      </c>
      <c r="N31" s="92">
        <v>10</v>
      </c>
      <c r="O31" s="261">
        <v>16</v>
      </c>
      <c r="P31" s="262">
        <v>20</v>
      </c>
      <c r="Q31" s="92">
        <v>32</v>
      </c>
      <c r="R31" s="34"/>
      <c r="S31" s="74"/>
      <c r="T31" s="74"/>
    </row>
    <row r="32" spans="1:20" ht="18" customHeight="1" x14ac:dyDescent="0.25">
      <c r="A32" s="152" t="s">
        <v>19</v>
      </c>
      <c r="B32" s="297">
        <v>4</v>
      </c>
      <c r="C32" s="297">
        <v>4</v>
      </c>
      <c r="D32" s="297">
        <v>4</v>
      </c>
      <c r="E32" s="297">
        <v>4</v>
      </c>
      <c r="F32" s="297">
        <v>2</v>
      </c>
      <c r="G32" s="153"/>
      <c r="H32" s="153"/>
      <c r="I32" s="153"/>
      <c r="L32" s="4" t="s">
        <v>73</v>
      </c>
      <c r="M32" s="148">
        <f>B2</f>
        <v>9.9911600000000007</v>
      </c>
      <c r="N32" s="148">
        <f>M32</f>
        <v>9.9911600000000007</v>
      </c>
      <c r="O32" s="148">
        <f t="shared" ref="O32:Q33" si="5">N32</f>
        <v>9.9911600000000007</v>
      </c>
      <c r="P32" s="148">
        <f t="shared" si="5"/>
        <v>9.9911600000000007</v>
      </c>
      <c r="Q32" s="148">
        <f t="shared" si="5"/>
        <v>9.9911600000000007</v>
      </c>
      <c r="R32" s="232"/>
      <c r="S32" s="214"/>
      <c r="T32" s="214"/>
    </row>
    <row r="33" spans="1:20" ht="18" customHeight="1" x14ac:dyDescent="0.25">
      <c r="A33" s="40" t="s">
        <v>8</v>
      </c>
      <c r="B33" s="136">
        <f>B27/2/(B2/1000)/(B32-B31)</f>
        <v>29.266436560391455</v>
      </c>
      <c r="C33" s="136">
        <f t="shared" ref="C33:F33" si="6">C27/2/(C2/1000)/(C32-C31)</f>
        <v>65.629670256240914</v>
      </c>
      <c r="D33" s="136">
        <f t="shared" si="6"/>
        <v>129.4532149834202</v>
      </c>
      <c r="E33" s="136">
        <f t="shared" si="6"/>
        <v>196.57731499843857</v>
      </c>
      <c r="F33" s="136">
        <f t="shared" si="6"/>
        <v>596.59908719162729</v>
      </c>
      <c r="G33" s="136"/>
      <c r="H33" s="136"/>
      <c r="I33" s="136"/>
      <c r="J33" t="s">
        <v>80</v>
      </c>
      <c r="L33" s="13" t="s">
        <v>74</v>
      </c>
      <c r="M33" s="13">
        <v>98</v>
      </c>
      <c r="N33" s="13">
        <f>M33</f>
        <v>98</v>
      </c>
      <c r="O33" s="13">
        <f t="shared" si="5"/>
        <v>98</v>
      </c>
      <c r="P33" s="13">
        <f t="shared" si="5"/>
        <v>98</v>
      </c>
      <c r="Q33" s="13">
        <f t="shared" si="5"/>
        <v>98</v>
      </c>
      <c r="R33" s="30"/>
      <c r="S33" s="36"/>
      <c r="T33" s="36"/>
    </row>
    <row r="34" spans="1:20" ht="18" customHeight="1" x14ac:dyDescent="0.25">
      <c r="A34" s="157" t="s">
        <v>9</v>
      </c>
      <c r="B34" s="471">
        <v>0.57999999999999996</v>
      </c>
      <c r="C34" s="472">
        <v>0.39</v>
      </c>
      <c r="D34" s="473">
        <v>0.32</v>
      </c>
      <c r="E34" s="473">
        <v>0.28999999999999998</v>
      </c>
      <c r="F34" s="473">
        <v>0.15</v>
      </c>
      <c r="G34" s="473"/>
      <c r="H34" s="474"/>
      <c r="I34" s="475"/>
      <c r="J34" s="470" t="s">
        <v>295</v>
      </c>
      <c r="K34" s="470"/>
      <c r="L34" s="13" t="s">
        <v>75</v>
      </c>
      <c r="M34" s="29">
        <f>B32-B31</f>
        <v>2</v>
      </c>
      <c r="N34" s="29">
        <f>C32-C31</f>
        <v>2</v>
      </c>
      <c r="O34" s="29">
        <f>D32-D31</f>
        <v>2</v>
      </c>
      <c r="P34" s="29">
        <f>E32-E31</f>
        <v>2</v>
      </c>
      <c r="Q34" s="29">
        <f>F32-F31</f>
        <v>1</v>
      </c>
      <c r="R34" s="233"/>
      <c r="S34" s="75"/>
      <c r="T34" s="75"/>
    </row>
    <row r="35" spans="1:20" ht="18" customHeight="1" x14ac:dyDescent="0.35">
      <c r="A35" s="157" t="s">
        <v>84</v>
      </c>
      <c r="B35" s="161">
        <f>B27-B34</f>
        <v>0.58962260121888288</v>
      </c>
      <c r="C35" s="162">
        <f>C27-C34</f>
        <v>2.2328661451093761</v>
      </c>
      <c r="D35" s="162">
        <f>D27-D34</f>
        <v>4.8535511336549941</v>
      </c>
      <c r="E35" s="162">
        <f>E27-E34</f>
        <v>7.5661416260791983</v>
      </c>
      <c r="F35" s="162">
        <f>F27-F34</f>
        <v>11.771433871970999</v>
      </c>
      <c r="G35" s="162"/>
      <c r="H35" s="163"/>
      <c r="I35" s="163"/>
      <c r="J35" s="476" t="s">
        <v>301</v>
      </c>
      <c r="K35" s="470"/>
      <c r="L35" s="13" t="s">
        <v>2</v>
      </c>
      <c r="M35" s="13">
        <f>B7</f>
        <v>6389</v>
      </c>
      <c r="N35" s="13">
        <f t="shared" ref="N35:Q35" si="7">C7</f>
        <v>6385</v>
      </c>
      <c r="O35" s="13">
        <f t="shared" si="7"/>
        <v>6382</v>
      </c>
      <c r="P35" s="13">
        <f t="shared" si="7"/>
        <v>6378</v>
      </c>
      <c r="Q35" s="13">
        <f t="shared" si="7"/>
        <v>6375</v>
      </c>
      <c r="R35" s="30"/>
      <c r="S35" s="36"/>
      <c r="T35" s="36"/>
    </row>
    <row r="36" spans="1:20" ht="18" customHeight="1" x14ac:dyDescent="0.25">
      <c r="A36" s="164" t="s">
        <v>10</v>
      </c>
      <c r="B36" s="136">
        <f>(B27-B34)/2/(B2/1000)/(B32-B31)</f>
        <v>14.753607219253892</v>
      </c>
      <c r="C36" s="136">
        <f t="shared" ref="C36:F36" si="8">(C27-C34)/2/(C2/1000)/(C32-C31)</f>
        <v>55.871043630303589</v>
      </c>
      <c r="D36" s="136">
        <f t="shared" si="8"/>
        <v>121.44613672624084</v>
      </c>
      <c r="E36" s="136">
        <f t="shared" si="8"/>
        <v>189.32090032786979</v>
      </c>
      <c r="F36" s="136">
        <f t="shared" si="8"/>
        <v>589.09245132552167</v>
      </c>
      <c r="G36" s="136"/>
      <c r="H36" s="165"/>
      <c r="I36" s="166"/>
      <c r="J36" t="s">
        <v>87</v>
      </c>
      <c r="K36" s="149" t="s">
        <v>76</v>
      </c>
      <c r="L36" s="124" t="s">
        <v>67</v>
      </c>
      <c r="M36" s="150">
        <f>B27</f>
        <v>1.1696226012188828</v>
      </c>
      <c r="N36" s="150">
        <f>C27</f>
        <v>2.6228661451093762</v>
      </c>
      <c r="O36" s="150">
        <f>D27</f>
        <v>5.1735511336549944</v>
      </c>
      <c r="P36" s="150">
        <f>E27</f>
        <v>7.8561416260791983</v>
      </c>
      <c r="Q36" s="150">
        <f>F27</f>
        <v>11.921433871970999</v>
      </c>
      <c r="R36" s="234"/>
      <c r="S36" s="215"/>
      <c r="T36" s="215"/>
    </row>
    <row r="37" spans="1:20" ht="18" customHeight="1" x14ac:dyDescent="0.25">
      <c r="A37" s="29" t="s">
        <v>94</v>
      </c>
      <c r="B37" s="143">
        <f>B36*(B4^2+B29^2/B35^2)^0.5</f>
        <v>1.4012387326653044</v>
      </c>
      <c r="C37" s="143">
        <f t="shared" ref="C37:F37" si="9">C36*(C4^2+C29^2/C35^2)^0.5</f>
        <v>2.0768362873361861</v>
      </c>
      <c r="D37" s="143">
        <f t="shared" si="9"/>
        <v>1.6514620556665294</v>
      </c>
      <c r="E37" s="143">
        <f t="shared" si="9"/>
        <v>2.277016695441993</v>
      </c>
      <c r="F37" s="143">
        <f t="shared" si="9"/>
        <v>15.285738431385685</v>
      </c>
      <c r="G37" s="143"/>
      <c r="H37" s="143"/>
      <c r="I37" s="143"/>
      <c r="K37" s="151" t="s">
        <v>77</v>
      </c>
      <c r="L37" s="4" t="s">
        <v>78</v>
      </c>
      <c r="M37" s="13">
        <v>0.02</v>
      </c>
      <c r="N37" s="13">
        <f>M37</f>
        <v>0.02</v>
      </c>
      <c r="O37" s="13">
        <f t="shared" ref="O37:Q37" si="10">N37</f>
        <v>0.02</v>
      </c>
      <c r="P37" s="13">
        <f t="shared" si="10"/>
        <v>0.02</v>
      </c>
      <c r="Q37" s="13">
        <f t="shared" si="10"/>
        <v>0.02</v>
      </c>
      <c r="R37" s="10"/>
      <c r="S37" s="36"/>
      <c r="T37" s="36"/>
    </row>
    <row r="38" spans="1:20" ht="18" customHeight="1" x14ac:dyDescent="0.25">
      <c r="A38" s="14" t="s">
        <v>7</v>
      </c>
      <c r="B38" s="146">
        <f>B37/B36</f>
        <v>9.4976009042496853E-2</v>
      </c>
      <c r="C38" s="146">
        <f>C37/C36</f>
        <v>3.7171961581360942E-2</v>
      </c>
      <c r="D38" s="146">
        <f>D37/D36</f>
        <v>1.3598308683866914E-2</v>
      </c>
      <c r="E38" s="146">
        <f>E37/E36</f>
        <v>1.2027286430069839E-2</v>
      </c>
      <c r="F38" s="146">
        <f>F37/F36</f>
        <v>2.5947944837845269E-2</v>
      </c>
      <c r="G38" s="146"/>
      <c r="H38" s="146"/>
      <c r="I38" s="146"/>
      <c r="K38" s="13" t="s">
        <v>136</v>
      </c>
      <c r="L38" s="154" t="s">
        <v>79</v>
      </c>
      <c r="M38" s="13">
        <v>0.2</v>
      </c>
      <c r="N38" s="13">
        <v>0.2</v>
      </c>
      <c r="O38" s="13">
        <v>0.2</v>
      </c>
      <c r="P38" s="13">
        <v>0.2</v>
      </c>
      <c r="Q38" s="13">
        <v>0.2</v>
      </c>
      <c r="R38" s="30"/>
      <c r="S38" s="36"/>
      <c r="T38" s="36"/>
    </row>
    <row r="39" spans="1:20" ht="18" customHeight="1" x14ac:dyDescent="0.25">
      <c r="A39" s="29" t="s">
        <v>99</v>
      </c>
      <c r="B39" s="143">
        <f>M61</f>
        <v>0.8962275355383722</v>
      </c>
      <c r="C39" s="143">
        <f>N61</f>
        <v>1.5275606653912615</v>
      </c>
      <c r="D39" s="143">
        <f>O61</f>
        <v>3.2169533403968584</v>
      </c>
      <c r="E39" s="143">
        <f>P61</f>
        <v>5.7397758575038615</v>
      </c>
      <c r="F39" s="143">
        <f>Q61</f>
        <v>23.126908186496138</v>
      </c>
      <c r="G39" s="143"/>
      <c r="H39" s="143"/>
      <c r="I39" s="143"/>
      <c r="K39" s="155" t="s">
        <v>137</v>
      </c>
      <c r="L39" s="156" t="s">
        <v>81</v>
      </c>
      <c r="M39" s="155">
        <v>0.05</v>
      </c>
      <c r="N39" s="155">
        <f>M39</f>
        <v>0.05</v>
      </c>
      <c r="O39" s="155">
        <f t="shared" ref="O39:Q39" si="11">N39</f>
        <v>0.05</v>
      </c>
      <c r="P39" s="155">
        <f t="shared" si="11"/>
        <v>0.05</v>
      </c>
      <c r="Q39" s="155">
        <f t="shared" si="11"/>
        <v>0.05</v>
      </c>
      <c r="R39" s="221"/>
      <c r="S39" s="200"/>
      <c r="T39" s="200"/>
    </row>
    <row r="40" spans="1:20" ht="18" customHeight="1" x14ac:dyDescent="0.25">
      <c r="A40" s="172" t="s">
        <v>70</v>
      </c>
      <c r="B40" s="173">
        <f>B39/B36</f>
        <v>6.0746332894694992E-2</v>
      </c>
      <c r="C40" s="173">
        <f>C39/C36</f>
        <v>2.734082927641495E-2</v>
      </c>
      <c r="D40" s="173">
        <f>D39/D36</f>
        <v>2.6488725183975097E-2</v>
      </c>
      <c r="E40" s="173">
        <f>E39/E36</f>
        <v>3.0317708438759802E-2</v>
      </c>
      <c r="F40" s="173">
        <f>F39/F36</f>
        <v>3.9258537661547174E-2</v>
      </c>
      <c r="G40" s="173"/>
      <c r="H40" s="173"/>
      <c r="I40" s="173"/>
      <c r="J40" s="13"/>
      <c r="K40" s="155" t="s">
        <v>82</v>
      </c>
      <c r="L40" s="156" t="s">
        <v>83</v>
      </c>
      <c r="M40" s="13">
        <v>10</v>
      </c>
      <c r="N40">
        <v>10</v>
      </c>
      <c r="O40" s="35">
        <v>10</v>
      </c>
      <c r="P40" s="13">
        <v>10</v>
      </c>
      <c r="Q40" s="13">
        <v>10</v>
      </c>
      <c r="R40" s="30"/>
      <c r="S40" s="36"/>
      <c r="T40" s="36"/>
    </row>
    <row r="41" spans="1:20" ht="18" customHeight="1" x14ac:dyDescent="0.35">
      <c r="A41" s="175" t="s">
        <v>102</v>
      </c>
      <c r="B41" s="176">
        <f t="shared" ref="B41:F41" si="12">B40/B38</f>
        <v>0.63959660452266576</v>
      </c>
      <c r="C41" s="176">
        <f t="shared" si="12"/>
        <v>0.73552290794695119</v>
      </c>
      <c r="D41" s="176">
        <f t="shared" si="12"/>
        <v>1.9479426302038152</v>
      </c>
      <c r="E41" s="176">
        <f t="shared" si="12"/>
        <v>2.5207438614716482</v>
      </c>
      <c r="F41" s="176">
        <f t="shared" si="12"/>
        <v>1.5129729119929494</v>
      </c>
      <c r="G41" s="176"/>
      <c r="H41" s="176"/>
      <c r="I41" s="176"/>
      <c r="K41" s="37" t="s">
        <v>85</v>
      </c>
      <c r="L41" s="220" t="s">
        <v>86</v>
      </c>
      <c r="M41" s="13">
        <v>5</v>
      </c>
      <c r="N41" s="13">
        <v>5</v>
      </c>
      <c r="O41" s="13">
        <v>5</v>
      </c>
      <c r="P41" s="13">
        <v>5</v>
      </c>
      <c r="Q41" s="13">
        <v>5</v>
      </c>
      <c r="R41" s="30"/>
      <c r="S41" s="36"/>
      <c r="T41" s="36"/>
    </row>
    <row r="42" spans="1:20" ht="18" customHeight="1" thickBot="1" x14ac:dyDescent="0.3">
      <c r="A42" s="178"/>
      <c r="B42" s="84">
        <f>(B38)^4/((B4)^4/(B5+1)+(B30)^4/(B28+1))-2</f>
        <v>121.87297022544155</v>
      </c>
      <c r="C42" s="84">
        <f t="shared" ref="C42:F42" si="13">(C38)^4/((C4)^4/(C5+1)+(C30)^4/(C28+1))-2</f>
        <v>13.231548081241341</v>
      </c>
      <c r="D42" s="84">
        <f t="shared" si="13"/>
        <v>8.3278235708026092</v>
      </c>
      <c r="E42" s="84">
        <f t="shared" si="13"/>
        <v>7.2989143865947881</v>
      </c>
      <c r="F42" s="84">
        <f t="shared" si="13"/>
        <v>6.4156394329582547</v>
      </c>
      <c r="G42" s="84"/>
      <c r="H42" s="319"/>
      <c r="I42" s="320">
        <v>6</v>
      </c>
      <c r="K42" s="37" t="s">
        <v>85</v>
      </c>
      <c r="L42" s="154" t="s">
        <v>88</v>
      </c>
      <c r="M42" s="167">
        <f t="shared" ref="M42:Q42" si="14">M41/M33/1000</f>
        <v>5.1020408163265308E-5</v>
      </c>
      <c r="N42" s="167">
        <f t="shared" si="14"/>
        <v>5.1020408163265308E-5</v>
      </c>
      <c r="O42" s="167">
        <f t="shared" si="14"/>
        <v>5.1020408163265308E-5</v>
      </c>
      <c r="P42" s="167">
        <f t="shared" si="14"/>
        <v>5.1020408163265308E-5</v>
      </c>
      <c r="Q42" s="167">
        <f t="shared" si="14"/>
        <v>5.1020408163265308E-5</v>
      </c>
      <c r="R42" s="235"/>
      <c r="S42" s="202"/>
      <c r="T42" s="202"/>
    </row>
    <row r="43" spans="1:20" ht="18" customHeight="1" thickBot="1" x14ac:dyDescent="0.3">
      <c r="A43" s="13"/>
      <c r="B43" s="301">
        <v>1.98</v>
      </c>
      <c r="C43" s="301">
        <v>2.16</v>
      </c>
      <c r="D43" s="301">
        <v>2.306</v>
      </c>
      <c r="E43" s="301">
        <v>2.3650000000000002</v>
      </c>
      <c r="F43" s="301">
        <v>2.4470000000000001</v>
      </c>
      <c r="G43" s="28"/>
      <c r="H43" s="24"/>
      <c r="I43" s="321">
        <f>TINV(0.05,I42)</f>
        <v>2.4469118511449697</v>
      </c>
      <c r="K43" s="168" t="s">
        <v>90</v>
      </c>
      <c r="L43" s="169" t="s">
        <v>91</v>
      </c>
      <c r="M43" s="13">
        <v>0.18</v>
      </c>
      <c r="N43" s="13">
        <v>0.5</v>
      </c>
      <c r="O43" s="13">
        <v>0.8</v>
      </c>
      <c r="P43" s="13">
        <v>0.8</v>
      </c>
      <c r="Q43" s="13">
        <v>0.8</v>
      </c>
      <c r="R43" s="30"/>
      <c r="S43" s="36"/>
      <c r="T43" s="36"/>
    </row>
    <row r="44" spans="1:20" ht="18" customHeight="1" x14ac:dyDescent="0.25">
      <c r="A44" s="29" t="s">
        <v>107</v>
      </c>
      <c r="B44" s="136">
        <f>B36*B45</f>
        <v>2.8988475109365321</v>
      </c>
      <c r="C44" s="136">
        <f>C36*C45</f>
        <v>4.6506860632686502</v>
      </c>
      <c r="D44" s="136">
        <f>D36*D45</f>
        <v>4.9678889454563313</v>
      </c>
      <c r="E44" s="136">
        <f>E36*E45</f>
        <v>7.9422044970018133</v>
      </c>
      <c r="F44" s="136">
        <f>F36*F45</f>
        <v>43.08289442936637</v>
      </c>
      <c r="G44" s="136"/>
      <c r="H44" s="136"/>
      <c r="I44" s="136"/>
      <c r="J44" t="s">
        <v>108</v>
      </c>
      <c r="K44" s="37" t="s">
        <v>92</v>
      </c>
      <c r="L44" s="154" t="s">
        <v>93</v>
      </c>
      <c r="M44" s="13">
        <v>0.02</v>
      </c>
      <c r="N44" s="13">
        <v>0.02</v>
      </c>
      <c r="O44" s="13">
        <v>0.02</v>
      </c>
      <c r="P44" s="13">
        <v>0.02</v>
      </c>
      <c r="Q44" s="13">
        <v>0.02</v>
      </c>
      <c r="R44" s="30"/>
      <c r="S44" s="36"/>
      <c r="T44" s="36"/>
    </row>
    <row r="45" spans="1:20" ht="18" customHeight="1" x14ac:dyDescent="0.25">
      <c r="A45" s="33"/>
      <c r="B45" s="146">
        <f t="shared" ref="B45:F45" si="15">((B43*B38+B40)/(B38+B40/1.1/3^0.5))*(B38^2+(B40/1.1/3^0.5)^2)^0.5</f>
        <v>0.1964839830596446</v>
      </c>
      <c r="C45" s="146">
        <f t="shared" si="15"/>
        <v>8.3239649039707389E-2</v>
      </c>
      <c r="D45" s="146">
        <f t="shared" si="15"/>
        <v>4.0906109320338065E-2</v>
      </c>
      <c r="E45" s="146">
        <f t="shared" si="15"/>
        <v>4.1951017997734756E-2</v>
      </c>
      <c r="F45" s="146">
        <f t="shared" si="15"/>
        <v>7.3134351547749762E-2</v>
      </c>
      <c r="G45" s="146"/>
      <c r="H45" s="146"/>
      <c r="I45" s="147"/>
      <c r="J45" t="s">
        <v>110</v>
      </c>
      <c r="K45" s="37" t="s">
        <v>95</v>
      </c>
      <c r="L45" s="154" t="s">
        <v>96</v>
      </c>
      <c r="M45" s="13">
        <v>0.1</v>
      </c>
      <c r="N45" s="13">
        <v>0.1</v>
      </c>
      <c r="O45" s="13">
        <v>0.1</v>
      </c>
      <c r="P45" s="13">
        <v>0.1</v>
      </c>
      <c r="Q45" s="13">
        <v>0.1</v>
      </c>
      <c r="R45" s="30"/>
      <c r="S45" s="36"/>
      <c r="T45" s="36"/>
    </row>
    <row r="46" spans="1:20" ht="18" customHeight="1" x14ac:dyDescent="0.25">
      <c r="A46" s="30" t="s">
        <v>112</v>
      </c>
      <c r="B46" s="302">
        <v>0.18</v>
      </c>
      <c r="C46" s="302">
        <v>0.18</v>
      </c>
      <c r="D46" s="302">
        <v>0.8</v>
      </c>
      <c r="E46" s="302">
        <v>0.8</v>
      </c>
      <c r="F46" s="302">
        <v>0.8</v>
      </c>
      <c r="G46" s="302">
        <v>0.8</v>
      </c>
      <c r="H46" s="56"/>
      <c r="I46" s="56"/>
      <c r="K46" s="37" t="s">
        <v>97</v>
      </c>
      <c r="L46" s="170" t="s">
        <v>98</v>
      </c>
      <c r="M46" s="155">
        <v>0.1</v>
      </c>
      <c r="N46" s="13">
        <v>0.1</v>
      </c>
      <c r="O46" s="13">
        <v>0.1</v>
      </c>
      <c r="P46" s="13">
        <v>0.1</v>
      </c>
      <c r="Q46" s="13">
        <v>0.1</v>
      </c>
      <c r="R46" s="221"/>
      <c r="S46" s="200"/>
      <c r="T46" s="200"/>
    </row>
    <row r="47" spans="1:20" ht="18" customHeight="1" x14ac:dyDescent="0.25">
      <c r="A47" s="30" t="s">
        <v>114</v>
      </c>
      <c r="B47" s="302">
        <v>22.1</v>
      </c>
      <c r="C47" s="302">
        <v>22.3</v>
      </c>
      <c r="D47" s="302">
        <v>22.2</v>
      </c>
      <c r="E47" s="302">
        <v>21.8</v>
      </c>
      <c r="F47" s="302">
        <v>21.8</v>
      </c>
      <c r="G47" s="302">
        <v>21.8</v>
      </c>
      <c r="H47" s="57"/>
      <c r="I47" s="57"/>
      <c r="J47" t="s">
        <v>175</v>
      </c>
      <c r="K47" s="37" t="s">
        <v>100</v>
      </c>
      <c r="L47" s="171" t="s">
        <v>101</v>
      </c>
      <c r="M47" s="155">
        <v>1</v>
      </c>
      <c r="N47" s="155">
        <v>1</v>
      </c>
      <c r="O47" s="155">
        <v>1</v>
      </c>
      <c r="P47" s="155">
        <v>1</v>
      </c>
      <c r="Q47" s="155">
        <v>1</v>
      </c>
      <c r="R47" s="221"/>
      <c r="S47" s="200"/>
      <c r="T47" s="200"/>
    </row>
    <row r="48" spans="1:20" ht="18" customHeight="1" x14ac:dyDescent="0.35">
      <c r="A48" s="1" t="s">
        <v>115</v>
      </c>
      <c r="B48" s="160">
        <v>0</v>
      </c>
      <c r="C48" s="160">
        <v>0</v>
      </c>
      <c r="D48" s="160">
        <v>0</v>
      </c>
      <c r="E48" s="160">
        <v>0</v>
      </c>
      <c r="F48" s="160">
        <v>0</v>
      </c>
      <c r="G48" s="160">
        <f t="shared" ref="G48" si="16">(22-G47)*G46</f>
        <v>0.15999999999999945</v>
      </c>
      <c r="H48" s="160"/>
      <c r="I48" s="160"/>
      <c r="J48" t="s">
        <v>176</v>
      </c>
      <c r="K48" s="77" t="s">
        <v>134</v>
      </c>
      <c r="L48" s="174" t="s">
        <v>135</v>
      </c>
      <c r="M48" s="219">
        <f>0.04*(1-10^(M36/20))/5</f>
        <v>-1.1531613283277515E-3</v>
      </c>
      <c r="N48" s="229">
        <f t="shared" ref="N48:Q48" si="17">0.04*(1-10^(N36/20))/5</f>
        <v>-2.8201503189099475E-3</v>
      </c>
      <c r="O48" s="229">
        <f t="shared" si="17"/>
        <v>-6.5133458213561977E-3</v>
      </c>
      <c r="P48" s="230">
        <f t="shared" si="17"/>
        <v>-1.1765011360217389E-2</v>
      </c>
      <c r="Q48" s="230">
        <f t="shared" si="17"/>
        <v>-2.3561793976233945E-2</v>
      </c>
      <c r="R48" s="33"/>
      <c r="S48" s="36" t="s">
        <v>179</v>
      </c>
    </row>
    <row r="49" spans="1:20" ht="18" customHeight="1" x14ac:dyDescent="0.25">
      <c r="A49" s="13" t="s">
        <v>89</v>
      </c>
      <c r="B49" s="181">
        <f>B36+B48</f>
        <v>14.753607219253892</v>
      </c>
      <c r="C49" s="181">
        <f>C36+C48</f>
        <v>55.871043630303589</v>
      </c>
      <c r="D49" s="181">
        <f>D36+D48</f>
        <v>121.44613672624084</v>
      </c>
      <c r="E49" s="181">
        <f>E36+E48</f>
        <v>189.32090032786979</v>
      </c>
      <c r="F49" s="181">
        <f>F36+F48</f>
        <v>589.09245132552167</v>
      </c>
      <c r="G49" s="181"/>
      <c r="H49" s="182"/>
      <c r="I49" s="182"/>
      <c r="J49" t="s">
        <v>173</v>
      </c>
      <c r="K49" s="287" t="s">
        <v>103</v>
      </c>
      <c r="L49" s="177" t="s">
        <v>104</v>
      </c>
      <c r="M49" s="305">
        <f>M37</f>
        <v>0.02</v>
      </c>
      <c r="N49" s="305">
        <f>N37</f>
        <v>0.02</v>
      </c>
      <c r="O49" s="305">
        <f>O37</f>
        <v>0.02</v>
      </c>
      <c r="P49" s="305">
        <f>P37</f>
        <v>0.02</v>
      </c>
      <c r="Q49" s="305">
        <f>Q37</f>
        <v>0.02</v>
      </c>
      <c r="R49" s="4"/>
      <c r="S49" s="304"/>
      <c r="T49" s="303"/>
    </row>
    <row r="50" spans="1:20" ht="18" customHeight="1" x14ac:dyDescent="0.25">
      <c r="A50" s="186" t="s">
        <v>120</v>
      </c>
      <c r="B50" s="187">
        <f t="shared" ref="B50:F51" si="18">B37</f>
        <v>1.4012387326653044</v>
      </c>
      <c r="C50" s="187">
        <f t="shared" si="18"/>
        <v>2.0768362873361861</v>
      </c>
      <c r="D50" s="187">
        <f t="shared" si="18"/>
        <v>1.6514620556665294</v>
      </c>
      <c r="E50" s="187">
        <f t="shared" si="18"/>
        <v>2.277016695441993</v>
      </c>
      <c r="F50" s="187">
        <f t="shared" si="18"/>
        <v>15.285738431385685</v>
      </c>
      <c r="G50" s="187"/>
      <c r="H50" s="187"/>
      <c r="I50" s="187"/>
      <c r="J50" t="s">
        <v>178</v>
      </c>
      <c r="K50" s="13"/>
      <c r="L50" s="154" t="s">
        <v>105</v>
      </c>
      <c r="M50" s="218">
        <f>0.01/0.2*M38</f>
        <v>0.01</v>
      </c>
      <c r="N50" s="218">
        <f>0.01/0.2*N38</f>
        <v>0.01</v>
      </c>
      <c r="O50" s="218">
        <f>0.01/0.2*O38</f>
        <v>0.01</v>
      </c>
      <c r="P50" s="218">
        <f>0.01/0.2*P38</f>
        <v>0.01</v>
      </c>
      <c r="Q50" s="218">
        <f>0.01/0.2*Q38</f>
        <v>0.01</v>
      </c>
      <c r="R50" s="13"/>
    </row>
    <row r="51" spans="1:20" ht="18" customHeight="1" x14ac:dyDescent="0.25">
      <c r="A51" s="189"/>
      <c r="B51" s="146">
        <f t="shared" si="18"/>
        <v>9.4976009042496853E-2</v>
      </c>
      <c r="C51" s="146">
        <f t="shared" si="18"/>
        <v>3.7171961581360942E-2</v>
      </c>
      <c r="D51" s="146">
        <f t="shared" si="18"/>
        <v>1.3598308683866914E-2</v>
      </c>
      <c r="E51" s="146">
        <f t="shared" si="18"/>
        <v>1.2027286430069839E-2</v>
      </c>
      <c r="F51" s="146">
        <f t="shared" si="18"/>
        <v>2.5947944837845269E-2</v>
      </c>
      <c r="G51" s="146"/>
      <c r="H51" s="147"/>
      <c r="I51" s="147"/>
      <c r="K51" s="13"/>
      <c r="L51" s="169" t="s">
        <v>106</v>
      </c>
      <c r="M51" s="218">
        <f>0.01/0.04*M39</f>
        <v>1.2500000000000001E-2</v>
      </c>
      <c r="N51" s="218">
        <f>0.01/0.04*N39</f>
        <v>1.2500000000000001E-2</v>
      </c>
      <c r="O51" s="218">
        <f>0.01/0.04*O39</f>
        <v>1.2500000000000001E-2</v>
      </c>
      <c r="P51" s="218">
        <f>0.01/0.04*P39</f>
        <v>1.2500000000000001E-2</v>
      </c>
      <c r="Q51" s="218">
        <f>0.01/0.04*Q39</f>
        <v>1.2500000000000001E-2</v>
      </c>
      <c r="R51" s="13"/>
    </row>
    <row r="52" spans="1:20" ht="18" customHeight="1" x14ac:dyDescent="0.25">
      <c r="A52" s="190" t="s">
        <v>123</v>
      </c>
      <c r="B52" s="143">
        <f t="shared" ref="B52:F53" si="19">B39/(1.1*3^0.5)</f>
        <v>0.47039746263475823</v>
      </c>
      <c r="C52" s="143">
        <f t="shared" si="19"/>
        <v>0.80176141942466239</v>
      </c>
      <c r="D52" s="143">
        <f t="shared" si="19"/>
        <v>1.6884626154987199</v>
      </c>
      <c r="E52" s="143">
        <f t="shared" si="19"/>
        <v>3.012601033107245</v>
      </c>
      <c r="F52" s="143">
        <f t="shared" si="19"/>
        <v>12.138478788179368</v>
      </c>
      <c r="G52" s="143"/>
      <c r="H52" s="143"/>
      <c r="I52" s="143"/>
      <c r="K52" s="13"/>
      <c r="L52" s="154" t="s">
        <v>109</v>
      </c>
      <c r="M52" s="38">
        <f>4.34*(2*PI()*M31/M35*M40*M42*1000)^2*(B32^2-B31^2)</f>
        <v>3.2778781247578539E-4</v>
      </c>
      <c r="N52" s="38">
        <f>4.34*(2*PI()*N31/N35*N40*N42*1000)^2*(C32^2-C31^2)</f>
        <v>1.3127945538307726E-3</v>
      </c>
      <c r="O52" s="38">
        <f>4.34*(2*PI()*O31/O35*O40*O42*1000)^2*(D32^2-D31^2)</f>
        <v>3.3639143937103768E-3</v>
      </c>
      <c r="P52" s="38">
        <f>4.34*(2*PI()*P31/P35*P40*P42*1000)^2*(E32^2-E31^2)</f>
        <v>5.2627111156095174E-3</v>
      </c>
      <c r="Q52" s="38">
        <f>4.34*(2*PI()*Q31/Q35*Q40*Q42*1000)^2*(F32^2-F31^2)</f>
        <v>3.3713058693937343E-3</v>
      </c>
      <c r="R52" s="13"/>
    </row>
    <row r="53" spans="1:20" ht="18" customHeight="1" x14ac:dyDescent="0.25">
      <c r="A53" s="189"/>
      <c r="B53" s="146">
        <f t="shared" si="19"/>
        <v>3.1883556044577065E-2</v>
      </c>
      <c r="C53" s="146">
        <f t="shared" si="19"/>
        <v>1.4350213766005248E-2</v>
      </c>
      <c r="D53" s="146">
        <f t="shared" si="19"/>
        <v>1.3902975104961855E-2</v>
      </c>
      <c r="E53" s="146">
        <f t="shared" si="19"/>
        <v>1.5912670116664144E-2</v>
      </c>
      <c r="F53" s="146">
        <f t="shared" si="19"/>
        <v>2.060538844262302E-2</v>
      </c>
      <c r="G53" s="146"/>
      <c r="H53" s="147"/>
      <c r="I53" s="147"/>
      <c r="K53" s="13"/>
      <c r="L53" s="154" t="s">
        <v>111</v>
      </c>
      <c r="M53" s="38">
        <f>(M43*M45+M44*M45)*2*M32/1000*(B32-B31)</f>
        <v>7.992927999999999E-4</v>
      </c>
      <c r="N53" s="38">
        <f>(N43*N45+N44*N45)*2*N32/1000*(C32-C31)</f>
        <v>2.0781612800000004E-3</v>
      </c>
      <c r="O53" s="38">
        <f>(O43*O45+O44*O45)*2*O32/1000*(D32-D31)</f>
        <v>3.2771004800000009E-3</v>
      </c>
      <c r="P53" s="38">
        <f>(P43*P45+P44*P45)*2*P32/1000*(E32-E31)</f>
        <v>3.2771004800000009E-3</v>
      </c>
      <c r="Q53" s="38">
        <f>(Q43*Q45+Q44*Q45)*2*Q32/1000*(F32-F31)</f>
        <v>1.6385502400000005E-3</v>
      </c>
      <c r="R53" s="13"/>
    </row>
    <row r="54" spans="1:20" ht="18" customHeight="1" x14ac:dyDescent="0.25">
      <c r="A54" s="190" t="s">
        <v>123</v>
      </c>
      <c r="B54" s="143">
        <f>B36*(B51^2+B53^2)^0.5</f>
        <v>1.478087872480756</v>
      </c>
      <c r="C54" s="143">
        <f>C36*(C51^2+C53^2)^0.5</f>
        <v>2.2262233351742142</v>
      </c>
      <c r="D54" s="143">
        <f>D36*(D51^2+D53^2)^0.5</f>
        <v>2.3618283013892221</v>
      </c>
      <c r="E54" s="143">
        <f>E36*(E51^2+E53^2)^0.5</f>
        <v>3.7763169909318273</v>
      </c>
      <c r="F54" s="143">
        <f>F36*(F51^2+F53^2)^0.5</f>
        <v>19.519130787097609</v>
      </c>
      <c r="G54" s="143"/>
      <c r="H54" s="143"/>
      <c r="I54" s="143"/>
      <c r="K54" s="13"/>
      <c r="L54" s="154" t="s">
        <v>113</v>
      </c>
      <c r="M54" s="38">
        <f>2/1000*M31*M46</f>
        <v>1E-3</v>
      </c>
      <c r="N54" s="38">
        <f>2/1000*N31*N46</f>
        <v>2E-3</v>
      </c>
      <c r="O54" s="38">
        <f>2/1000*O31*O46</f>
        <v>3.2000000000000002E-3</v>
      </c>
      <c r="P54" s="38">
        <f>2/1000*P31*P46</f>
        <v>4.0000000000000001E-3</v>
      </c>
      <c r="Q54" s="38">
        <f>2/1000*Q31*Q46</f>
        <v>6.4000000000000003E-3</v>
      </c>
      <c r="R54" s="237"/>
      <c r="S54" s="78"/>
      <c r="T54" s="78"/>
    </row>
    <row r="55" spans="1:20" ht="18" customHeight="1" x14ac:dyDescent="0.25">
      <c r="A55" s="189"/>
      <c r="B55" s="146">
        <f t="shared" ref="B55:F55" si="20">(B51^2+B53^2)^0.5</f>
        <v>0.10018484635756114</v>
      </c>
      <c r="C55" s="146">
        <f t="shared" si="20"/>
        <v>3.9845744602607445E-2</v>
      </c>
      <c r="D55" s="146">
        <f t="shared" si="20"/>
        <v>1.9447537526147609E-2</v>
      </c>
      <c r="E55" s="146">
        <f t="shared" si="20"/>
        <v>1.9946646061749784E-2</v>
      </c>
      <c r="F55" s="146">
        <f t="shared" si="20"/>
        <v>3.3134240208268592E-2</v>
      </c>
      <c r="G55" s="146"/>
      <c r="H55" s="147"/>
      <c r="I55" s="147"/>
      <c r="K55" s="13"/>
      <c r="L55" s="154" t="s">
        <v>170</v>
      </c>
      <c r="M55" s="218">
        <f>20*LOG10((1+2*M48))</f>
        <v>-2.0055600308289696E-2</v>
      </c>
      <c r="N55" s="218">
        <f t="shared" ref="N55:Q55" si="21">20*LOG10((1+2*N48))</f>
        <v>-4.9129712655985723E-2</v>
      </c>
      <c r="O55" s="218">
        <f t="shared" si="21"/>
        <v>-0.1138918440720804</v>
      </c>
      <c r="P55" s="218">
        <f t="shared" si="21"/>
        <v>-0.20682210133225737</v>
      </c>
      <c r="Q55" s="218">
        <f t="shared" si="21"/>
        <v>-0.41926847299136161</v>
      </c>
      <c r="R55" s="228"/>
      <c r="S55" s="219" t="s">
        <v>180</v>
      </c>
    </row>
    <row r="56" spans="1:20" ht="18" customHeight="1" x14ac:dyDescent="0.25">
      <c r="A56" s="191"/>
      <c r="B56" s="192">
        <f>B55^4/(B4^4/(B5-1)+B30^4/(B28-1))</f>
        <v>115.02448447427585</v>
      </c>
      <c r="C56" s="192">
        <f>C55^4/(C4^4/(C5-1)+C30^4/(C28-1))</f>
        <v>15.08242514234702</v>
      </c>
      <c r="D56" s="192">
        <f>D55^4/(D4^4/(D5-1)+D30^4/(D28-1))</f>
        <v>32.403279313691954</v>
      </c>
      <c r="E56" s="192">
        <f>E55^4/(E4^4/(E5-1)+E30^4/(E28-1))</f>
        <v>52.759712874380973</v>
      </c>
      <c r="F56" s="192">
        <f>F55^4/(F4^4/(F5-1)+F30^4/(F28-1))</f>
        <v>16.782033540486058</v>
      </c>
      <c r="G56" s="192"/>
      <c r="H56" s="192"/>
      <c r="I56" s="192"/>
      <c r="K56" s="31"/>
      <c r="L56" s="179" t="s">
        <v>116</v>
      </c>
      <c r="M56" s="180">
        <f>M36*M47/M32/1000</f>
        <v>1.1706574624156582E-4</v>
      </c>
      <c r="N56" s="180">
        <f>N36*N47/N32/1000</f>
        <v>2.6251868102496369E-4</v>
      </c>
      <c r="O56" s="180">
        <f>O36*O47/O32/1000</f>
        <v>5.1781285993368078E-4</v>
      </c>
      <c r="P56" s="180">
        <f>P36*P47/P32/1000</f>
        <v>7.8630925999375418E-4</v>
      </c>
      <c r="Q56" s="180">
        <f>Q36*Q47/Q32/1000</f>
        <v>1.1931981743832547E-3</v>
      </c>
      <c r="R56" s="238"/>
      <c r="S56" s="216"/>
      <c r="T56" s="216"/>
    </row>
    <row r="57" spans="1:20" ht="18" customHeight="1" x14ac:dyDescent="0.25">
      <c r="A57" s="191"/>
      <c r="B57" s="193">
        <v>2</v>
      </c>
      <c r="C57" s="193">
        <v>2</v>
      </c>
      <c r="D57" s="193">
        <v>2</v>
      </c>
      <c r="E57" s="193">
        <v>2</v>
      </c>
      <c r="F57" s="193">
        <v>2</v>
      </c>
      <c r="G57" s="193"/>
      <c r="H57" s="193"/>
      <c r="I57" s="193"/>
      <c r="L57" s="183" t="s">
        <v>117</v>
      </c>
      <c r="M57" s="184">
        <f>(SUMSQ(M49:M56))^0.5</f>
        <v>3.2561282559889319E-2</v>
      </c>
      <c r="N57" s="184">
        <f t="shared" ref="N57:Q57" si="22">(SUMSQ(N49:N56))^0.5</f>
        <v>5.5498556427747474E-2</v>
      </c>
      <c r="O57" s="184">
        <f t="shared" si="22"/>
        <v>0.11687671104159809</v>
      </c>
      <c r="P57" s="184">
        <f t="shared" si="22"/>
        <v>0.20853461438712104</v>
      </c>
      <c r="Q57" s="184">
        <f t="shared" si="22"/>
        <v>0.42011752726653229</v>
      </c>
      <c r="R57" s="236"/>
      <c r="S57" s="78"/>
      <c r="T57" s="78"/>
    </row>
    <row r="58" spans="1:20" ht="18" customHeight="1" x14ac:dyDescent="0.25">
      <c r="A58" s="191" t="s">
        <v>302</v>
      </c>
      <c r="B58" s="136">
        <f t="shared" ref="B58:F58" si="23">B54*B57</f>
        <v>2.956175744961512</v>
      </c>
      <c r="C58" s="136">
        <f t="shared" si="23"/>
        <v>4.4524466703484284</v>
      </c>
      <c r="D58" s="136">
        <f t="shared" si="23"/>
        <v>4.7236566027784441</v>
      </c>
      <c r="E58" s="136">
        <f t="shared" si="23"/>
        <v>7.5526339818636545</v>
      </c>
      <c r="F58" s="136">
        <f t="shared" si="23"/>
        <v>39.038261574195218</v>
      </c>
      <c r="G58" s="136"/>
      <c r="H58" s="136"/>
      <c r="I58" s="136"/>
      <c r="L58" s="31" t="s">
        <v>118</v>
      </c>
      <c r="M58" s="31">
        <v>1.1000000000000001</v>
      </c>
      <c r="N58" s="31">
        <f>M58</f>
        <v>1.1000000000000001</v>
      </c>
      <c r="O58" s="31">
        <v>1.1000000000000001</v>
      </c>
      <c r="P58" s="31">
        <f>O58</f>
        <v>1.1000000000000001</v>
      </c>
      <c r="Q58" s="31">
        <f>P58</f>
        <v>1.1000000000000001</v>
      </c>
      <c r="R58" s="7"/>
      <c r="S58" s="36"/>
      <c r="T58" s="36"/>
    </row>
    <row r="59" spans="1:20" ht="18" customHeight="1" x14ac:dyDescent="0.25">
      <c r="A59" s="195"/>
      <c r="B59" s="146">
        <f t="shared" ref="B59:F59" si="24">B55*B57</f>
        <v>0.20036969271512228</v>
      </c>
      <c r="C59" s="146">
        <f t="shared" si="24"/>
        <v>7.9691489205214891E-2</v>
      </c>
      <c r="D59" s="146">
        <f t="shared" si="24"/>
        <v>3.8895075052295218E-2</v>
      </c>
      <c r="E59" s="146">
        <f t="shared" si="24"/>
        <v>3.9893292123499569E-2</v>
      </c>
      <c r="F59" s="146">
        <f t="shared" si="24"/>
        <v>6.6268480416537184E-2</v>
      </c>
      <c r="G59" s="146"/>
      <c r="H59" s="146"/>
      <c r="I59" s="147"/>
      <c r="L59" s="169" t="s">
        <v>119</v>
      </c>
      <c r="M59" s="166">
        <f>M58*M57</f>
        <v>3.5817410815878255E-2</v>
      </c>
      <c r="N59" s="166">
        <f t="shared" ref="N59:Q59" si="25">N58*N57</f>
        <v>6.1048412070522223E-2</v>
      </c>
      <c r="O59" s="166">
        <f t="shared" si="25"/>
        <v>0.12856438214575791</v>
      </c>
      <c r="P59" s="182">
        <f t="shared" si="25"/>
        <v>0.22938807582583315</v>
      </c>
      <c r="Q59" s="182">
        <f t="shared" si="25"/>
        <v>0.46212927999318554</v>
      </c>
      <c r="R59" s="239"/>
      <c r="S59" s="213"/>
      <c r="T59" s="213"/>
    </row>
    <row r="60" spans="1:20" ht="18" customHeight="1" x14ac:dyDescent="0.25">
      <c r="A60" s="1" t="s">
        <v>1</v>
      </c>
      <c r="B60" s="293">
        <v>5</v>
      </c>
      <c r="C60" s="294">
        <v>10</v>
      </c>
      <c r="D60" s="293">
        <v>16</v>
      </c>
      <c r="E60" s="294">
        <v>20</v>
      </c>
      <c r="F60" s="294">
        <v>32</v>
      </c>
      <c r="L60" s="188" t="s">
        <v>121</v>
      </c>
      <c r="M60" s="150">
        <f>M59/M36</f>
        <v>3.062304950208071E-2</v>
      </c>
      <c r="N60" s="150">
        <f>N59/C35</f>
        <v>2.734082927641495E-2</v>
      </c>
      <c r="O60" s="150">
        <f>O59/D35</f>
        <v>2.6488725183975093E-2</v>
      </c>
      <c r="P60" s="150">
        <f>P59/E35</f>
        <v>3.0317708438759805E-2</v>
      </c>
      <c r="Q60" s="150">
        <f>Q59/F35</f>
        <v>3.9258537661547174E-2</v>
      </c>
      <c r="R60" s="240"/>
      <c r="S60" s="215"/>
      <c r="T60" s="215"/>
    </row>
    <row r="61" spans="1:20" ht="18" customHeight="1" x14ac:dyDescent="0.25">
      <c r="L61" s="169" t="s">
        <v>122</v>
      </c>
      <c r="M61" s="166">
        <f>M59/(2*M32/1000*M34)</f>
        <v>0.8962275355383722</v>
      </c>
      <c r="N61" s="166">
        <f>N59/(2*N32/1000*N34)</f>
        <v>1.5275606653912615</v>
      </c>
      <c r="O61" s="166">
        <f>O59/(2*O32/1000*O34)</f>
        <v>3.2169533403968584</v>
      </c>
      <c r="P61" s="166">
        <f>P59/(2*P32/1000*P34)</f>
        <v>5.7397758575038615</v>
      </c>
      <c r="Q61" s="166">
        <f>Q59/(2*Q32/1000*Q34)</f>
        <v>23.126908186496138</v>
      </c>
      <c r="R61" s="242"/>
      <c r="S61" s="213"/>
      <c r="T61" s="213"/>
    </row>
    <row r="62" spans="1:20" ht="18" customHeight="1" x14ac:dyDescent="0.25">
      <c r="L62" s="188" t="s">
        <v>121</v>
      </c>
      <c r="M62" s="196">
        <f>M61/B33</f>
        <v>3.062304950208071E-2</v>
      </c>
      <c r="N62" s="196">
        <f>N61/C36</f>
        <v>2.734082927641495E-2</v>
      </c>
      <c r="O62" s="196">
        <f>O61/D36</f>
        <v>2.6488725183975097E-2</v>
      </c>
      <c r="P62" s="196">
        <f>P61/E36</f>
        <v>3.0317708438759802E-2</v>
      </c>
      <c r="Q62" s="196">
        <f>Q61/F36</f>
        <v>3.9258537661547174E-2</v>
      </c>
      <c r="R62" s="241"/>
      <c r="S62" s="33" t="s">
        <v>174</v>
      </c>
      <c r="T62" s="217"/>
    </row>
    <row r="63" spans="1:20" ht="18" customHeight="1" x14ac:dyDescent="0.25">
      <c r="L63" s="169" t="s">
        <v>124</v>
      </c>
      <c r="M63" s="244">
        <f t="shared" ref="M63:Q64" si="26">B37</f>
        <v>1.4012387326653044</v>
      </c>
      <c r="N63" s="244">
        <f t="shared" si="26"/>
        <v>2.0768362873361861</v>
      </c>
      <c r="O63" s="244">
        <f t="shared" si="26"/>
        <v>1.6514620556665294</v>
      </c>
      <c r="P63" s="244">
        <f t="shared" si="26"/>
        <v>2.277016695441993</v>
      </c>
      <c r="Q63" s="244">
        <f t="shared" si="26"/>
        <v>15.285738431385685</v>
      </c>
      <c r="R63" s="239"/>
      <c r="S63" s="213"/>
      <c r="T63" s="213"/>
    </row>
    <row r="64" spans="1:20" ht="18" customHeight="1" x14ac:dyDescent="0.25">
      <c r="L64" s="169" t="s">
        <v>125</v>
      </c>
      <c r="M64" s="38">
        <f t="shared" si="26"/>
        <v>9.4976009042496853E-2</v>
      </c>
      <c r="N64" s="38">
        <f t="shared" si="26"/>
        <v>3.7171961581360942E-2</v>
      </c>
      <c r="O64" s="38">
        <f t="shared" si="26"/>
        <v>1.3598308683866914E-2</v>
      </c>
      <c r="P64" s="38">
        <f t="shared" si="26"/>
        <v>1.2027286430069839E-2</v>
      </c>
      <c r="Q64" s="38">
        <f t="shared" si="26"/>
        <v>2.5947944837845269E-2</v>
      </c>
      <c r="R64" s="237"/>
      <c r="S64" s="78"/>
      <c r="T64" s="78"/>
    </row>
    <row r="65" spans="1:20" ht="18" customHeight="1" x14ac:dyDescent="0.25">
      <c r="L65" s="169" t="s">
        <v>126</v>
      </c>
      <c r="M65" s="13">
        <v>2.57</v>
      </c>
      <c r="N65" s="13">
        <v>2.57</v>
      </c>
      <c r="O65" s="13">
        <v>2.57</v>
      </c>
      <c r="P65" s="13">
        <v>2.57</v>
      </c>
      <c r="Q65" s="13">
        <v>2.57</v>
      </c>
      <c r="R65" s="30"/>
      <c r="S65" s="36"/>
      <c r="T65" s="36"/>
    </row>
    <row r="66" spans="1:20" ht="18" customHeight="1" x14ac:dyDescent="0.25">
      <c r="L66" s="169" t="s">
        <v>127</v>
      </c>
      <c r="M66" s="39">
        <f t="shared" ref="M66:Q66" si="27">(M65*M63+M61)/(M63+M61/M58/3^0.5)</f>
        <v>2.4029301686843976</v>
      </c>
      <c r="N66" s="39">
        <f t="shared" si="27"/>
        <v>2.3848521478779876</v>
      </c>
      <c r="O66" s="39">
        <f>(O65*O63+O61)/(O63+O61/O58/3^0.5)</f>
        <v>2.2339458395200076</v>
      </c>
      <c r="P66" s="39">
        <f t="shared" si="27"/>
        <v>2.1914076516771264</v>
      </c>
      <c r="Q66" s="39">
        <f t="shared" si="27"/>
        <v>2.2757716457493546</v>
      </c>
      <c r="R66" s="70"/>
      <c r="S66" s="69"/>
      <c r="T66" s="69"/>
    </row>
    <row r="67" spans="1:20" ht="18" customHeight="1" x14ac:dyDescent="0.25">
      <c r="L67" s="169" t="s">
        <v>128</v>
      </c>
      <c r="M67" s="39">
        <f>(M63^2+M61^2/M58^2/3)^0.5</f>
        <v>1.4780878724807558</v>
      </c>
      <c r="N67" s="39">
        <f>(N63^2+N61^2/N58^2/3)^0.5</f>
        <v>2.2262233351742147</v>
      </c>
      <c r="O67" s="39">
        <f>(O63^2+O61^2/O58^2/3)^0.5</f>
        <v>2.3618283013892221</v>
      </c>
      <c r="P67" s="39">
        <f>(P63^2+P61^2/P58^2/3)^0.5</f>
        <v>3.7763169909318277</v>
      </c>
      <c r="Q67" s="39">
        <f>(Q63^2+Q61^2/Q58^2/3)^0.5</f>
        <v>19.519130787097609</v>
      </c>
      <c r="R67" s="70"/>
      <c r="S67" s="69"/>
      <c r="T67" s="69"/>
    </row>
    <row r="68" spans="1:20" ht="18" customHeight="1" x14ac:dyDescent="0.25">
      <c r="L68" s="188" t="s">
        <v>130</v>
      </c>
      <c r="M68" s="194">
        <f>M67/B36</f>
        <v>0.10018484635756113</v>
      </c>
      <c r="N68" s="194">
        <f>N67/C36</f>
        <v>3.9845744602607452E-2</v>
      </c>
      <c r="O68" s="194">
        <f>O67/D36</f>
        <v>1.9447537526147609E-2</v>
      </c>
      <c r="P68" s="185">
        <f>P67/E36</f>
        <v>1.9946646061749784E-2</v>
      </c>
      <c r="Q68" s="185">
        <f>Q67/F36</f>
        <v>3.3134240208268592E-2</v>
      </c>
      <c r="R68" s="237"/>
      <c r="S68" s="78"/>
      <c r="T68" s="78"/>
    </row>
    <row r="69" spans="1:20" ht="18" customHeight="1" x14ac:dyDescent="0.25">
      <c r="L69" s="154" t="s">
        <v>131</v>
      </c>
      <c r="M69" s="166">
        <f>M66*M67</f>
        <v>3.5517419407505448</v>
      </c>
      <c r="N69" s="166">
        <f t="shared" ref="N69:Q69" si="28">N66*N67</f>
        <v>5.3092135025463234</v>
      </c>
      <c r="O69" s="166">
        <f t="shared" si="28"/>
        <v>5.2761965075490593</v>
      </c>
      <c r="P69" s="166">
        <f t="shared" si="28"/>
        <v>8.2754499490863491</v>
      </c>
      <c r="Q69" s="166">
        <f t="shared" si="28"/>
        <v>44.421084394950022</v>
      </c>
      <c r="R69" s="242"/>
      <c r="S69" s="213"/>
      <c r="T69" s="213"/>
    </row>
    <row r="70" spans="1:20" ht="18" customHeight="1" x14ac:dyDescent="0.25">
      <c r="A70" s="200"/>
      <c r="B70" s="36"/>
      <c r="C70" s="36"/>
      <c r="D70" s="36"/>
      <c r="E70" s="36"/>
      <c r="F70" s="36"/>
      <c r="G70" s="36"/>
      <c r="H70" s="36"/>
      <c r="I70" s="36"/>
      <c r="J70" s="36"/>
      <c r="K70" s="30"/>
      <c r="L70" s="199" t="s">
        <v>132</v>
      </c>
      <c r="M70" s="196">
        <f>M66*M68</f>
        <v>0.24073718975759481</v>
      </c>
      <c r="N70" s="196">
        <f t="shared" ref="N70:Q70" si="29">N66*N68</f>
        <v>9.5026209599326117E-2</v>
      </c>
      <c r="O70" s="196">
        <f t="shared" si="29"/>
        <v>4.3444745545446674E-2</v>
      </c>
      <c r="P70" s="196">
        <f t="shared" si="29"/>
        <v>4.3711232805013898E-2</v>
      </c>
      <c r="Q70" s="196">
        <f t="shared" si="29"/>
        <v>7.5405964369425857E-2</v>
      </c>
      <c r="R70" s="241"/>
      <c r="S70" s="33" t="s">
        <v>174</v>
      </c>
      <c r="T70" s="217"/>
    </row>
    <row r="71" spans="1:20" ht="18" customHeight="1" x14ac:dyDescent="0.25">
      <c r="A71" s="201"/>
      <c r="B71" s="74"/>
      <c r="C71" s="74"/>
      <c r="D71" s="74"/>
      <c r="E71" s="74"/>
      <c r="F71" s="74"/>
      <c r="G71" s="36"/>
      <c r="H71" s="36"/>
      <c r="I71" s="36"/>
      <c r="J71" s="36"/>
      <c r="K71" s="30"/>
      <c r="L71" s="33" t="s">
        <v>133</v>
      </c>
      <c r="M71" s="197">
        <f>B36</f>
        <v>14.753607219253892</v>
      </c>
      <c r="N71" s="197">
        <f>C36</f>
        <v>55.871043630303589</v>
      </c>
      <c r="O71" s="197">
        <f>D36</f>
        <v>121.44613672624084</v>
      </c>
      <c r="P71" s="197">
        <f>E36</f>
        <v>189.32090032786979</v>
      </c>
      <c r="Q71" s="197">
        <f>F36</f>
        <v>589.09245132552167</v>
      </c>
      <c r="R71" s="243"/>
      <c r="S71" s="79"/>
      <c r="T71" s="79"/>
    </row>
    <row r="72" spans="1:20" ht="18" customHeight="1" x14ac:dyDescent="0.25">
      <c r="A72" s="201"/>
      <c r="B72" s="131"/>
      <c r="C72" s="131"/>
      <c r="D72" s="131"/>
      <c r="E72" s="131"/>
      <c r="F72" s="131"/>
      <c r="G72" s="69"/>
      <c r="H72" s="69"/>
      <c r="I72" s="36"/>
      <c r="J72" s="36"/>
      <c r="K72" s="36"/>
      <c r="L72" s="212"/>
      <c r="M72" s="54"/>
      <c r="N72" s="54"/>
      <c r="O72" s="54"/>
      <c r="P72" s="142"/>
    </row>
    <row r="73" spans="1:20" ht="18" customHeight="1" x14ac:dyDescent="0.25"/>
  </sheetData>
  <mergeCells count="4">
    <mergeCell ref="K2:M2"/>
    <mergeCell ref="N2:O2"/>
    <mergeCell ref="P2:Q2"/>
    <mergeCell ref="N9:O9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4337" r:id="rId3">
          <objectPr defaultSize="0" autoPict="0" r:id="rId4">
            <anchor moveWithCells="1" sizeWithCells="1">
              <from>
                <xdr:col>0</xdr:col>
                <xdr:colOff>352425</xdr:colOff>
                <xdr:row>38</xdr:row>
                <xdr:rowOff>66675</xdr:rowOff>
              </from>
              <to>
                <xdr:col>0</xdr:col>
                <xdr:colOff>514350</xdr:colOff>
                <xdr:row>39</xdr:row>
                <xdr:rowOff>0</xdr:rowOff>
              </to>
            </anchor>
          </objectPr>
        </oleObject>
      </mc:Choice>
      <mc:Fallback>
        <oleObject progId="Equation.3" shapeId="14337" r:id="rId3"/>
      </mc:Fallback>
    </mc:AlternateContent>
    <mc:AlternateContent xmlns:mc="http://schemas.openxmlformats.org/markup-compatibility/2006">
      <mc:Choice Requires="x14">
        <oleObject progId="Equation.3" shapeId="14338" r:id="rId5">
          <objectPr defaultSize="0" autoPict="0" r:id="rId6">
            <anchor moveWithCells="1" sizeWithCells="1">
              <from>
                <xdr:col>0</xdr:col>
                <xdr:colOff>333375</xdr:colOff>
                <xdr:row>39</xdr:row>
                <xdr:rowOff>47625</xdr:rowOff>
              </from>
              <to>
                <xdr:col>0</xdr:col>
                <xdr:colOff>552450</xdr:colOff>
                <xdr:row>40</xdr:row>
                <xdr:rowOff>28575</xdr:rowOff>
              </to>
            </anchor>
          </objectPr>
        </oleObject>
      </mc:Choice>
      <mc:Fallback>
        <oleObject progId="Equation.3" shapeId="14338" r:id="rId5"/>
      </mc:Fallback>
    </mc:AlternateContent>
    <mc:AlternateContent xmlns:mc="http://schemas.openxmlformats.org/markup-compatibility/2006">
      <mc:Choice Requires="x14">
        <oleObject progId="Equation.3" shapeId="14339" r:id="rId7">
          <objectPr defaultSize="0" autoPict="0" r:id="rId8">
            <anchor moveWithCells="1" sizeWithCells="1">
              <from>
                <xdr:col>0</xdr:col>
                <xdr:colOff>9525</xdr:colOff>
                <xdr:row>55</xdr:row>
                <xdr:rowOff>19050</xdr:rowOff>
              </from>
              <to>
                <xdr:col>0</xdr:col>
                <xdr:colOff>247650</xdr:colOff>
                <xdr:row>56</xdr:row>
                <xdr:rowOff>28575</xdr:rowOff>
              </to>
            </anchor>
          </objectPr>
        </oleObject>
      </mc:Choice>
      <mc:Fallback>
        <oleObject progId="Equation.3" shapeId="14339" r:id="rId7"/>
      </mc:Fallback>
    </mc:AlternateContent>
    <mc:AlternateContent xmlns:mc="http://schemas.openxmlformats.org/markup-compatibility/2006">
      <mc:Choice Requires="x14">
        <oleObject progId="Equation.3" shapeId="14340" r:id="rId9">
          <objectPr defaultSize="0" autoPict="0" r:id="rId10">
            <anchor moveWithCells="1" sizeWithCells="1">
              <from>
                <xdr:col>0</xdr:col>
                <xdr:colOff>0</xdr:colOff>
                <xdr:row>56</xdr:row>
                <xdr:rowOff>19050</xdr:rowOff>
              </from>
              <to>
                <xdr:col>0</xdr:col>
                <xdr:colOff>733425</xdr:colOff>
                <xdr:row>57</xdr:row>
                <xdr:rowOff>28575</xdr:rowOff>
              </to>
            </anchor>
          </objectPr>
        </oleObject>
      </mc:Choice>
      <mc:Fallback>
        <oleObject progId="Equation.3" shapeId="14340" r:id="rId9"/>
      </mc:Fallback>
    </mc:AlternateContent>
    <mc:AlternateContent xmlns:mc="http://schemas.openxmlformats.org/markup-compatibility/2006">
      <mc:Choice Requires="x14">
        <oleObject progId="Equation.3" shapeId="14341" r:id="rId11">
          <objectPr defaultSize="0" autoPict="0" r:id="rId12">
            <anchor moveWithCells="1" sizeWithCells="1">
              <from>
                <xdr:col>0</xdr:col>
                <xdr:colOff>47625</xdr:colOff>
                <xdr:row>58</xdr:row>
                <xdr:rowOff>9525</xdr:rowOff>
              </from>
              <to>
                <xdr:col>0</xdr:col>
                <xdr:colOff>342900</xdr:colOff>
                <xdr:row>59</xdr:row>
                <xdr:rowOff>19050</xdr:rowOff>
              </to>
            </anchor>
          </objectPr>
        </oleObject>
      </mc:Choice>
      <mc:Fallback>
        <oleObject progId="Equation.3" shapeId="14341" r:id="rId11"/>
      </mc:Fallback>
    </mc:AlternateContent>
    <mc:AlternateContent xmlns:mc="http://schemas.openxmlformats.org/markup-compatibility/2006">
      <mc:Choice Requires="x14">
        <oleObject progId="Equation.3" shapeId="14342" r:id="rId13">
          <objectPr defaultSize="0" autoPict="0" r:id="rId14">
            <anchor moveWithCells="1" sizeWithCells="1">
              <from>
                <xdr:col>0</xdr:col>
                <xdr:colOff>19050</xdr:colOff>
                <xdr:row>57</xdr:row>
                <xdr:rowOff>28575</xdr:rowOff>
              </from>
              <to>
                <xdr:col>0</xdr:col>
                <xdr:colOff>247650</xdr:colOff>
                <xdr:row>58</xdr:row>
                <xdr:rowOff>19050</xdr:rowOff>
              </to>
            </anchor>
          </objectPr>
        </oleObject>
      </mc:Choice>
      <mc:Fallback>
        <oleObject progId="Equation.3" shapeId="14342" r:id="rId13"/>
      </mc:Fallback>
    </mc:AlternateContent>
    <mc:AlternateContent xmlns:mc="http://schemas.openxmlformats.org/markup-compatibility/2006">
      <mc:Choice Requires="x14">
        <oleObject progId="Equation.3" shapeId="14343" r:id="rId15">
          <objectPr defaultSize="0" autoPict="0" r:id="rId16">
            <anchor moveWithCells="1" sizeWithCells="1">
              <from>
                <xdr:col>0</xdr:col>
                <xdr:colOff>66675</xdr:colOff>
                <xdr:row>41</xdr:row>
                <xdr:rowOff>9525</xdr:rowOff>
              </from>
              <to>
                <xdr:col>0</xdr:col>
                <xdr:colOff>371475</xdr:colOff>
                <xdr:row>42</xdr:row>
                <xdr:rowOff>19050</xdr:rowOff>
              </to>
            </anchor>
          </objectPr>
        </oleObject>
      </mc:Choice>
      <mc:Fallback>
        <oleObject progId="Equation.3" shapeId="14343" r:id="rId15"/>
      </mc:Fallback>
    </mc:AlternateContent>
    <mc:AlternateContent xmlns:mc="http://schemas.openxmlformats.org/markup-compatibility/2006">
      <mc:Choice Requires="x14">
        <oleObject progId="Equation.3" shapeId="14344" r:id="rId17">
          <objectPr defaultSize="0" autoPict="0" r:id="rId18">
            <anchor moveWithCells="1" sizeWithCells="1">
              <from>
                <xdr:col>0</xdr:col>
                <xdr:colOff>47625</xdr:colOff>
                <xdr:row>42</xdr:row>
                <xdr:rowOff>9525</xdr:rowOff>
              </from>
              <to>
                <xdr:col>0</xdr:col>
                <xdr:colOff>609600</xdr:colOff>
                <xdr:row>43</xdr:row>
                <xdr:rowOff>19050</xdr:rowOff>
              </to>
            </anchor>
          </objectPr>
        </oleObject>
      </mc:Choice>
      <mc:Fallback>
        <oleObject progId="Equation.3" shapeId="14344" r:id="rId17"/>
      </mc:Fallback>
    </mc:AlternateContent>
    <mc:AlternateContent xmlns:mc="http://schemas.openxmlformats.org/markup-compatibility/2006">
      <mc:Choice Requires="x14">
        <oleObject progId="Equation.3" shapeId="14345" r:id="rId19">
          <objectPr defaultSize="0" autoPict="0" r:id="rId20">
            <anchor moveWithCells="1" sizeWithCells="1">
              <from>
                <xdr:col>0</xdr:col>
                <xdr:colOff>47625</xdr:colOff>
                <xdr:row>45</xdr:row>
                <xdr:rowOff>28575</xdr:rowOff>
              </from>
              <to>
                <xdr:col>0</xdr:col>
                <xdr:colOff>209550</xdr:colOff>
                <xdr:row>46</xdr:row>
                <xdr:rowOff>19050</xdr:rowOff>
              </to>
            </anchor>
          </objectPr>
        </oleObject>
      </mc:Choice>
      <mc:Fallback>
        <oleObject progId="Equation.3" shapeId="14345" r:id="rId19"/>
      </mc:Fallback>
    </mc:AlternateContent>
    <mc:AlternateContent xmlns:mc="http://schemas.openxmlformats.org/markup-compatibility/2006">
      <mc:Choice Requires="x14">
        <oleObject progId="Equation.3" shapeId="14346" r:id="rId21">
          <objectPr defaultSize="0" autoPict="0" r:id="rId22">
            <anchor moveWithCells="1" sizeWithCells="1">
              <from>
                <xdr:col>0</xdr:col>
                <xdr:colOff>19050</xdr:colOff>
                <xdr:row>35</xdr:row>
                <xdr:rowOff>0</xdr:rowOff>
              </from>
              <to>
                <xdr:col>0</xdr:col>
                <xdr:colOff>371475</xdr:colOff>
                <xdr:row>36</xdr:row>
                <xdr:rowOff>9525</xdr:rowOff>
              </to>
            </anchor>
          </objectPr>
        </oleObject>
      </mc:Choice>
      <mc:Fallback>
        <oleObject progId="Equation.3" shapeId="14346" r:id="rId21"/>
      </mc:Fallback>
    </mc:AlternateContent>
    <mc:AlternateContent xmlns:mc="http://schemas.openxmlformats.org/markup-compatibility/2006">
      <mc:Choice Requires="x14">
        <oleObject progId="Equation.3" shapeId="14347" r:id="rId23">
          <objectPr defaultSize="0" autoPict="0" r:id="rId24">
            <anchor moveWithCells="1" sizeWithCells="1">
              <from>
                <xdr:col>0</xdr:col>
                <xdr:colOff>57150</xdr:colOff>
                <xdr:row>48</xdr:row>
                <xdr:rowOff>19050</xdr:rowOff>
              </from>
              <to>
                <xdr:col>0</xdr:col>
                <xdr:colOff>381000</xdr:colOff>
                <xdr:row>49</xdr:row>
                <xdr:rowOff>9525</xdr:rowOff>
              </to>
            </anchor>
          </objectPr>
        </oleObject>
      </mc:Choice>
      <mc:Fallback>
        <oleObject progId="Equation.3" shapeId="14347" r:id="rId23"/>
      </mc:Fallback>
    </mc:AlternateContent>
    <mc:AlternateContent xmlns:mc="http://schemas.openxmlformats.org/markup-compatibility/2006">
      <mc:Choice Requires="x14">
        <oleObject progId="Equation.3" shapeId="14348" r:id="rId25">
          <objectPr defaultSize="0" autoPict="0" r:id="rId26">
            <anchor moveWithCells="1" sizeWithCells="1">
              <from>
                <xdr:col>0</xdr:col>
                <xdr:colOff>28575</xdr:colOff>
                <xdr:row>43</xdr:row>
                <xdr:rowOff>9525</xdr:rowOff>
              </from>
              <to>
                <xdr:col>0</xdr:col>
                <xdr:colOff>438150</xdr:colOff>
                <xdr:row>43</xdr:row>
                <xdr:rowOff>219075</xdr:rowOff>
              </to>
            </anchor>
          </objectPr>
        </oleObject>
      </mc:Choice>
      <mc:Fallback>
        <oleObject progId="Equation.3" shapeId="14348" r:id="rId25"/>
      </mc:Fallback>
    </mc:AlternateContent>
    <mc:AlternateContent xmlns:mc="http://schemas.openxmlformats.org/markup-compatibility/2006">
      <mc:Choice Requires="x14">
        <oleObject progId="Equation.3" shapeId="14349" r:id="rId27">
          <objectPr defaultSize="0" autoPict="0" r:id="rId28">
            <anchor moveWithCells="1" sizeWithCells="1">
              <from>
                <xdr:col>0</xdr:col>
                <xdr:colOff>28575</xdr:colOff>
                <xdr:row>44</xdr:row>
                <xdr:rowOff>9525</xdr:rowOff>
              </from>
              <to>
                <xdr:col>0</xdr:col>
                <xdr:colOff>438150</xdr:colOff>
                <xdr:row>45</xdr:row>
                <xdr:rowOff>0</xdr:rowOff>
              </to>
            </anchor>
          </objectPr>
        </oleObject>
      </mc:Choice>
      <mc:Fallback>
        <oleObject progId="Equation.3" shapeId="14349" r:id="rId27"/>
      </mc:Fallback>
    </mc:AlternateContent>
    <mc:AlternateContent xmlns:mc="http://schemas.openxmlformats.org/markup-compatibility/2006">
      <mc:Choice Requires="x14">
        <oleObject progId="Equation.3" shapeId="14350" r:id="rId29">
          <objectPr defaultSize="0" autoPict="0" r:id="rId30">
            <anchor moveWithCells="1" sizeWithCells="1">
              <from>
                <xdr:col>0</xdr:col>
                <xdr:colOff>19050</xdr:colOff>
                <xdr:row>47</xdr:row>
                <xdr:rowOff>0</xdr:rowOff>
              </from>
              <to>
                <xdr:col>0</xdr:col>
                <xdr:colOff>590550</xdr:colOff>
                <xdr:row>48</xdr:row>
                <xdr:rowOff>9525</xdr:rowOff>
              </to>
            </anchor>
          </objectPr>
        </oleObject>
      </mc:Choice>
      <mc:Fallback>
        <oleObject progId="Equation.3" shapeId="14350" r:id="rId29"/>
      </mc:Fallback>
    </mc:AlternateContent>
    <mc:AlternateContent xmlns:mc="http://schemas.openxmlformats.org/markup-compatibility/2006">
      <mc:Choice Requires="x14">
        <oleObject progId="Equation.3" shapeId="14351" r:id="rId31">
          <objectPr defaultSize="0" autoPict="0" r:id="rId32">
            <anchor moveWithCells="1" sizeWithCells="1">
              <from>
                <xdr:col>0</xdr:col>
                <xdr:colOff>304800</xdr:colOff>
                <xdr:row>8</xdr:row>
                <xdr:rowOff>9525</xdr:rowOff>
              </from>
              <to>
                <xdr:col>0</xdr:col>
                <xdr:colOff>733425</xdr:colOff>
                <xdr:row>9</xdr:row>
                <xdr:rowOff>19050</xdr:rowOff>
              </to>
            </anchor>
          </objectPr>
        </oleObject>
      </mc:Choice>
      <mc:Fallback>
        <oleObject progId="Equation.3" shapeId="14351" r:id="rId31"/>
      </mc:Fallback>
    </mc:AlternateContent>
    <mc:AlternateContent xmlns:mc="http://schemas.openxmlformats.org/markup-compatibility/2006">
      <mc:Choice Requires="x14">
        <oleObject progId="Equation.3" shapeId="14352" r:id="rId33">
          <objectPr defaultSize="0" autoPict="0" r:id="rId34">
            <anchor moveWithCells="1" sizeWithCells="1">
              <from>
                <xdr:col>0</xdr:col>
                <xdr:colOff>28575</xdr:colOff>
                <xdr:row>26</xdr:row>
                <xdr:rowOff>9525</xdr:rowOff>
              </from>
              <to>
                <xdr:col>0</xdr:col>
                <xdr:colOff>295275</xdr:colOff>
                <xdr:row>27</xdr:row>
                <xdr:rowOff>19050</xdr:rowOff>
              </to>
            </anchor>
          </objectPr>
        </oleObject>
      </mc:Choice>
      <mc:Fallback>
        <oleObject progId="Equation.3" shapeId="14352" r:id="rId33"/>
      </mc:Fallback>
    </mc:AlternateContent>
    <mc:AlternateContent xmlns:mc="http://schemas.openxmlformats.org/markup-compatibility/2006">
      <mc:Choice Requires="x14">
        <oleObject progId="Equation.3" shapeId="14353" r:id="rId35">
          <objectPr defaultSize="0" autoPict="0" r:id="rId36">
            <anchor moveWithCells="1" sizeWithCells="1">
              <from>
                <xdr:col>0</xdr:col>
                <xdr:colOff>304800</xdr:colOff>
                <xdr:row>28</xdr:row>
                <xdr:rowOff>9525</xdr:rowOff>
              </from>
              <to>
                <xdr:col>0</xdr:col>
                <xdr:colOff>762000</xdr:colOff>
                <xdr:row>29</xdr:row>
                <xdr:rowOff>19050</xdr:rowOff>
              </to>
            </anchor>
          </objectPr>
        </oleObject>
      </mc:Choice>
      <mc:Fallback>
        <oleObject progId="Equation.3" shapeId="14353" r:id="rId35"/>
      </mc:Fallback>
    </mc:AlternateContent>
    <mc:AlternateContent xmlns:mc="http://schemas.openxmlformats.org/markup-compatibility/2006">
      <mc:Choice Requires="x14">
        <oleObject progId="Equation.3" shapeId="14354" r:id="rId37">
          <objectPr defaultSize="0" autoPict="0" r:id="rId38">
            <anchor moveWithCells="1" sizeWithCells="1">
              <from>
                <xdr:col>0</xdr:col>
                <xdr:colOff>342900</xdr:colOff>
                <xdr:row>29</xdr:row>
                <xdr:rowOff>9525</xdr:rowOff>
              </from>
              <to>
                <xdr:col>0</xdr:col>
                <xdr:colOff>857250</xdr:colOff>
                <xdr:row>30</xdr:row>
                <xdr:rowOff>19050</xdr:rowOff>
              </to>
            </anchor>
          </objectPr>
        </oleObject>
      </mc:Choice>
      <mc:Fallback>
        <oleObject progId="Equation.3" shapeId="14354" r:id="rId37"/>
      </mc:Fallback>
    </mc:AlternateContent>
    <mc:AlternateContent xmlns:mc="http://schemas.openxmlformats.org/markup-compatibility/2006">
      <mc:Choice Requires="x14">
        <oleObject progId="Equation.3" shapeId="14355" r:id="rId39">
          <objectPr defaultSize="0" autoPict="0" r:id="rId40">
            <anchor moveWithCells="1" sizeWithCells="1">
              <from>
                <xdr:col>0</xdr:col>
                <xdr:colOff>295275</xdr:colOff>
                <xdr:row>36</xdr:row>
                <xdr:rowOff>28575</xdr:rowOff>
              </from>
              <to>
                <xdr:col>0</xdr:col>
                <xdr:colOff>800100</xdr:colOff>
                <xdr:row>37</xdr:row>
                <xdr:rowOff>9525</xdr:rowOff>
              </to>
            </anchor>
          </objectPr>
        </oleObject>
      </mc:Choice>
      <mc:Fallback>
        <oleObject progId="Equation.3" shapeId="14355" r:id="rId39"/>
      </mc:Fallback>
    </mc:AlternateContent>
    <mc:AlternateContent xmlns:mc="http://schemas.openxmlformats.org/markup-compatibility/2006">
      <mc:Choice Requires="x14">
        <oleObject progId="Equation.3" shapeId="14356" r:id="rId41">
          <objectPr defaultSize="0" autoPict="0" r:id="rId42">
            <anchor moveWithCells="1" sizeWithCells="1">
              <from>
                <xdr:col>0</xdr:col>
                <xdr:colOff>333375</xdr:colOff>
                <xdr:row>37</xdr:row>
                <xdr:rowOff>28575</xdr:rowOff>
              </from>
              <to>
                <xdr:col>0</xdr:col>
                <xdr:colOff>904875</xdr:colOff>
                <xdr:row>38</xdr:row>
                <xdr:rowOff>0</xdr:rowOff>
              </to>
            </anchor>
          </objectPr>
        </oleObject>
      </mc:Choice>
      <mc:Fallback>
        <oleObject progId="Equation.3" shapeId="14356" r:id="rId41"/>
      </mc:Fallback>
    </mc:AlternateContent>
    <mc:AlternateContent xmlns:mc="http://schemas.openxmlformats.org/markup-compatibility/2006">
      <mc:Choice Requires="x14">
        <oleObject progId="Equation.3" shapeId="14357" r:id="rId43">
          <objectPr defaultSize="0" autoPict="0" r:id="rId34">
            <anchor moveWithCells="1" sizeWithCells="1">
              <from>
                <xdr:col>11</xdr:col>
                <xdr:colOff>28575</xdr:colOff>
                <xdr:row>35</xdr:row>
                <xdr:rowOff>9525</xdr:rowOff>
              </from>
              <to>
                <xdr:col>11</xdr:col>
                <xdr:colOff>295275</xdr:colOff>
                <xdr:row>36</xdr:row>
                <xdr:rowOff>19050</xdr:rowOff>
              </to>
            </anchor>
          </objectPr>
        </oleObject>
      </mc:Choice>
      <mc:Fallback>
        <oleObject progId="Equation.3" shapeId="14357" r:id="rId43"/>
      </mc:Fallback>
    </mc:AlternateContent>
    <mc:AlternateContent xmlns:mc="http://schemas.openxmlformats.org/markup-compatibility/2006">
      <mc:Choice Requires="x14">
        <oleObject progId="Equation.3" shapeId="14358" r:id="rId44">
          <objectPr defaultSize="0" autoPict="0" r:id="rId45">
            <anchor moveWithCells="1" sizeWithCells="1">
              <from>
                <xdr:col>0</xdr:col>
                <xdr:colOff>28575</xdr:colOff>
                <xdr:row>49</xdr:row>
                <xdr:rowOff>9525</xdr:rowOff>
              </from>
              <to>
                <xdr:col>0</xdr:col>
                <xdr:colOff>523875</xdr:colOff>
                <xdr:row>50</xdr:row>
                <xdr:rowOff>0</xdr:rowOff>
              </to>
            </anchor>
          </objectPr>
        </oleObject>
      </mc:Choice>
      <mc:Fallback>
        <oleObject progId="Equation.3" shapeId="14358" r:id="rId44"/>
      </mc:Fallback>
    </mc:AlternateContent>
    <mc:AlternateContent xmlns:mc="http://schemas.openxmlformats.org/markup-compatibility/2006">
      <mc:Choice Requires="x14">
        <oleObject progId="Equation.3" shapeId="14359" r:id="rId46">
          <objectPr defaultSize="0" autoPict="0" r:id="rId47">
            <anchor moveWithCells="1" sizeWithCells="1">
              <from>
                <xdr:col>0</xdr:col>
                <xdr:colOff>76200</xdr:colOff>
                <xdr:row>49</xdr:row>
                <xdr:rowOff>209550</xdr:rowOff>
              </from>
              <to>
                <xdr:col>0</xdr:col>
                <xdr:colOff>647700</xdr:colOff>
                <xdr:row>50</xdr:row>
                <xdr:rowOff>219075</xdr:rowOff>
              </to>
            </anchor>
          </objectPr>
        </oleObject>
      </mc:Choice>
      <mc:Fallback>
        <oleObject progId="Equation.3" shapeId="14359" r:id="rId46"/>
      </mc:Fallback>
    </mc:AlternateContent>
    <mc:AlternateContent xmlns:mc="http://schemas.openxmlformats.org/markup-compatibility/2006">
      <mc:Choice Requires="x14">
        <oleObject progId="Equation.3" shapeId="14360" r:id="rId48">
          <objectPr defaultSize="0" autoPict="0" r:id="rId49">
            <anchor moveWithCells="1" sizeWithCells="1">
              <from>
                <xdr:col>0</xdr:col>
                <xdr:colOff>28575</xdr:colOff>
                <xdr:row>51</xdr:row>
                <xdr:rowOff>19050</xdr:rowOff>
              </from>
              <to>
                <xdr:col>0</xdr:col>
                <xdr:colOff>523875</xdr:colOff>
                <xdr:row>52</xdr:row>
                <xdr:rowOff>9525</xdr:rowOff>
              </to>
            </anchor>
          </objectPr>
        </oleObject>
      </mc:Choice>
      <mc:Fallback>
        <oleObject progId="Equation.3" shapeId="14360" r:id="rId48"/>
      </mc:Fallback>
    </mc:AlternateContent>
    <mc:AlternateContent xmlns:mc="http://schemas.openxmlformats.org/markup-compatibility/2006">
      <mc:Choice Requires="x14">
        <oleObject progId="Equation.3" shapeId="14361" r:id="rId50">
          <objectPr defaultSize="0" autoPict="0" r:id="rId51">
            <anchor moveWithCells="1" sizeWithCells="1">
              <from>
                <xdr:col>0</xdr:col>
                <xdr:colOff>38100</xdr:colOff>
                <xdr:row>52</xdr:row>
                <xdr:rowOff>9525</xdr:rowOff>
              </from>
              <to>
                <xdr:col>0</xdr:col>
                <xdr:colOff>609600</xdr:colOff>
                <xdr:row>53</xdr:row>
                <xdr:rowOff>19050</xdr:rowOff>
              </to>
            </anchor>
          </objectPr>
        </oleObject>
      </mc:Choice>
      <mc:Fallback>
        <oleObject progId="Equation.3" shapeId="14361" r:id="rId50"/>
      </mc:Fallback>
    </mc:AlternateContent>
    <mc:AlternateContent xmlns:mc="http://schemas.openxmlformats.org/markup-compatibility/2006">
      <mc:Choice Requires="x14">
        <oleObject progId="Equation.3" shapeId="14362" r:id="rId52">
          <objectPr defaultSize="0" autoPict="0" r:id="rId53">
            <anchor moveWithCells="1" sizeWithCells="1">
              <from>
                <xdr:col>0</xdr:col>
                <xdr:colOff>19050</xdr:colOff>
                <xdr:row>53</xdr:row>
                <xdr:rowOff>28575</xdr:rowOff>
              </from>
              <to>
                <xdr:col>0</xdr:col>
                <xdr:colOff>514350</xdr:colOff>
                <xdr:row>54</xdr:row>
                <xdr:rowOff>28575</xdr:rowOff>
              </to>
            </anchor>
          </objectPr>
        </oleObject>
      </mc:Choice>
      <mc:Fallback>
        <oleObject progId="Equation.3" shapeId="14362" r:id="rId52"/>
      </mc:Fallback>
    </mc:AlternateContent>
    <mc:AlternateContent xmlns:mc="http://schemas.openxmlformats.org/markup-compatibility/2006">
      <mc:Choice Requires="x14">
        <oleObject progId="Equation.3" shapeId="14363" r:id="rId54">
          <objectPr defaultSize="0" autoPict="0" r:id="rId55">
            <anchor moveWithCells="1" sizeWithCells="1">
              <from>
                <xdr:col>0</xdr:col>
                <xdr:colOff>19050</xdr:colOff>
                <xdr:row>54</xdr:row>
                <xdr:rowOff>9525</xdr:rowOff>
              </from>
              <to>
                <xdr:col>0</xdr:col>
                <xdr:colOff>590550</xdr:colOff>
                <xdr:row>55</xdr:row>
                <xdr:rowOff>19050</xdr:rowOff>
              </to>
            </anchor>
          </objectPr>
        </oleObject>
      </mc:Choice>
      <mc:Fallback>
        <oleObject progId="Equation.3" shapeId="14363" r:id="rId54"/>
      </mc:Fallback>
    </mc:AlternateContent>
    <mc:AlternateContent xmlns:mc="http://schemas.openxmlformats.org/markup-compatibility/2006">
      <mc:Choice Requires="x14">
        <oleObject progId="Equation.3" shapeId="14364" r:id="rId56">
          <objectPr defaultSize="0" autoPict="0" r:id="rId57">
            <anchor moveWithCells="1" sizeWithCells="1">
              <from>
                <xdr:col>0</xdr:col>
                <xdr:colOff>38100</xdr:colOff>
                <xdr:row>1</xdr:row>
                <xdr:rowOff>19050</xdr:rowOff>
              </from>
              <to>
                <xdr:col>0</xdr:col>
                <xdr:colOff>190500</xdr:colOff>
                <xdr:row>2</xdr:row>
                <xdr:rowOff>9525</xdr:rowOff>
              </to>
            </anchor>
          </objectPr>
        </oleObject>
      </mc:Choice>
      <mc:Fallback>
        <oleObject progId="Equation.3" shapeId="14364" r:id="rId56"/>
      </mc:Fallback>
    </mc:AlternateContent>
    <mc:AlternateContent xmlns:mc="http://schemas.openxmlformats.org/markup-compatibility/2006">
      <mc:Choice Requires="x14">
        <oleObject progId="Equation.3" shapeId="14365" r:id="rId58">
          <objectPr defaultSize="0" autoPict="0" r:id="rId59">
            <anchor moveWithCells="1" sizeWithCells="1">
              <from>
                <xdr:col>0</xdr:col>
                <xdr:colOff>314325</xdr:colOff>
                <xdr:row>2</xdr:row>
                <xdr:rowOff>9525</xdr:rowOff>
              </from>
              <to>
                <xdr:col>0</xdr:col>
                <xdr:colOff>666750</xdr:colOff>
                <xdr:row>3</xdr:row>
                <xdr:rowOff>19050</xdr:rowOff>
              </to>
            </anchor>
          </objectPr>
        </oleObject>
      </mc:Choice>
      <mc:Fallback>
        <oleObject progId="Equation.3" shapeId="14365" r:id="rId58"/>
      </mc:Fallback>
    </mc:AlternateContent>
    <mc:AlternateContent xmlns:mc="http://schemas.openxmlformats.org/markup-compatibility/2006">
      <mc:Choice Requires="x14">
        <oleObject progId="Equation.3" shapeId="14366" r:id="rId60">
          <objectPr defaultSize="0" autoPict="0" r:id="rId61">
            <anchor moveWithCells="1" sizeWithCells="1">
              <from>
                <xdr:col>0</xdr:col>
                <xdr:colOff>323850</xdr:colOff>
                <xdr:row>3</xdr:row>
                <xdr:rowOff>0</xdr:rowOff>
              </from>
              <to>
                <xdr:col>0</xdr:col>
                <xdr:colOff>742950</xdr:colOff>
                <xdr:row>4</xdr:row>
                <xdr:rowOff>28575</xdr:rowOff>
              </to>
            </anchor>
          </objectPr>
        </oleObject>
      </mc:Choice>
      <mc:Fallback>
        <oleObject progId="Equation.3" shapeId="14366" r:id="rId60"/>
      </mc:Fallback>
    </mc:AlternateContent>
    <mc:AlternateContent xmlns:mc="http://schemas.openxmlformats.org/markup-compatibility/2006">
      <mc:Choice Requires="x14">
        <oleObject progId="Equation.3" shapeId="14367" r:id="rId62">
          <objectPr defaultSize="0" autoPict="0" r:id="rId63">
            <anchor moveWithCells="1" sizeWithCells="1">
              <from>
                <xdr:col>0</xdr:col>
                <xdr:colOff>57150</xdr:colOff>
                <xdr:row>4</xdr:row>
                <xdr:rowOff>0</xdr:rowOff>
              </from>
              <to>
                <xdr:col>0</xdr:col>
                <xdr:colOff>247650</xdr:colOff>
                <xdr:row>5</xdr:row>
                <xdr:rowOff>0</xdr:rowOff>
              </to>
            </anchor>
          </objectPr>
        </oleObject>
      </mc:Choice>
      <mc:Fallback>
        <oleObject progId="Equation.3" shapeId="14367" r:id="rId62"/>
      </mc:Fallback>
    </mc:AlternateContent>
    <mc:AlternateContent xmlns:mc="http://schemas.openxmlformats.org/markup-compatibility/2006">
      <mc:Choice Requires="x14">
        <oleObject progId="Equation.3" shapeId="14368" r:id="rId64">
          <objectPr defaultSize="0" autoPict="0" r:id="rId18">
            <anchor moveWithCells="1" sizeWithCells="1">
              <from>
                <xdr:col>7</xdr:col>
                <xdr:colOff>47625</xdr:colOff>
                <xdr:row>42</xdr:row>
                <xdr:rowOff>9525</xdr:rowOff>
              </from>
              <to>
                <xdr:col>8</xdr:col>
                <xdr:colOff>0</xdr:colOff>
                <xdr:row>43</xdr:row>
                <xdr:rowOff>19050</xdr:rowOff>
              </to>
            </anchor>
          </objectPr>
        </oleObject>
      </mc:Choice>
      <mc:Fallback>
        <oleObject progId="Equation.3" shapeId="14368" r:id="rId64"/>
      </mc:Fallback>
    </mc:AlternateContent>
    <mc:AlternateContent xmlns:mc="http://schemas.openxmlformats.org/markup-compatibility/2006">
      <mc:Choice Requires="x14">
        <oleObject progId="Equation.3" shapeId="14369" r:id="rId65">
          <objectPr defaultSize="0" autoPict="0" r:id="rId16">
            <anchor moveWithCells="1" sizeWithCells="1">
              <from>
                <xdr:col>7</xdr:col>
                <xdr:colOff>57150</xdr:colOff>
                <xdr:row>40</xdr:row>
                <xdr:rowOff>219075</xdr:rowOff>
              </from>
              <to>
                <xdr:col>7</xdr:col>
                <xdr:colOff>361950</xdr:colOff>
                <xdr:row>42</xdr:row>
                <xdr:rowOff>0</xdr:rowOff>
              </to>
            </anchor>
          </objectPr>
        </oleObject>
      </mc:Choice>
      <mc:Fallback>
        <oleObject progId="Equation.3" shapeId="14369" r:id="rId6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Исходные данные</vt:lpstr>
      <vt:lpstr>5 МГц</vt:lpstr>
      <vt:lpstr>10 МГц</vt:lpstr>
      <vt:lpstr>16 МГц</vt:lpstr>
      <vt:lpstr>20 МГц</vt:lpstr>
      <vt:lpstr>32МГц-2017</vt:lpstr>
      <vt:lpstr>Простая обработка</vt:lpstr>
      <vt:lpstr>Обработка</vt:lpstr>
      <vt:lpstr>Погр. по средним</vt:lpstr>
      <vt:lpstr>Погрешность</vt:lpstr>
      <vt:lpstr>Погрешность_Без диф.попр</vt:lpstr>
      <vt:lpstr>Диф.поправка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Шарыпов</dc:creator>
  <cp:lastModifiedBy>Роман Шарыпов</cp:lastModifiedBy>
  <cp:lastPrinted>2017-12-22T06:44:02Z</cp:lastPrinted>
  <dcterms:created xsi:type="dcterms:W3CDTF">2017-12-10T17:53:26Z</dcterms:created>
  <dcterms:modified xsi:type="dcterms:W3CDTF">2020-11-23T13:21:48Z</dcterms:modified>
</cp:coreProperties>
</file>