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Finance Manager Course\Capital budgeting exercise\"/>
    </mc:Choice>
  </mc:AlternateContent>
  <bookViews>
    <workbookView xWindow="0" yWindow="0" windowWidth="28800" windowHeight="12450" firstSheet="4" activeTab="9"/>
  </bookViews>
  <sheets>
    <sheet name="Input --&gt;" sheetId="17" r:id="rId1"/>
    <sheet name="Drivers" sheetId="3" r:id="rId2"/>
    <sheet name="Workings --&gt;" sheetId="18" r:id="rId3"/>
    <sheet name="Savings forecast" sheetId="1" r:id="rId4"/>
    <sheet name="Fixed asset roll-forward" sheetId="2" r:id="rId5"/>
    <sheet name="Working capital" sheetId="5" r:id="rId6"/>
    <sheet name="Financing" sheetId="7" r:id="rId7"/>
    <sheet name="P&amp;L" sheetId="12" r:id="rId8"/>
    <sheet name="Cash Flow" sheetId="9" r:id="rId9"/>
    <sheet name="WACC" sheetId="14" r:id="rId10"/>
    <sheet name="Output --&gt;" sheetId="19" state="hidden" r:id="rId11"/>
    <sheet name="Discounted Cash Flows" sheetId="16" state="hidden" r:id="rId1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6" l="1"/>
  <c r="C3" i="3" l="1"/>
  <c r="C19" i="7" l="1"/>
  <c r="C4" i="14" l="1"/>
  <c r="C6" i="14"/>
  <c r="D11" i="14"/>
  <c r="C11" i="14"/>
  <c r="D10" i="14"/>
  <c r="C10" i="14"/>
  <c r="D9" i="14"/>
  <c r="C9" i="14"/>
  <c r="C5" i="14"/>
  <c r="C3" i="14"/>
  <c r="C20" i="7"/>
  <c r="C16" i="7"/>
  <c r="C25" i="14" l="1"/>
  <c r="C26" i="14"/>
  <c r="O13" i="9"/>
  <c r="C6" i="2"/>
  <c r="C5" i="2"/>
  <c r="C4" i="2"/>
  <c r="L30" i="14" l="1"/>
  <c r="H30" i="14"/>
  <c r="D30" i="14"/>
  <c r="F30" i="14"/>
  <c r="I30" i="14"/>
  <c r="K30" i="14"/>
  <c r="G30" i="14"/>
  <c r="C30" i="14"/>
  <c r="J30" i="14"/>
  <c r="M30" i="14"/>
  <c r="E30" i="14"/>
  <c r="C7" i="7"/>
  <c r="C6" i="7"/>
  <c r="C11" i="7" s="1"/>
  <c r="C12" i="7" l="1"/>
  <c r="C14" i="7" s="1"/>
  <c r="C15" i="14" s="1"/>
  <c r="C10" i="5"/>
  <c r="C9" i="5"/>
  <c r="C5" i="5"/>
  <c r="C4" i="5"/>
  <c r="C23" i="3"/>
  <c r="L15" i="2"/>
  <c r="M7" i="9" s="1"/>
  <c r="C15" i="2"/>
  <c r="K21" i="2" s="1"/>
  <c r="C14" i="2"/>
  <c r="K15" i="2"/>
  <c r="J15" i="2"/>
  <c r="I15" i="2"/>
  <c r="H15" i="2"/>
  <c r="G15" i="2"/>
  <c r="F15" i="2"/>
  <c r="E15" i="2"/>
  <c r="B8" i="2"/>
  <c r="D15" i="2"/>
  <c r="K22" i="2" s="1"/>
  <c r="C24" i="1"/>
  <c r="C23" i="1"/>
  <c r="C20" i="1"/>
  <c r="C19" i="1"/>
  <c r="L10" i="1"/>
  <c r="K10" i="1"/>
  <c r="J10" i="1"/>
  <c r="I10" i="1"/>
  <c r="H10" i="1"/>
  <c r="G10" i="1"/>
  <c r="F10" i="1"/>
  <c r="E10" i="1"/>
  <c r="D10" i="1"/>
  <c r="C10" i="1"/>
  <c r="L9" i="1"/>
  <c r="L11" i="1" s="1"/>
  <c r="K9" i="1"/>
  <c r="J9" i="1"/>
  <c r="I9" i="1"/>
  <c r="H9" i="1"/>
  <c r="H11" i="1" s="1"/>
  <c r="G9" i="1"/>
  <c r="F9" i="1"/>
  <c r="E9" i="1"/>
  <c r="D9" i="1"/>
  <c r="D11" i="1" s="1"/>
  <c r="C9" i="1"/>
  <c r="L8" i="1"/>
  <c r="K8" i="1"/>
  <c r="J8" i="1"/>
  <c r="I8" i="1"/>
  <c r="H8" i="1"/>
  <c r="G8" i="1"/>
  <c r="F8" i="1"/>
  <c r="E8" i="1"/>
  <c r="D8" i="1"/>
  <c r="C8" i="1"/>
  <c r="E18" i="7" l="1"/>
  <c r="I18" i="7"/>
  <c r="M18" i="7"/>
  <c r="C3" i="7"/>
  <c r="C7" i="9"/>
  <c r="C8" i="9" s="1"/>
  <c r="D11" i="7"/>
  <c r="K12" i="7" s="1"/>
  <c r="K9" i="9" s="1"/>
  <c r="C11" i="1"/>
  <c r="G11" i="1"/>
  <c r="K11" i="1"/>
  <c r="E11" i="1"/>
  <c r="I11" i="1"/>
  <c r="F11" i="1"/>
  <c r="J11" i="1"/>
  <c r="F7" i="9"/>
  <c r="L23" i="2"/>
  <c r="H23" i="2"/>
  <c r="K23" i="2"/>
  <c r="G23" i="2"/>
  <c r="I23" i="2"/>
  <c r="J23" i="2"/>
  <c r="F23" i="2"/>
  <c r="J7" i="9"/>
  <c r="J27" i="2"/>
  <c r="K27" i="2"/>
  <c r="L27" i="2"/>
  <c r="G7" i="9"/>
  <c r="J24" i="2"/>
  <c r="G24" i="2"/>
  <c r="I24" i="2"/>
  <c r="L24" i="2"/>
  <c r="H24" i="2"/>
  <c r="K24" i="2"/>
  <c r="K7" i="9"/>
  <c r="L28" i="2"/>
  <c r="K28" i="2"/>
  <c r="H7" i="9"/>
  <c r="I25" i="2"/>
  <c r="L25" i="2"/>
  <c r="H25" i="2"/>
  <c r="J25" i="2"/>
  <c r="K25" i="2"/>
  <c r="L7" i="9"/>
  <c r="L29" i="2"/>
  <c r="I7" i="9"/>
  <c r="I26" i="2"/>
  <c r="L26" i="2"/>
  <c r="K26" i="2"/>
  <c r="J26" i="2"/>
  <c r="D7" i="9"/>
  <c r="E7" i="9"/>
  <c r="C11" i="5"/>
  <c r="C6" i="5"/>
  <c r="D24" i="1"/>
  <c r="E24" i="1" s="1"/>
  <c r="F24" i="1" s="1"/>
  <c r="G24" i="1" s="1"/>
  <c r="H24" i="1" s="1"/>
  <c r="I24" i="1" s="1"/>
  <c r="J24" i="1" s="1"/>
  <c r="K24" i="1" s="1"/>
  <c r="L24" i="1" s="1"/>
  <c r="L14" i="5" s="1"/>
  <c r="H21" i="2"/>
  <c r="L21" i="2"/>
  <c r="H22" i="2"/>
  <c r="D21" i="2"/>
  <c r="L22" i="2"/>
  <c r="F20" i="2"/>
  <c r="J20" i="2"/>
  <c r="E21" i="2"/>
  <c r="I21" i="2"/>
  <c r="E22" i="2"/>
  <c r="I22" i="2"/>
  <c r="I20" i="2"/>
  <c r="C20" i="2"/>
  <c r="G20" i="2"/>
  <c r="K20" i="2"/>
  <c r="F21" i="2"/>
  <c r="J21" i="2"/>
  <c r="F22" i="2"/>
  <c r="J22" i="2"/>
  <c r="E20" i="2"/>
  <c r="D20" i="2"/>
  <c r="H20" i="2"/>
  <c r="L20" i="2"/>
  <c r="G21" i="2"/>
  <c r="G22" i="2"/>
  <c r="C25" i="1"/>
  <c r="C29" i="1" s="1"/>
  <c r="D23" i="1"/>
  <c r="E23" i="1" s="1"/>
  <c r="M19" i="7" l="1"/>
  <c r="M20" i="7" s="1"/>
  <c r="I19" i="7"/>
  <c r="I20" i="7" s="1"/>
  <c r="E19" i="7"/>
  <c r="E20" i="7" s="1"/>
  <c r="H14" i="5"/>
  <c r="D14" i="5"/>
  <c r="C13" i="9"/>
  <c r="C22" i="7" s="1"/>
  <c r="C23" i="7" s="1"/>
  <c r="L12" i="7"/>
  <c r="L9" i="9" s="1"/>
  <c r="K18" i="7"/>
  <c r="J14" i="5"/>
  <c r="L18" i="7"/>
  <c r="K14" i="5"/>
  <c r="G18" i="7"/>
  <c r="F14" i="5"/>
  <c r="H18" i="7"/>
  <c r="G14" i="5"/>
  <c r="J18" i="7"/>
  <c r="I14" i="5"/>
  <c r="D18" i="7"/>
  <c r="C14" i="5"/>
  <c r="F18" i="7"/>
  <c r="E14" i="5"/>
  <c r="F12" i="7"/>
  <c r="F9" i="9" s="1"/>
  <c r="E12" i="7"/>
  <c r="E9" i="9" s="1"/>
  <c r="D12" i="7"/>
  <c r="D14" i="7" s="1"/>
  <c r="D15" i="14" s="1"/>
  <c r="H12" i="7"/>
  <c r="H9" i="9" s="1"/>
  <c r="G12" i="7"/>
  <c r="G9" i="9" s="1"/>
  <c r="I12" i="7"/>
  <c r="I9" i="9" s="1"/>
  <c r="M12" i="7"/>
  <c r="M9" i="9" s="1"/>
  <c r="D16" i="7"/>
  <c r="J12" i="7"/>
  <c r="J9" i="9" s="1"/>
  <c r="E30" i="2"/>
  <c r="E16" i="2" s="1"/>
  <c r="E5" i="12" s="1"/>
  <c r="D30" i="2"/>
  <c r="D16" i="2" s="1"/>
  <c r="D5" i="12" s="1"/>
  <c r="C30" i="2"/>
  <c r="C16" i="2" s="1"/>
  <c r="I30" i="2"/>
  <c r="I16" i="2" s="1"/>
  <c r="I5" i="12" s="1"/>
  <c r="L30" i="2"/>
  <c r="L16" i="2" s="1"/>
  <c r="L5" i="12" s="1"/>
  <c r="K30" i="2"/>
  <c r="K16" i="2" s="1"/>
  <c r="K5" i="12" s="1"/>
  <c r="J30" i="2"/>
  <c r="J16" i="2" s="1"/>
  <c r="J5" i="12" s="1"/>
  <c r="H30" i="2"/>
  <c r="H16" i="2" s="1"/>
  <c r="H5" i="12" s="1"/>
  <c r="G30" i="2"/>
  <c r="G16" i="2" s="1"/>
  <c r="G5" i="12" s="1"/>
  <c r="F30" i="2"/>
  <c r="F16" i="2" s="1"/>
  <c r="F5" i="12" s="1"/>
  <c r="D25" i="1"/>
  <c r="D29" i="1" s="1"/>
  <c r="C28" i="1"/>
  <c r="K15" i="5"/>
  <c r="G15" i="5"/>
  <c r="C15" i="5"/>
  <c r="F15" i="5"/>
  <c r="J15" i="5"/>
  <c r="I15" i="5"/>
  <c r="E15" i="5"/>
  <c r="L15" i="5"/>
  <c r="H15" i="5"/>
  <c r="D15" i="5"/>
  <c r="C30" i="1"/>
  <c r="F23" i="1"/>
  <c r="E25" i="1"/>
  <c r="E11" i="9" l="1"/>
  <c r="D8" i="12"/>
  <c r="I11" i="9"/>
  <c r="H8" i="12"/>
  <c r="M11" i="9"/>
  <c r="L8" i="12"/>
  <c r="J19" i="7"/>
  <c r="J20" i="7" s="1"/>
  <c r="K19" i="7"/>
  <c r="K20" i="7" s="1"/>
  <c r="F19" i="7"/>
  <c r="F20" i="7" s="1"/>
  <c r="G19" i="7"/>
  <c r="G20" i="7" s="1"/>
  <c r="D19" i="7"/>
  <c r="D20" i="7" s="1"/>
  <c r="H19" i="7"/>
  <c r="H20" i="7" s="1"/>
  <c r="L19" i="7"/>
  <c r="L20" i="7" s="1"/>
  <c r="C16" i="14"/>
  <c r="C17" i="14" s="1"/>
  <c r="C19" i="14" s="1"/>
  <c r="D8" i="16"/>
  <c r="D11" i="16" s="1"/>
  <c r="D13" i="16" s="1"/>
  <c r="D9" i="9"/>
  <c r="C5" i="12"/>
  <c r="C17" i="2"/>
  <c r="D14" i="2" s="1"/>
  <c r="D17" i="2" s="1"/>
  <c r="E14" i="2" s="1"/>
  <c r="E17" i="2" s="1"/>
  <c r="F14" i="2" s="1"/>
  <c r="F17" i="2" s="1"/>
  <c r="G14" i="2" s="1"/>
  <c r="G17" i="2" s="1"/>
  <c r="H14" i="2" s="1"/>
  <c r="H17" i="2" s="1"/>
  <c r="I14" i="2" s="1"/>
  <c r="I17" i="2" s="1"/>
  <c r="J14" i="2" s="1"/>
  <c r="J17" i="2" s="1"/>
  <c r="K14" i="2" s="1"/>
  <c r="K17" i="2" s="1"/>
  <c r="L14" i="2" s="1"/>
  <c r="L17" i="2" s="1"/>
  <c r="C31" i="1"/>
  <c r="C4" i="12" s="1"/>
  <c r="D28" i="1"/>
  <c r="D30" i="1"/>
  <c r="G23" i="1"/>
  <c r="F25" i="1"/>
  <c r="E30" i="1"/>
  <c r="E28" i="1"/>
  <c r="E29" i="1"/>
  <c r="K11" i="9" l="1"/>
  <c r="J8" i="12"/>
  <c r="C8" i="12"/>
  <c r="D11" i="9"/>
  <c r="J11" i="9"/>
  <c r="I8" i="12"/>
  <c r="G11" i="9"/>
  <c r="F8" i="12"/>
  <c r="H11" i="9"/>
  <c r="G8" i="12"/>
  <c r="L11" i="9"/>
  <c r="K8" i="12"/>
  <c r="F11" i="9"/>
  <c r="E8" i="12"/>
  <c r="C20" i="14"/>
  <c r="C21" i="14" s="1"/>
  <c r="C6" i="12"/>
  <c r="D31" i="1"/>
  <c r="D4" i="12" s="1"/>
  <c r="D6" i="12" s="1"/>
  <c r="E31" i="1"/>
  <c r="F4" i="9" s="1"/>
  <c r="C16" i="5"/>
  <c r="C17" i="5" s="1"/>
  <c r="D6" i="9" s="1"/>
  <c r="D4" i="9"/>
  <c r="F29" i="1"/>
  <c r="F28" i="1"/>
  <c r="F30" i="1"/>
  <c r="H23" i="1"/>
  <c r="G25" i="1"/>
  <c r="C29" i="14" l="1"/>
  <c r="C31" i="14" s="1"/>
  <c r="C33" i="14" s="1"/>
  <c r="C35" i="14" s="1"/>
  <c r="E10" i="16" s="1"/>
  <c r="E4" i="9"/>
  <c r="D16" i="5"/>
  <c r="D17" i="5" s="1"/>
  <c r="E6" i="9" s="1"/>
  <c r="E16" i="5"/>
  <c r="E4" i="12"/>
  <c r="E6" i="12" s="1"/>
  <c r="F31" i="1"/>
  <c r="F4" i="12" s="1"/>
  <c r="F6" i="12" s="1"/>
  <c r="I23" i="1"/>
  <c r="H25" i="1"/>
  <c r="G29" i="1"/>
  <c r="G30" i="1"/>
  <c r="G28" i="1"/>
  <c r="E17" i="5" l="1"/>
  <c r="F6" i="9" s="1"/>
  <c r="F16" i="5"/>
  <c r="F17" i="5" s="1"/>
  <c r="G6" i="9" s="1"/>
  <c r="G4" i="9"/>
  <c r="G31" i="1"/>
  <c r="G16" i="5" s="1"/>
  <c r="H30" i="1"/>
  <c r="H28" i="1"/>
  <c r="H29" i="1"/>
  <c r="J23" i="1"/>
  <c r="I25" i="1"/>
  <c r="G4" i="12" l="1"/>
  <c r="G6" i="12" s="1"/>
  <c r="G17" i="5"/>
  <c r="H6" i="9" s="1"/>
  <c r="H4" i="9"/>
  <c r="H31" i="1"/>
  <c r="H4" i="12" s="1"/>
  <c r="H6" i="12" s="1"/>
  <c r="K23" i="1"/>
  <c r="J25" i="1"/>
  <c r="I29" i="1"/>
  <c r="I30" i="1"/>
  <c r="I28" i="1"/>
  <c r="I4" i="9" l="1"/>
  <c r="H16" i="5"/>
  <c r="H17" i="5" s="1"/>
  <c r="I6" i="9" s="1"/>
  <c r="I31" i="1"/>
  <c r="I4" i="12" s="1"/>
  <c r="I6" i="12" s="1"/>
  <c r="J29" i="1"/>
  <c r="J30" i="1"/>
  <c r="J28" i="1"/>
  <c r="L23" i="1"/>
  <c r="L25" i="1" s="1"/>
  <c r="K25" i="1"/>
  <c r="J4" i="9" l="1"/>
  <c r="I16" i="5"/>
  <c r="I17" i="5" s="1"/>
  <c r="J6" i="9" s="1"/>
  <c r="J31" i="1"/>
  <c r="K4" i="9" s="1"/>
  <c r="E11" i="7"/>
  <c r="L30" i="1"/>
  <c r="L28" i="1"/>
  <c r="L29" i="1"/>
  <c r="K30" i="1"/>
  <c r="K28" i="1"/>
  <c r="K29" i="1"/>
  <c r="E14" i="7" l="1"/>
  <c r="E16" i="7"/>
  <c r="J16" i="5"/>
  <c r="J17" i="5" s="1"/>
  <c r="K6" i="9" s="1"/>
  <c r="J4" i="12"/>
  <c r="J6" i="12" s="1"/>
  <c r="L31" i="1"/>
  <c r="L4" i="12" s="1"/>
  <c r="L6" i="12" s="1"/>
  <c r="K31" i="1"/>
  <c r="L4" i="9" s="1"/>
  <c r="C7" i="12"/>
  <c r="C9" i="12" s="1"/>
  <c r="C10" i="12" s="1"/>
  <c r="D10" i="9"/>
  <c r="F11" i="7" l="1"/>
  <c r="F14" i="7" s="1"/>
  <c r="F15" i="14" s="1"/>
  <c r="E15" i="14"/>
  <c r="F16" i="7"/>
  <c r="L16" i="5"/>
  <c r="M4" i="9"/>
  <c r="K16" i="5"/>
  <c r="K17" i="5" s="1"/>
  <c r="L6" i="9" s="1"/>
  <c r="K4" i="12"/>
  <c r="K6" i="12" s="1"/>
  <c r="D7" i="12"/>
  <c r="D9" i="12" s="1"/>
  <c r="D10" i="12" s="1"/>
  <c r="E10" i="9"/>
  <c r="C11" i="12"/>
  <c r="D5" i="9"/>
  <c r="D8" i="9" s="1"/>
  <c r="D13" i="9" s="1"/>
  <c r="G11" i="7" l="1"/>
  <c r="G16" i="7" s="1"/>
  <c r="L17" i="5"/>
  <c r="M6" i="9" s="1"/>
  <c r="E7" i="12"/>
  <c r="E9" i="12" s="1"/>
  <c r="E10" i="12" s="1"/>
  <c r="F10" i="9"/>
  <c r="D11" i="12"/>
  <c r="E5" i="9"/>
  <c r="E8" i="9" s="1"/>
  <c r="E13" i="9" s="1"/>
  <c r="G14" i="7" l="1"/>
  <c r="H11" i="7" s="1"/>
  <c r="G15" i="14"/>
  <c r="F7" i="12"/>
  <c r="F9" i="12" s="1"/>
  <c r="F10" i="12" s="1"/>
  <c r="G10" i="9"/>
  <c r="E11" i="12"/>
  <c r="F5" i="9"/>
  <c r="F8" i="9" s="1"/>
  <c r="F13" i="9" s="1"/>
  <c r="H14" i="7" l="1"/>
  <c r="H16" i="7"/>
  <c r="I11" i="7"/>
  <c r="I14" i="7" s="1"/>
  <c r="H15" i="14"/>
  <c r="F11" i="12"/>
  <c r="G5" i="9"/>
  <c r="G8" i="9" s="1"/>
  <c r="G13" i="9" s="1"/>
  <c r="G7" i="12"/>
  <c r="G9" i="12" s="1"/>
  <c r="G10" i="12" s="1"/>
  <c r="H10" i="9"/>
  <c r="J11" i="7" l="1"/>
  <c r="J16" i="7" s="1"/>
  <c r="I15" i="14"/>
  <c r="I16" i="7"/>
  <c r="I10" i="9" s="1"/>
  <c r="J14" i="7"/>
  <c r="G11" i="12"/>
  <c r="H5" i="9"/>
  <c r="H8" i="9" s="1"/>
  <c r="H13" i="9" s="1"/>
  <c r="H7" i="12" l="1"/>
  <c r="H9" i="12" s="1"/>
  <c r="H10" i="12" s="1"/>
  <c r="H11" i="12" s="1"/>
  <c r="K11" i="7"/>
  <c r="K16" i="7" s="1"/>
  <c r="J15" i="14"/>
  <c r="I7" i="12"/>
  <c r="I9" i="12" s="1"/>
  <c r="I10" i="12" s="1"/>
  <c r="J10" i="9"/>
  <c r="K14" i="7" l="1"/>
  <c r="L11" i="7" s="1"/>
  <c r="L16" i="7" s="1"/>
  <c r="I5" i="9"/>
  <c r="I8" i="9" s="1"/>
  <c r="I13" i="9" s="1"/>
  <c r="J7" i="12"/>
  <c r="J9" i="12" s="1"/>
  <c r="J10" i="12" s="1"/>
  <c r="K10" i="9"/>
  <c r="I11" i="12"/>
  <c r="J5" i="9"/>
  <c r="J8" i="9" s="1"/>
  <c r="J13" i="9" s="1"/>
  <c r="K15" i="14" l="1"/>
  <c r="L14" i="7"/>
  <c r="L15" i="14" s="1"/>
  <c r="K7" i="12"/>
  <c r="K9" i="12" s="1"/>
  <c r="K10" i="12" s="1"/>
  <c r="L10" i="9"/>
  <c r="J11" i="12"/>
  <c r="K5" i="9"/>
  <c r="K8" i="9" s="1"/>
  <c r="K13" i="9" s="1"/>
  <c r="M11" i="7" l="1"/>
  <c r="M16" i="7" s="1"/>
  <c r="M10" i="9" s="1"/>
  <c r="M14" i="7"/>
  <c r="K11" i="12"/>
  <c r="L5" i="9"/>
  <c r="L8" i="9" s="1"/>
  <c r="L13" i="9" s="1"/>
  <c r="L7" i="12" l="1"/>
  <c r="L9" i="12" s="1"/>
  <c r="L10" i="12" s="1"/>
  <c r="M5" i="9" s="1"/>
  <c r="M8" i="9" s="1"/>
  <c r="M13" i="9" s="1"/>
  <c r="N8" i="16" s="1"/>
  <c r="M15" i="14"/>
  <c r="O8" i="16"/>
  <c r="I8" i="16"/>
  <c r="K8" i="16"/>
  <c r="L8" i="16"/>
  <c r="G8" i="16"/>
  <c r="M8" i="16"/>
  <c r="D22" i="7"/>
  <c r="D23" i="7" s="1"/>
  <c r="E8" i="16"/>
  <c r="E11" i="16" s="1"/>
  <c r="E13" i="16" s="1"/>
  <c r="J8" i="16"/>
  <c r="F8" i="16"/>
  <c r="J22" i="7"/>
  <c r="G22" i="7"/>
  <c r="H8" i="16"/>
  <c r="F22" i="7"/>
  <c r="I22" i="7"/>
  <c r="L22" i="7"/>
  <c r="H22" i="7"/>
  <c r="E22" i="7"/>
  <c r="K22" i="7"/>
  <c r="M22" i="7" l="1"/>
  <c r="L11" i="12"/>
  <c r="D12" i="9"/>
  <c r="E23" i="7"/>
  <c r="D16" i="14"/>
  <c r="D17" i="14" l="1"/>
  <c r="D19" i="14" s="1"/>
  <c r="F23" i="7"/>
  <c r="E16" i="14"/>
  <c r="E12" i="9"/>
  <c r="E17" i="14" l="1"/>
  <c r="E19" i="14" s="1"/>
  <c r="F16" i="14"/>
  <c r="F12" i="9"/>
  <c r="G23" i="7"/>
  <c r="D20" i="14"/>
  <c r="D29" i="14" s="1"/>
  <c r="D31" i="14" s="1"/>
  <c r="D33" i="14" s="1"/>
  <c r="D35" i="14" s="1"/>
  <c r="F10" i="16" s="1"/>
  <c r="F11" i="16" s="1"/>
  <c r="F13" i="16" s="1"/>
  <c r="D21" i="14" l="1"/>
  <c r="F17" i="14"/>
  <c r="F19" i="14" s="1"/>
  <c r="G12" i="9"/>
  <c r="H23" i="7"/>
  <c r="G16" i="14"/>
  <c r="E20" i="14"/>
  <c r="E29" i="14" s="1"/>
  <c r="E31" i="14" s="1"/>
  <c r="E33" i="14" s="1"/>
  <c r="E35" i="14" s="1"/>
  <c r="G10" i="16" s="1"/>
  <c r="G11" i="16" s="1"/>
  <c r="G13" i="16" s="1"/>
  <c r="E21" i="14" l="1"/>
  <c r="G17" i="14"/>
  <c r="G19" i="14" s="1"/>
  <c r="F20" i="14"/>
  <c r="F21" i="14" s="1"/>
  <c r="H12" i="9"/>
  <c r="H16" i="14"/>
  <c r="I23" i="7"/>
  <c r="G20" i="14" l="1"/>
  <c r="G21" i="14" s="1"/>
  <c r="I16" i="14"/>
  <c r="I12" i="9"/>
  <c r="J23" i="7"/>
  <c r="F29" i="14"/>
  <c r="F31" i="14" s="1"/>
  <c r="F33" i="14" s="1"/>
  <c r="F35" i="14" s="1"/>
  <c r="H10" i="16" s="1"/>
  <c r="H11" i="16" s="1"/>
  <c r="H13" i="16" s="1"/>
  <c r="H17" i="14"/>
  <c r="H19" i="14" s="1"/>
  <c r="G29" i="14" l="1"/>
  <c r="G31" i="14" s="1"/>
  <c r="G33" i="14" s="1"/>
  <c r="G35" i="14" s="1"/>
  <c r="I10" i="16" s="1"/>
  <c r="I11" i="16" s="1"/>
  <c r="I13" i="16" s="1"/>
  <c r="J16" i="14"/>
  <c r="J12" i="9"/>
  <c r="K23" i="7"/>
  <c r="H20" i="14"/>
  <c r="I17" i="14"/>
  <c r="I19" i="14" s="1"/>
  <c r="H21" i="14" l="1"/>
  <c r="H29" i="14"/>
  <c r="H31" i="14" s="1"/>
  <c r="H33" i="14" s="1"/>
  <c r="H35" i="14" s="1"/>
  <c r="J10" i="16" s="1"/>
  <c r="J11" i="16" s="1"/>
  <c r="J13" i="16" s="1"/>
  <c r="J17" i="14"/>
  <c r="J19" i="14" s="1"/>
  <c r="I20" i="14"/>
  <c r="I21" i="14" s="1"/>
  <c r="K12" i="9"/>
  <c r="K16" i="14"/>
  <c r="L23" i="7"/>
  <c r="L16" i="14" l="1"/>
  <c r="L12" i="9"/>
  <c r="M23" i="7"/>
  <c r="K17" i="14"/>
  <c r="K19" i="14" s="1"/>
  <c r="J20" i="14"/>
  <c r="J29" i="14" s="1"/>
  <c r="J31" i="14" s="1"/>
  <c r="J33" i="14" s="1"/>
  <c r="I29" i="14"/>
  <c r="I31" i="14" s="1"/>
  <c r="I33" i="14" s="1"/>
  <c r="I35" i="14" s="1"/>
  <c r="K10" i="16" s="1"/>
  <c r="K11" i="16" s="1"/>
  <c r="K13" i="16" s="1"/>
  <c r="J21" i="14" l="1"/>
  <c r="J35" i="14"/>
  <c r="L10" i="16" s="1"/>
  <c r="L11" i="16" s="1"/>
  <c r="L13" i="16" s="1"/>
  <c r="K20" i="14"/>
  <c r="K21" i="14" s="1"/>
  <c r="L17" i="14"/>
  <c r="L19" i="14" s="1"/>
  <c r="M16" i="14"/>
  <c r="M12" i="9"/>
  <c r="K29" i="14" l="1"/>
  <c r="K31" i="14" s="1"/>
  <c r="K33" i="14" s="1"/>
  <c r="K35" i="14" s="1"/>
  <c r="M10" i="16" s="1"/>
  <c r="M11" i="16" s="1"/>
  <c r="M13" i="16" s="1"/>
  <c r="L20" i="14"/>
  <c r="L21" i="14" s="1"/>
  <c r="M17" i="14"/>
  <c r="M19" i="14" s="1"/>
  <c r="L29" i="14" l="1"/>
  <c r="L31" i="14" s="1"/>
  <c r="L33" i="14" s="1"/>
  <c r="L35" i="14" s="1"/>
  <c r="N10" i="16" s="1"/>
  <c r="M20" i="14"/>
  <c r="M21" i="14" s="1"/>
  <c r="N12" i="16" l="1"/>
  <c r="N11" i="16"/>
  <c r="M29" i="14"/>
  <c r="M31" i="14" s="1"/>
  <c r="M33" i="14" s="1"/>
  <c r="M35" i="14" s="1"/>
  <c r="N13" i="16" l="1"/>
</calcChain>
</file>

<file path=xl/sharedStrings.xml><?xml version="1.0" encoding="utf-8"?>
<sst xmlns="http://schemas.openxmlformats.org/spreadsheetml/2006/main" count="193" uniqueCount="131">
  <si>
    <t>Base volume</t>
  </si>
  <si>
    <t>Base case</t>
  </si>
  <si>
    <t>Best case</t>
  </si>
  <si>
    <t>Worst case</t>
  </si>
  <si>
    <t>Best volume</t>
  </si>
  <si>
    <t>Worst volume</t>
  </si>
  <si>
    <t>Price of production in Italy</t>
  </si>
  <si>
    <t>Price of production in Vietnam</t>
  </si>
  <si>
    <t>Expected long-term inflation Italy</t>
  </si>
  <si>
    <t>Expected long-term inflation Vietnam</t>
  </si>
  <si>
    <t>Price of production (EUR)</t>
  </si>
  <si>
    <t>Volume (in units)</t>
  </si>
  <si>
    <t>Productivity (as a %)</t>
  </si>
  <si>
    <t>Savings per unit</t>
  </si>
  <si>
    <t>Total savings (EUR)</t>
  </si>
  <si>
    <t>Savings forecast</t>
  </si>
  <si>
    <t>Investment plan</t>
  </si>
  <si>
    <t>Estimated initial investment (in EUR)</t>
  </si>
  <si>
    <t>Year 1</t>
  </si>
  <si>
    <t>Useful life (years)</t>
  </si>
  <si>
    <t>D&amp;A</t>
  </si>
  <si>
    <t>Selected case</t>
  </si>
  <si>
    <t>Drivers</t>
  </si>
  <si>
    <t>Capex</t>
  </si>
  <si>
    <t>in EUR</t>
  </si>
  <si>
    <t>Fixed asset roll-forward</t>
  </si>
  <si>
    <t>Beginning PP&amp;E</t>
  </si>
  <si>
    <t>Ending PP&amp;E</t>
  </si>
  <si>
    <t>D&amp;A schedule (in EUR)</t>
  </si>
  <si>
    <t>WC Italy</t>
  </si>
  <si>
    <t>DPO</t>
  </si>
  <si>
    <t>DIO</t>
  </si>
  <si>
    <t>Net Trading Cycle (days)</t>
  </si>
  <si>
    <t>WC Vietnam</t>
  </si>
  <si>
    <t xml:space="preserve"> </t>
  </si>
  <si>
    <t>DIO Vietnam</t>
  </si>
  <si>
    <t>DPO Vietnam</t>
  </si>
  <si>
    <t>Delta Working Capital</t>
  </si>
  <si>
    <t>Financing</t>
  </si>
  <si>
    <t>Financing facilities</t>
  </si>
  <si>
    <t>Inflation</t>
  </si>
  <si>
    <t>Interest rate Senior Facility</t>
  </si>
  <si>
    <t>Covenants</t>
  </si>
  <si>
    <t>Savings per unit (EBITDA)</t>
  </si>
  <si>
    <t xml:space="preserve">Operating Cash Flow </t>
  </si>
  <si>
    <t>Interest expense</t>
  </si>
  <si>
    <t>Debt repayment</t>
  </si>
  <si>
    <t>Volume</t>
  </si>
  <si>
    <t>Covenant 1</t>
  </si>
  <si>
    <t>Covenant Penalty</t>
  </si>
  <si>
    <t>Interest expenses</t>
  </si>
  <si>
    <t>Covenant penalty</t>
  </si>
  <si>
    <t>P&amp;L</t>
  </si>
  <si>
    <t>Savings (EBITDA)</t>
  </si>
  <si>
    <t>EBIT</t>
  </si>
  <si>
    <t>EBT</t>
  </si>
  <si>
    <t>Taxes</t>
  </si>
  <si>
    <t>Net Income</t>
  </si>
  <si>
    <t>Tax rate</t>
  </si>
  <si>
    <t>10 years</t>
  </si>
  <si>
    <t>Repay Senior Facility in</t>
  </si>
  <si>
    <t>Investment in Year 0</t>
  </si>
  <si>
    <t>Net Cash Flow</t>
  </si>
  <si>
    <t>Residual value of the project</t>
  </si>
  <si>
    <t>Extra production value</t>
  </si>
  <si>
    <t>Delta net trading cycle (days)</t>
  </si>
  <si>
    <t>Working capital</t>
  </si>
  <si>
    <t>Residual Value</t>
  </si>
  <si>
    <t>WACC</t>
  </si>
  <si>
    <t>Discounted Cash Flow</t>
  </si>
  <si>
    <t>Discounted Cash Flows</t>
  </si>
  <si>
    <t>Cash Flow</t>
  </si>
  <si>
    <t>Input --&gt;</t>
  </si>
  <si>
    <t>Output --&gt;</t>
  </si>
  <si>
    <t>Repayment %</t>
  </si>
  <si>
    <t>Otherwise penalty of $1,000,000 per year.</t>
  </si>
  <si>
    <t>Equity financing</t>
  </si>
  <si>
    <t>Repayment</t>
  </si>
  <si>
    <t>Ending Debt</t>
  </si>
  <si>
    <t>Beginning Debt</t>
  </si>
  <si>
    <t>Interest rate Debt Facility</t>
  </si>
  <si>
    <t>Repay Debt Facility in</t>
  </si>
  <si>
    <t>Cost of debt</t>
  </si>
  <si>
    <t>Debt financing</t>
  </si>
  <si>
    <t>Comparable companies</t>
  </si>
  <si>
    <t>Company A</t>
  </si>
  <si>
    <t>Beta</t>
  </si>
  <si>
    <t>Company B</t>
  </si>
  <si>
    <t>Total financing</t>
  </si>
  <si>
    <t>Debt financing %</t>
  </si>
  <si>
    <t>Equity financing %</t>
  </si>
  <si>
    <t>Total financing %</t>
  </si>
  <si>
    <t>Company C</t>
  </si>
  <si>
    <t>Comparable companies:</t>
  </si>
  <si>
    <t>Average leverage</t>
  </si>
  <si>
    <t>Average beta</t>
  </si>
  <si>
    <t>Project beta:</t>
  </si>
  <si>
    <t>Company beta</t>
  </si>
  <si>
    <t>Beta unlevered</t>
  </si>
  <si>
    <t>Leverage (D/E)</t>
  </si>
  <si>
    <t>Debt / Equity</t>
  </si>
  <si>
    <t>Cost of equity</t>
  </si>
  <si>
    <t>Market risk premium in Vietnam</t>
  </si>
  <si>
    <t>Market risk premium in Italy</t>
  </si>
  <si>
    <t>Risk-free rate in Vietnam</t>
  </si>
  <si>
    <t>Risk-free rate in Italy</t>
  </si>
  <si>
    <t>Risk-free in Vietnam</t>
  </si>
  <si>
    <t>Discounted Cash Flow with Residual Value</t>
  </si>
  <si>
    <t>Present Value Residual Value</t>
  </si>
  <si>
    <t>Workings --&gt;</t>
  </si>
  <si>
    <t>Increase of equity</t>
  </si>
  <si>
    <t>Senior Facility (EUR)</t>
  </si>
  <si>
    <t>D&amp;A Year 1</t>
  </si>
  <si>
    <t>D&amp;A Year 2</t>
  </si>
  <si>
    <t>D&amp;A Year 3</t>
  </si>
  <si>
    <t>D&amp;A Year 4</t>
  </si>
  <si>
    <t>D&amp;A Year 5</t>
  </si>
  <si>
    <t>D&amp;A Year 6</t>
  </si>
  <si>
    <t>D&amp;A Year 7</t>
  </si>
  <si>
    <t>D&amp;A Year 8</t>
  </si>
  <si>
    <t>D&amp;A Year 9</t>
  </si>
  <si>
    <t>D&amp;A Year 10</t>
  </si>
  <si>
    <t>Total D&amp;A</t>
  </si>
  <si>
    <t>Debt Facility (EUR)</t>
  </si>
  <si>
    <t>Expected long-term inflation Italy (annual)</t>
  </si>
  <si>
    <t>Expected long-term inflation Vietnam (annual)</t>
  </si>
  <si>
    <t>Price of production (in EUR)</t>
  </si>
  <si>
    <t>Use as much debt as possible;</t>
  </si>
  <si>
    <t>Loan schedule</t>
  </si>
  <si>
    <t>Production should not be less than 15,000 per year.</t>
  </si>
  <si>
    <t>Volume lower than 15,000?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</si>
</sst>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u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164" fontId="6" fillId="2" borderId="3" xfId="0" applyNumberFormat="1" applyFont="1" applyFill="1" applyBorder="1"/>
    <xf numFmtId="164" fontId="0" fillId="2" borderId="0" xfId="1" applyNumberFormat="1" applyFont="1" applyFill="1"/>
    <xf numFmtId="9" fontId="0" fillId="2" borderId="0" xfId="0" applyNumberFormat="1" applyFill="1"/>
    <xf numFmtId="0" fontId="5" fillId="2" borderId="4" xfId="0" applyFont="1" applyFill="1" applyBorder="1"/>
    <xf numFmtId="0" fontId="7" fillId="3" borderId="0" xfId="0" applyFont="1" applyFill="1"/>
    <xf numFmtId="164" fontId="5" fillId="2" borderId="4" xfId="1" applyNumberFormat="1" applyFont="1" applyFill="1" applyBorder="1"/>
    <xf numFmtId="0" fontId="6" fillId="2" borderId="0" xfId="0" applyFont="1" applyFill="1" applyBorder="1"/>
    <xf numFmtId="164" fontId="3" fillId="2" borderId="0" xfId="0" applyNumberFormat="1" applyFont="1" applyFill="1"/>
    <xf numFmtId="0" fontId="6" fillId="2" borderId="5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164" fontId="3" fillId="2" borderId="0" xfId="1" applyNumberFormat="1" applyFont="1" applyFill="1" applyBorder="1"/>
    <xf numFmtId="164" fontId="5" fillId="2" borderId="4" xfId="0" applyNumberFormat="1" applyFont="1" applyFill="1" applyBorder="1"/>
    <xf numFmtId="0" fontId="8" fillId="2" borderId="3" xfId="0" applyFont="1" applyFill="1" applyBorder="1"/>
    <xf numFmtId="164" fontId="8" fillId="2" borderId="3" xfId="0" applyNumberFormat="1" applyFont="1" applyFill="1" applyBorder="1"/>
    <xf numFmtId="0" fontId="5" fillId="2" borderId="0" xfId="0" applyFont="1" applyFill="1"/>
    <xf numFmtId="9" fontId="3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2" xfId="0" applyFont="1" applyFill="1" applyBorder="1"/>
    <xf numFmtId="0" fontId="11" fillId="2" borderId="0" xfId="0" applyFont="1" applyFill="1" applyBorder="1"/>
    <xf numFmtId="164" fontId="11" fillId="2" borderId="0" xfId="1" applyNumberFormat="1" applyFont="1" applyFill="1" applyBorder="1"/>
    <xf numFmtId="0" fontId="12" fillId="2" borderId="4" xfId="0" applyFont="1" applyFill="1" applyBorder="1"/>
    <xf numFmtId="164" fontId="12" fillId="2" borderId="4" xfId="0" applyNumberFormat="1" applyFont="1" applyFill="1" applyBorder="1"/>
    <xf numFmtId="0" fontId="10" fillId="2" borderId="3" xfId="0" applyFont="1" applyFill="1" applyBorder="1"/>
    <xf numFmtId="164" fontId="10" fillId="2" borderId="3" xfId="0" applyNumberFormat="1" applyFont="1" applyFill="1" applyBorder="1"/>
    <xf numFmtId="0" fontId="10" fillId="2" borderId="2" xfId="0" applyFont="1" applyFill="1" applyBorder="1" applyAlignment="1">
      <alignment horizontal="right"/>
    </xf>
    <xf numFmtId="164" fontId="12" fillId="2" borderId="0" xfId="0" applyNumberFormat="1" applyFont="1" applyFill="1" applyBorder="1"/>
    <xf numFmtId="0" fontId="10" fillId="2" borderId="0" xfId="0" applyFont="1" applyFill="1" applyBorder="1"/>
    <xf numFmtId="164" fontId="10" fillId="2" borderId="0" xfId="0" applyNumberFormat="1" applyFont="1" applyFill="1" applyBorder="1"/>
    <xf numFmtId="165" fontId="11" fillId="2" borderId="0" xfId="2" applyNumberFormat="1" applyFont="1" applyFill="1"/>
    <xf numFmtId="0" fontId="13" fillId="2" borderId="0" xfId="0" applyFont="1" applyFill="1"/>
    <xf numFmtId="165" fontId="3" fillId="2" borderId="0" xfId="2" applyNumberFormat="1" applyFont="1" applyFill="1"/>
    <xf numFmtId="9" fontId="3" fillId="2" borderId="0" xfId="2" applyFont="1" applyFill="1" applyBorder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164" fontId="17" fillId="3" borderId="0" xfId="1" applyNumberFormat="1" applyFont="1" applyFill="1" applyBorder="1"/>
    <xf numFmtId="164" fontId="16" fillId="2" borderId="0" xfId="1" applyNumberFormat="1" applyFont="1" applyFill="1" applyBorder="1"/>
    <xf numFmtId="0" fontId="15" fillId="2" borderId="0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9" fontId="16" fillId="2" borderId="0" xfId="2" applyFont="1" applyFill="1"/>
    <xf numFmtId="9" fontId="16" fillId="2" borderId="0" xfId="0" applyNumberFormat="1" applyFont="1" applyFill="1" applyAlignment="1">
      <alignment horizontal="right"/>
    </xf>
    <xf numFmtId="0" fontId="20" fillId="2" borderId="2" xfId="0" applyFont="1" applyFill="1" applyBorder="1"/>
    <xf numFmtId="164" fontId="18" fillId="2" borderId="4" xfId="1" applyNumberFormat="1" applyFont="1" applyFill="1" applyBorder="1"/>
    <xf numFmtId="9" fontId="16" fillId="2" borderId="0" xfId="2" applyFont="1" applyFill="1" applyBorder="1"/>
    <xf numFmtId="164" fontId="18" fillId="2" borderId="0" xfId="1" applyNumberFormat="1" applyFont="1" applyFill="1" applyBorder="1"/>
    <xf numFmtId="164" fontId="16" fillId="2" borderId="0" xfId="1" applyNumberFormat="1" applyFont="1" applyFill="1" applyBorder="1" applyAlignment="1">
      <alignment horizontal="right" vertical="top"/>
    </xf>
    <xf numFmtId="164" fontId="18" fillId="2" borderId="4" xfId="1" applyNumberFormat="1" applyFont="1" applyFill="1" applyBorder="1" applyAlignment="1">
      <alignment horizontal="right" vertical="top"/>
    </xf>
    <xf numFmtId="165" fontId="5" fillId="2" borderId="4" xfId="2" applyNumberFormat="1" applyFont="1" applyFill="1" applyBorder="1"/>
    <xf numFmtId="0" fontId="6" fillId="2" borderId="2" xfId="0" applyFont="1" applyFill="1" applyBorder="1" applyAlignment="1">
      <alignment horizontal="right"/>
    </xf>
    <xf numFmtId="43" fontId="3" fillId="2" borderId="0" xfId="1" applyFont="1" applyFill="1"/>
    <xf numFmtId="43" fontId="3" fillId="2" borderId="0" xfId="1" applyNumberFormat="1" applyFont="1" applyFill="1"/>
    <xf numFmtId="43" fontId="3" fillId="2" borderId="0" xfId="0" applyNumberFormat="1" applyFont="1" applyFill="1"/>
    <xf numFmtId="0" fontId="5" fillId="2" borderId="0" xfId="0" applyFont="1" applyFill="1" applyBorder="1"/>
    <xf numFmtId="43" fontId="5" fillId="2" borderId="4" xfId="1" applyNumberFormat="1" applyFont="1" applyFill="1" applyBorder="1"/>
    <xf numFmtId="165" fontId="5" fillId="2" borderId="0" xfId="2" applyNumberFormat="1" applyFont="1" applyFill="1"/>
    <xf numFmtId="165" fontId="8" fillId="2" borderId="3" xfId="2" applyNumberFormat="1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164" fontId="26" fillId="2" borderId="0" xfId="1" applyNumberFormat="1" applyFont="1" applyFill="1" applyBorder="1"/>
    <xf numFmtId="0" fontId="27" fillId="2" borderId="2" xfId="0" applyFont="1" applyFill="1" applyBorder="1"/>
    <xf numFmtId="0" fontId="27" fillId="2" borderId="2" xfId="0" applyFont="1" applyFill="1" applyBorder="1" applyAlignment="1">
      <alignment horizontal="right"/>
    </xf>
    <xf numFmtId="164" fontId="26" fillId="2" borderId="0" xfId="1" applyNumberFormat="1" applyFont="1" applyFill="1" applyBorder="1" applyAlignment="1">
      <alignment horizontal="left"/>
    </xf>
    <xf numFmtId="165" fontId="26" fillId="2" borderId="0" xfId="2" applyNumberFormat="1" applyFont="1" applyFill="1" applyBorder="1"/>
    <xf numFmtId="0" fontId="26" fillId="2" borderId="0" xfId="0" applyFont="1" applyFill="1" applyBorder="1"/>
    <xf numFmtId="164" fontId="28" fillId="2" borderId="4" xfId="1" applyNumberFormat="1" applyFont="1" applyFill="1" applyBorder="1"/>
    <xf numFmtId="164" fontId="26" fillId="2" borderId="4" xfId="1" applyNumberFormat="1" applyFont="1" applyFill="1" applyBorder="1"/>
    <xf numFmtId="164" fontId="28" fillId="2" borderId="0" xfId="1" applyNumberFormat="1" applyFont="1" applyFill="1" applyBorder="1"/>
    <xf numFmtId="0" fontId="25" fillId="2" borderId="0" xfId="0" applyFont="1" applyFill="1" applyBorder="1"/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2" xfId="0" applyFont="1" applyFill="1" applyBorder="1"/>
    <xf numFmtId="0" fontId="5" fillId="2" borderId="4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J40" sqref="J40"/>
    </sheetView>
  </sheetViews>
  <sheetFormatPr defaultRowHeight="12" x14ac:dyDescent="0.2"/>
  <cols>
    <col min="1" max="1" width="2" style="71" customWidth="1"/>
    <col min="2" max="16384" width="9.140625" style="71"/>
  </cols>
  <sheetData>
    <row r="17" spans="2:2" ht="50.25" x14ac:dyDescent="0.7">
      <c r="B17" s="70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abSelected="1" topLeftCell="A6" workbookViewId="0">
      <selection activeCell="C35" sqref="C35"/>
    </sheetView>
  </sheetViews>
  <sheetFormatPr defaultRowHeight="12" x14ac:dyDescent="0.2"/>
  <cols>
    <col min="1" max="1" width="2" style="3" customWidth="1"/>
    <col min="2" max="2" width="27.42578125" style="3" bestFit="1" customWidth="1"/>
    <col min="3" max="3" width="12.7109375" style="3" bestFit="1" customWidth="1"/>
    <col min="4" max="4" width="12" style="3" customWidth="1"/>
    <col min="5" max="13" width="12" style="3" bestFit="1" customWidth="1"/>
    <col min="14" max="16384" width="9.140625" style="3"/>
  </cols>
  <sheetData>
    <row r="1" spans="2:13" s="1" customFormat="1" ht="15.75" x14ac:dyDescent="0.25">
      <c r="B1" s="4" t="s">
        <v>68</v>
      </c>
    </row>
    <row r="2" spans="2:13" s="1" customFormat="1" ht="15" x14ac:dyDescent="0.25"/>
    <row r="3" spans="2:13" s="1" customFormat="1" ht="15" x14ac:dyDescent="0.25">
      <c r="B3" s="20" t="s">
        <v>82</v>
      </c>
      <c r="C3" s="43">
        <f>Drivers!C27</f>
        <v>0.05</v>
      </c>
    </row>
    <row r="4" spans="2:13" s="1" customFormat="1" ht="15" x14ac:dyDescent="0.25">
      <c r="B4" s="20" t="s">
        <v>106</v>
      </c>
      <c r="C4" s="43">
        <f>Drivers!C52</f>
        <v>0.03</v>
      </c>
    </row>
    <row r="5" spans="2:13" s="1" customFormat="1" ht="15" x14ac:dyDescent="0.25">
      <c r="B5" s="20" t="s">
        <v>58</v>
      </c>
      <c r="C5" s="43">
        <f>Drivers!C38</f>
        <v>0.3</v>
      </c>
    </row>
    <row r="6" spans="2:13" s="1" customFormat="1" ht="15" x14ac:dyDescent="0.25">
      <c r="B6" s="20" t="s">
        <v>102</v>
      </c>
      <c r="C6" s="43">
        <f>Drivers!C49</f>
        <v>0.06</v>
      </c>
    </row>
    <row r="7" spans="2:13" s="1" customFormat="1" ht="15" x14ac:dyDescent="0.25">
      <c r="B7" s="20"/>
      <c r="C7" s="43"/>
    </row>
    <row r="8" spans="2:13" s="1" customFormat="1" ht="15.75" thickBot="1" x14ac:dyDescent="0.3">
      <c r="B8" s="7" t="s">
        <v>84</v>
      </c>
      <c r="C8" s="61" t="s">
        <v>99</v>
      </c>
      <c r="D8" s="61" t="s">
        <v>86</v>
      </c>
    </row>
    <row r="9" spans="2:13" s="1" customFormat="1" ht="15" x14ac:dyDescent="0.25">
      <c r="B9" s="3" t="s">
        <v>85</v>
      </c>
      <c r="C9" s="5">
        <f>Drivers!C45</f>
        <v>0.8</v>
      </c>
      <c r="D9" s="63">
        <f>Drivers!D45</f>
        <v>0.6</v>
      </c>
    </row>
    <row r="10" spans="2:13" s="1" customFormat="1" ht="15" x14ac:dyDescent="0.25">
      <c r="B10" s="3" t="s">
        <v>87</v>
      </c>
      <c r="C10" s="5">
        <f>Drivers!C46</f>
        <v>0.9</v>
      </c>
      <c r="D10" s="63">
        <f>Drivers!D46</f>
        <v>0.65</v>
      </c>
    </row>
    <row r="11" spans="2:13" s="1" customFormat="1" ht="15" x14ac:dyDescent="0.25">
      <c r="B11" s="3" t="s">
        <v>92</v>
      </c>
      <c r="C11" s="5">
        <f>Drivers!C47</f>
        <v>0.85</v>
      </c>
      <c r="D11" s="63">
        <f>Drivers!D47</f>
        <v>0.56999999999999995</v>
      </c>
    </row>
    <row r="12" spans="2:13" s="1" customFormat="1" ht="15" x14ac:dyDescent="0.25"/>
    <row r="13" spans="2:13" s="1" customFormat="1" ht="15" x14ac:dyDescent="0.25"/>
    <row r="14" spans="2:13" s="1" customFormat="1" ht="15.75" thickBot="1" x14ac:dyDescent="0.3">
      <c r="B14" s="29" t="s">
        <v>24</v>
      </c>
      <c r="C14" s="29">
        <v>0</v>
      </c>
      <c r="D14" s="29">
        <v>1</v>
      </c>
      <c r="E14" s="29">
        <v>2</v>
      </c>
      <c r="F14" s="29">
        <v>3</v>
      </c>
      <c r="G14" s="29">
        <v>4</v>
      </c>
      <c r="H14" s="29">
        <v>5</v>
      </c>
      <c r="I14" s="29">
        <v>6</v>
      </c>
      <c r="J14" s="29">
        <v>7</v>
      </c>
      <c r="K14" s="29">
        <v>8</v>
      </c>
      <c r="L14" s="29">
        <v>9</v>
      </c>
      <c r="M14" s="29">
        <v>10</v>
      </c>
    </row>
    <row r="15" spans="2:13" s="1" customFormat="1" ht="15" x14ac:dyDescent="0.25">
      <c r="B15" s="20" t="s">
        <v>83</v>
      </c>
      <c r="C15" s="20">
        <f>Financing!C14</f>
        <v>200000000</v>
      </c>
      <c r="D15" s="20">
        <f>Financing!D14</f>
        <v>200000000</v>
      </c>
      <c r="E15" s="20">
        <f>Financing!E14</f>
        <v>190000000</v>
      </c>
      <c r="F15" s="20">
        <f>Financing!F14</f>
        <v>170000000</v>
      </c>
      <c r="G15" s="20">
        <f>Financing!G14</f>
        <v>150000000</v>
      </c>
      <c r="H15" s="20">
        <f>Financing!H14</f>
        <v>130000000</v>
      </c>
      <c r="I15" s="20">
        <f>Financing!I14</f>
        <v>110000000</v>
      </c>
      <c r="J15" s="20">
        <f>Financing!J14</f>
        <v>90000000</v>
      </c>
      <c r="K15" s="20">
        <f>Financing!K14</f>
        <v>70000000</v>
      </c>
      <c r="L15" s="20">
        <f>Financing!L14</f>
        <v>50000000</v>
      </c>
      <c r="M15" s="20">
        <f>Financing!M14</f>
        <v>30000000</v>
      </c>
    </row>
    <row r="16" spans="2:13" s="1" customFormat="1" ht="15" x14ac:dyDescent="0.25">
      <c r="B16" s="20" t="s">
        <v>76</v>
      </c>
      <c r="C16" s="20">
        <f>Financing!C23</f>
        <v>56000000</v>
      </c>
      <c r="D16" s="20">
        <f>Financing!D23</f>
        <v>56000000</v>
      </c>
      <c r="E16" s="20">
        <f>Financing!E23</f>
        <v>56000000</v>
      </c>
      <c r="F16" s="20">
        <f>Financing!F23</f>
        <v>56000000</v>
      </c>
      <c r="G16" s="20">
        <f>Financing!G23</f>
        <v>56000000</v>
      </c>
      <c r="H16" s="20">
        <f>Financing!H23</f>
        <v>56000000</v>
      </c>
      <c r="I16" s="20">
        <f>Financing!I23</f>
        <v>56000000</v>
      </c>
      <c r="J16" s="20">
        <f>Financing!J23</f>
        <v>56000000</v>
      </c>
      <c r="K16" s="20">
        <f>Financing!K23</f>
        <v>56000000</v>
      </c>
      <c r="L16" s="20">
        <f>Financing!L23</f>
        <v>56000000</v>
      </c>
      <c r="M16" s="20">
        <f>Financing!M23</f>
        <v>56000000</v>
      </c>
    </row>
    <row r="17" spans="2:13" s="1" customFormat="1" ht="15" x14ac:dyDescent="0.25">
      <c r="B17" s="14" t="s">
        <v>88</v>
      </c>
      <c r="C17" s="14">
        <f>SUM(C15:C16)</f>
        <v>256000000</v>
      </c>
      <c r="D17" s="14">
        <f t="shared" ref="D17:M17" si="0">SUM(D15:D16)</f>
        <v>256000000</v>
      </c>
      <c r="E17" s="14">
        <f t="shared" si="0"/>
        <v>246000000</v>
      </c>
      <c r="F17" s="14">
        <f t="shared" si="0"/>
        <v>226000000</v>
      </c>
      <c r="G17" s="14">
        <f t="shared" si="0"/>
        <v>206000000</v>
      </c>
      <c r="H17" s="14">
        <f t="shared" si="0"/>
        <v>186000000</v>
      </c>
      <c r="I17" s="14">
        <f t="shared" si="0"/>
        <v>166000000</v>
      </c>
      <c r="J17" s="14">
        <f t="shared" si="0"/>
        <v>146000000</v>
      </c>
      <c r="K17" s="14">
        <f t="shared" si="0"/>
        <v>126000000</v>
      </c>
      <c r="L17" s="14">
        <f t="shared" si="0"/>
        <v>106000000</v>
      </c>
      <c r="M17" s="14">
        <f t="shared" si="0"/>
        <v>86000000</v>
      </c>
    </row>
    <row r="19" spans="2:13" x14ac:dyDescent="0.2">
      <c r="B19" s="3" t="s">
        <v>89</v>
      </c>
      <c r="C19" s="42">
        <f>C15/C$17</f>
        <v>0.78125</v>
      </c>
      <c r="D19" s="42">
        <f t="shared" ref="D19:M19" si="1">D15/D$17</f>
        <v>0.78125</v>
      </c>
      <c r="E19" s="42">
        <f t="shared" si="1"/>
        <v>0.77235772357723576</v>
      </c>
      <c r="F19" s="42">
        <f t="shared" si="1"/>
        <v>0.75221238938053092</v>
      </c>
      <c r="G19" s="42">
        <f t="shared" si="1"/>
        <v>0.72815533980582525</v>
      </c>
      <c r="H19" s="42">
        <f t="shared" si="1"/>
        <v>0.69892473118279574</v>
      </c>
      <c r="I19" s="42">
        <f t="shared" si="1"/>
        <v>0.66265060240963858</v>
      </c>
      <c r="J19" s="42">
        <f t="shared" si="1"/>
        <v>0.61643835616438358</v>
      </c>
      <c r="K19" s="42">
        <f t="shared" si="1"/>
        <v>0.55555555555555558</v>
      </c>
      <c r="L19" s="42">
        <f t="shared" si="1"/>
        <v>0.47169811320754718</v>
      </c>
      <c r="M19" s="42">
        <f t="shared" si="1"/>
        <v>0.34883720930232559</v>
      </c>
    </row>
    <row r="20" spans="2:13" x14ac:dyDescent="0.2">
      <c r="B20" s="3" t="s">
        <v>90</v>
      </c>
      <c r="C20" s="42">
        <f t="shared" ref="C20:M20" si="2">C16/C$17</f>
        <v>0.21875</v>
      </c>
      <c r="D20" s="42">
        <f t="shared" si="2"/>
        <v>0.21875</v>
      </c>
      <c r="E20" s="42">
        <f t="shared" si="2"/>
        <v>0.22764227642276422</v>
      </c>
      <c r="F20" s="42">
        <f t="shared" si="2"/>
        <v>0.24778761061946902</v>
      </c>
      <c r="G20" s="42">
        <f t="shared" si="2"/>
        <v>0.27184466019417475</v>
      </c>
      <c r="H20" s="42">
        <f t="shared" si="2"/>
        <v>0.30107526881720431</v>
      </c>
      <c r="I20" s="42">
        <f t="shared" si="2"/>
        <v>0.33734939759036142</v>
      </c>
      <c r="J20" s="42">
        <f t="shared" si="2"/>
        <v>0.38356164383561642</v>
      </c>
      <c r="K20" s="42">
        <f t="shared" si="2"/>
        <v>0.44444444444444442</v>
      </c>
      <c r="L20" s="42">
        <f t="shared" si="2"/>
        <v>0.52830188679245282</v>
      </c>
      <c r="M20" s="42">
        <f t="shared" si="2"/>
        <v>0.65116279069767447</v>
      </c>
    </row>
    <row r="21" spans="2:13" x14ac:dyDescent="0.2">
      <c r="B21" s="14" t="s">
        <v>91</v>
      </c>
      <c r="C21" s="60">
        <f>SUM(C19:C20)</f>
        <v>1</v>
      </c>
      <c r="D21" s="60">
        <f t="shared" ref="D21" si="3">SUM(D19:D20)</f>
        <v>1</v>
      </c>
      <c r="E21" s="60">
        <f t="shared" ref="E21" si="4">SUM(E19:E20)</f>
        <v>1</v>
      </c>
      <c r="F21" s="60">
        <f t="shared" ref="F21" si="5">SUM(F19:F20)</f>
        <v>1</v>
      </c>
      <c r="G21" s="60">
        <f t="shared" ref="G21" si="6">SUM(G19:G20)</f>
        <v>1</v>
      </c>
      <c r="H21" s="60">
        <f t="shared" ref="H21" si="7">SUM(H19:H20)</f>
        <v>1</v>
      </c>
      <c r="I21" s="60">
        <f t="shared" ref="I21" si="8">SUM(I19:I20)</f>
        <v>1</v>
      </c>
      <c r="J21" s="60">
        <f t="shared" ref="J21" si="9">SUM(J19:J20)</f>
        <v>1</v>
      </c>
      <c r="K21" s="60">
        <f t="shared" ref="K21" si="10">SUM(K19:K20)</f>
        <v>1</v>
      </c>
      <c r="L21" s="60">
        <f t="shared" ref="L21" si="11">SUM(L19:L20)</f>
        <v>1</v>
      </c>
      <c r="M21" s="60">
        <f t="shared" ref="M21" si="12">SUM(M19:M20)</f>
        <v>1</v>
      </c>
    </row>
    <row r="24" spans="2:13" x14ac:dyDescent="0.2">
      <c r="B24" s="3" t="s">
        <v>93</v>
      </c>
    </row>
    <row r="25" spans="2:13" x14ac:dyDescent="0.2">
      <c r="B25" s="3" t="s">
        <v>94</v>
      </c>
      <c r="C25" s="5">
        <f>AVERAGE(C9:C11)</f>
        <v>0.85000000000000009</v>
      </c>
    </row>
    <row r="26" spans="2:13" x14ac:dyDescent="0.2">
      <c r="B26" s="3" t="s">
        <v>95</v>
      </c>
      <c r="C26" s="64">
        <f>AVERAGE(D9:D11)</f>
        <v>0.60666666666666658</v>
      </c>
    </row>
    <row r="28" spans="2:13" x14ac:dyDescent="0.2">
      <c r="B28" s="3" t="s">
        <v>96</v>
      </c>
    </row>
    <row r="29" spans="2:13" x14ac:dyDescent="0.2">
      <c r="B29" s="3" t="s">
        <v>100</v>
      </c>
      <c r="C29" s="62">
        <f>C19/C20</f>
        <v>3.5714285714285716</v>
      </c>
      <c r="D29" s="62">
        <f t="shared" ref="D29:M29" si="13">D19/D20</f>
        <v>3.5714285714285716</v>
      </c>
      <c r="E29" s="62">
        <f t="shared" si="13"/>
        <v>3.3928571428571428</v>
      </c>
      <c r="F29" s="62">
        <f t="shared" si="13"/>
        <v>3.0357142857142856</v>
      </c>
      <c r="G29" s="62">
        <f t="shared" si="13"/>
        <v>2.6785714285714288</v>
      </c>
      <c r="H29" s="62">
        <f t="shared" si="13"/>
        <v>2.3214285714285716</v>
      </c>
      <c r="I29" s="62">
        <f t="shared" si="13"/>
        <v>1.9642857142857144</v>
      </c>
      <c r="J29" s="62">
        <f t="shared" si="13"/>
        <v>1.6071428571428572</v>
      </c>
      <c r="K29" s="62">
        <f t="shared" si="13"/>
        <v>1.2500000000000002</v>
      </c>
      <c r="L29" s="62">
        <f t="shared" si="13"/>
        <v>0.8928571428571429</v>
      </c>
      <c r="M29" s="62">
        <f t="shared" si="13"/>
        <v>0.5357142857142857</v>
      </c>
    </row>
    <row r="30" spans="2:13" x14ac:dyDescent="0.2">
      <c r="B30" s="3" t="s">
        <v>98</v>
      </c>
      <c r="C30" s="62">
        <f>$C$26/((1+(1-$C$5)*($C$25)))</f>
        <v>0.38035527690700099</v>
      </c>
      <c r="D30" s="62">
        <f t="shared" ref="D30:M30" si="14">$C$26/((1+(1-$C$5)*($C$25)))</f>
        <v>0.38035527690700099</v>
      </c>
      <c r="E30" s="62">
        <f t="shared" si="14"/>
        <v>0.38035527690700099</v>
      </c>
      <c r="F30" s="62">
        <f t="shared" si="14"/>
        <v>0.38035527690700099</v>
      </c>
      <c r="G30" s="62">
        <f t="shared" si="14"/>
        <v>0.38035527690700099</v>
      </c>
      <c r="H30" s="62">
        <f t="shared" si="14"/>
        <v>0.38035527690700099</v>
      </c>
      <c r="I30" s="62">
        <f t="shared" si="14"/>
        <v>0.38035527690700099</v>
      </c>
      <c r="J30" s="62">
        <f t="shared" si="14"/>
        <v>0.38035527690700099</v>
      </c>
      <c r="K30" s="62">
        <f t="shared" si="14"/>
        <v>0.38035527690700099</v>
      </c>
      <c r="L30" s="62">
        <f t="shared" si="14"/>
        <v>0.38035527690700099</v>
      </c>
      <c r="M30" s="62">
        <f t="shared" si="14"/>
        <v>0.38035527690700099</v>
      </c>
    </row>
    <row r="31" spans="2:13" x14ac:dyDescent="0.2">
      <c r="B31" s="14" t="s">
        <v>96</v>
      </c>
      <c r="C31" s="66">
        <f>C30*(1+(1-$C$5)*(C29))</f>
        <v>1.3312434691745034</v>
      </c>
      <c r="D31" s="66">
        <f t="shared" ref="D31:M31" si="15">D30*(1+(1-$C$5)*(D29))</f>
        <v>1.3312434691745034</v>
      </c>
      <c r="E31" s="66">
        <f t="shared" si="15"/>
        <v>1.2836990595611284</v>
      </c>
      <c r="F31" s="66">
        <f t="shared" si="15"/>
        <v>1.1886102403343779</v>
      </c>
      <c r="G31" s="66">
        <f t="shared" si="15"/>
        <v>1.0935214211076278</v>
      </c>
      <c r="H31" s="66">
        <f t="shared" si="15"/>
        <v>0.99843260188087757</v>
      </c>
      <c r="I31" s="66">
        <f t="shared" si="15"/>
        <v>0.9033437826541274</v>
      </c>
      <c r="J31" s="66">
        <f t="shared" si="15"/>
        <v>0.80825496342737713</v>
      </c>
      <c r="K31" s="66">
        <f t="shared" si="15"/>
        <v>0.71316614420062685</v>
      </c>
      <c r="L31" s="66">
        <f t="shared" si="15"/>
        <v>0.61807732497387657</v>
      </c>
      <c r="M31" s="66">
        <f t="shared" si="15"/>
        <v>0.52298850574712641</v>
      </c>
    </row>
    <row r="33" spans="2:13" x14ac:dyDescent="0.2">
      <c r="B33" s="24" t="s">
        <v>101</v>
      </c>
      <c r="C33" s="67">
        <f>$C$4+$C$6*C31</f>
        <v>0.1098746081504702</v>
      </c>
      <c r="D33" s="67">
        <f t="shared" ref="D33:M33" si="16">$C$4+$C$6*D31</f>
        <v>0.1098746081504702</v>
      </c>
      <c r="E33" s="67">
        <f t="shared" si="16"/>
        <v>0.1070219435736677</v>
      </c>
      <c r="F33" s="67">
        <f t="shared" si="16"/>
        <v>0.10131661442006266</v>
      </c>
      <c r="G33" s="67">
        <f t="shared" si="16"/>
        <v>9.5611285266457666E-2</v>
      </c>
      <c r="H33" s="67">
        <f t="shared" si="16"/>
        <v>8.9905956112852653E-2</v>
      </c>
      <c r="I33" s="67">
        <f t="shared" si="16"/>
        <v>8.420062695924764E-2</v>
      </c>
      <c r="J33" s="67">
        <f t="shared" si="16"/>
        <v>7.8495297805642628E-2</v>
      </c>
      <c r="K33" s="67">
        <f t="shared" si="16"/>
        <v>7.2789968652037601E-2</v>
      </c>
      <c r="L33" s="67">
        <f t="shared" si="16"/>
        <v>6.7084639498432602E-2</v>
      </c>
      <c r="M33" s="67">
        <f t="shared" si="16"/>
        <v>6.1379310344827583E-2</v>
      </c>
    </row>
    <row r="35" spans="2:13" ht="12.75" thickBot="1" x14ac:dyDescent="0.25">
      <c r="B35" s="22" t="s">
        <v>68</v>
      </c>
      <c r="C35" s="68">
        <f>C19*(1-$C$5)*$C$3+C20*C33</f>
        <v>5.1378820532915356E-2</v>
      </c>
      <c r="D35" s="68">
        <f t="shared" ref="D35:M35" si="17">D19*(1-$C$5)*$C$3+D20*D33</f>
        <v>5.1378820532915356E-2</v>
      </c>
      <c r="E35" s="68">
        <f t="shared" si="17"/>
        <v>5.1395239187501593E-2</v>
      </c>
      <c r="F35" s="68">
        <f t="shared" si="17"/>
        <v>5.143243543151995E-2</v>
      </c>
      <c r="G35" s="68">
        <f t="shared" si="17"/>
        <v>5.147685424719238E-2</v>
      </c>
      <c r="H35" s="68">
        <f t="shared" si="17"/>
        <v>5.1530825496342733E-2</v>
      </c>
      <c r="I35" s="68">
        <f t="shared" si="17"/>
        <v>5.1597801865770287E-2</v>
      </c>
      <c r="J35" s="68">
        <f t="shared" si="17"/>
        <v>5.1683127925451967E-2</v>
      </c>
      <c r="K35" s="68">
        <f t="shared" si="17"/>
        <v>5.1795541623127821E-2</v>
      </c>
      <c r="L35" s="68">
        <f t="shared" si="17"/>
        <v>5.1950375584077599E-2</v>
      </c>
      <c r="M35" s="68">
        <f t="shared" si="17"/>
        <v>5.2177225340817965E-2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G17" sqref="G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41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workbookViewId="0">
      <selection activeCell="G17" sqref="G17"/>
    </sheetView>
  </sheetViews>
  <sheetFormatPr defaultRowHeight="15" x14ac:dyDescent="0.25"/>
  <cols>
    <col min="1" max="1" width="2" style="73" customWidth="1"/>
    <col min="2" max="2" width="26.42578125" style="73" customWidth="1"/>
    <col min="3" max="4" width="11.85546875" style="73" customWidth="1"/>
    <col min="5" max="12" width="11" style="73" bestFit="1" customWidth="1"/>
    <col min="13" max="13" width="11" style="74" bestFit="1" customWidth="1"/>
    <col min="14" max="14" width="11" style="73" bestFit="1" customWidth="1"/>
    <col min="15" max="15" width="13.140625" style="73" bestFit="1" customWidth="1"/>
    <col min="16" max="16384" width="9.140625" style="73"/>
  </cols>
  <sheetData>
    <row r="1" spans="2:15" ht="15.75" x14ac:dyDescent="0.25">
      <c r="B1" s="72" t="s">
        <v>70</v>
      </c>
    </row>
    <row r="2" spans="2:15" ht="15.75" x14ac:dyDescent="0.25">
      <c r="B2" s="72"/>
    </row>
    <row r="3" spans="2:15" x14ac:dyDescent="0.25">
      <c r="B3" s="74" t="s">
        <v>21</v>
      </c>
      <c r="C3" s="13">
        <v>1</v>
      </c>
    </row>
    <row r="4" spans="2:15" ht="15.75" x14ac:dyDescent="0.25">
      <c r="B4" s="72"/>
    </row>
    <row r="5" spans="2:15" x14ac:dyDescent="0.25">
      <c r="B5" s="74" t="s">
        <v>67</v>
      </c>
      <c r="C5" s="75">
        <f>Drivers!C40-Financing!M14</f>
        <v>70000000</v>
      </c>
      <c r="M5" s="73"/>
      <c r="N5" s="74"/>
    </row>
    <row r="6" spans="2:15" x14ac:dyDescent="0.25">
      <c r="M6" s="73"/>
    </row>
    <row r="7" spans="2:15" ht="15.75" thickBot="1" x14ac:dyDescent="0.3">
      <c r="B7" s="76" t="s">
        <v>24</v>
      </c>
      <c r="C7" s="76"/>
      <c r="D7" s="76">
        <v>0</v>
      </c>
      <c r="E7" s="76">
        <v>1</v>
      </c>
      <c r="F7" s="76">
        <v>2</v>
      </c>
      <c r="G7" s="76">
        <v>3</v>
      </c>
      <c r="H7" s="76">
        <v>4</v>
      </c>
      <c r="I7" s="76">
        <v>5</v>
      </c>
      <c r="J7" s="76">
        <v>6</v>
      </c>
      <c r="K7" s="76">
        <v>7</v>
      </c>
      <c r="L7" s="76">
        <v>8</v>
      </c>
      <c r="M7" s="76">
        <v>9</v>
      </c>
      <c r="N7" s="76">
        <v>10</v>
      </c>
      <c r="O7" s="77" t="s">
        <v>67</v>
      </c>
    </row>
    <row r="8" spans="2:15" x14ac:dyDescent="0.25">
      <c r="B8" s="78" t="s">
        <v>62</v>
      </c>
      <c r="C8" s="78"/>
      <c r="D8" s="78">
        <f>-Financing!C23</f>
        <v>-56000000</v>
      </c>
      <c r="E8" s="75">
        <f>'Cash Flow'!D13</f>
        <v>13300277.777777776</v>
      </c>
      <c r="F8" s="75">
        <f>'Cash Flow'!E13</f>
        <v>16811613.888888896</v>
      </c>
      <c r="G8" s="75">
        <f>'Cash Flow'!F13</f>
        <v>29307090.87222223</v>
      </c>
      <c r="H8" s="75">
        <f>'Cash Flow'!G13</f>
        <v>29269952.107999995</v>
      </c>
      <c r="I8" s="75">
        <f>'Cash Flow'!H13</f>
        <v>27155339.105561092</v>
      </c>
      <c r="J8" s="75">
        <f>'Cash Flow'!I13</f>
        <v>24498735.813540623</v>
      </c>
      <c r="K8" s="75">
        <f>'Cash Flow'!J13</f>
        <v>21650947.103663526</v>
      </c>
      <c r="L8" s="75">
        <f>'Cash Flow'!K13</f>
        <v>18620997.466094188</v>
      </c>
      <c r="M8" s="75">
        <f>'Cash Flow'!L13</f>
        <v>15828952.384652659</v>
      </c>
      <c r="N8" s="75">
        <f>'Cash Flow'!M13</f>
        <v>13177097.969553567</v>
      </c>
      <c r="O8" s="75">
        <f>C5</f>
        <v>70000000</v>
      </c>
    </row>
    <row r="9" spans="2:15" x14ac:dyDescent="0.25">
      <c r="B9" s="78"/>
      <c r="C9" s="78"/>
      <c r="D9" s="78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</row>
    <row r="10" spans="2:15" x14ac:dyDescent="0.25">
      <c r="B10" s="75" t="s">
        <v>68</v>
      </c>
      <c r="C10" s="75"/>
      <c r="D10" s="75"/>
      <c r="E10" s="79">
        <f>WACC!C35</f>
        <v>5.1378820532915356E-2</v>
      </c>
      <c r="F10" s="79">
        <f>WACC!D35</f>
        <v>5.1378820532915356E-2</v>
      </c>
      <c r="G10" s="79">
        <f>WACC!E35</f>
        <v>5.1395239187501593E-2</v>
      </c>
      <c r="H10" s="79">
        <f>WACC!F35</f>
        <v>5.143243543151995E-2</v>
      </c>
      <c r="I10" s="79">
        <f>WACC!G35</f>
        <v>5.147685424719238E-2</v>
      </c>
      <c r="J10" s="79">
        <f>WACC!H35</f>
        <v>5.1530825496342733E-2</v>
      </c>
      <c r="K10" s="79">
        <f>WACC!I35</f>
        <v>5.1597801865770287E-2</v>
      </c>
      <c r="L10" s="79">
        <f>WACC!J35</f>
        <v>5.1683127925451967E-2</v>
      </c>
      <c r="M10" s="79">
        <f>WACC!K35</f>
        <v>5.1795541623127821E-2</v>
      </c>
      <c r="N10" s="79">
        <f>WACC!L35</f>
        <v>5.1950375584077599E-2</v>
      </c>
      <c r="O10" s="80"/>
    </row>
    <row r="11" spans="2:15" x14ac:dyDescent="0.25">
      <c r="B11" s="81" t="s">
        <v>69</v>
      </c>
      <c r="C11" s="81"/>
      <c r="D11" s="82">
        <f t="shared" ref="D11:N11" si="0">D8/(1+D10)^D7</f>
        <v>-56000000</v>
      </c>
      <c r="E11" s="82">
        <f t="shared" si="0"/>
        <v>12650319.293131877</v>
      </c>
      <c r="F11" s="82">
        <f t="shared" si="0"/>
        <v>15208660.269915557</v>
      </c>
      <c r="G11" s="82">
        <f t="shared" si="0"/>
        <v>25215912.712172076</v>
      </c>
      <c r="H11" s="82">
        <f t="shared" si="0"/>
        <v>23949504.381550215</v>
      </c>
      <c r="I11" s="82">
        <f t="shared" si="0"/>
        <v>21127915.17630909</v>
      </c>
      <c r="J11" s="82">
        <f t="shared" si="0"/>
        <v>18122229.392827172</v>
      </c>
      <c r="K11" s="82">
        <f t="shared" si="0"/>
        <v>15224015.291869439</v>
      </c>
      <c r="L11" s="82">
        <f t="shared" si="0"/>
        <v>12442959.513724748</v>
      </c>
      <c r="M11" s="82">
        <f t="shared" si="0"/>
        <v>10047782.891672017</v>
      </c>
      <c r="N11" s="82">
        <f t="shared" si="0"/>
        <v>7940854.6132479981</v>
      </c>
      <c r="O11" s="81"/>
    </row>
    <row r="12" spans="2:15" x14ac:dyDescent="0.25">
      <c r="B12" s="83" t="s">
        <v>108</v>
      </c>
      <c r="C12" s="83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>
        <f>O8/(1+N10)^N7</f>
        <v>42183781.604394652</v>
      </c>
      <c r="O12" s="83"/>
    </row>
    <row r="13" spans="2:15" x14ac:dyDescent="0.25">
      <c r="B13" s="81" t="s">
        <v>107</v>
      </c>
      <c r="C13" s="81"/>
      <c r="D13" s="81">
        <f>SUM(D11:D12)</f>
        <v>-56000000</v>
      </c>
      <c r="E13" s="81">
        <f t="shared" ref="E13:N13" si="1">SUM(E11:E12)</f>
        <v>12650319.293131877</v>
      </c>
      <c r="F13" s="81">
        <f t="shared" si="1"/>
        <v>15208660.269915557</v>
      </c>
      <c r="G13" s="81">
        <f t="shared" si="1"/>
        <v>25215912.712172076</v>
      </c>
      <c r="H13" s="81">
        <f t="shared" si="1"/>
        <v>23949504.381550215</v>
      </c>
      <c r="I13" s="81">
        <f t="shared" si="1"/>
        <v>21127915.17630909</v>
      </c>
      <c r="J13" s="81">
        <f t="shared" si="1"/>
        <v>18122229.392827172</v>
      </c>
      <c r="K13" s="81">
        <f t="shared" si="1"/>
        <v>15224015.291869439</v>
      </c>
      <c r="L13" s="81">
        <f t="shared" si="1"/>
        <v>12442959.513724748</v>
      </c>
      <c r="M13" s="81">
        <f t="shared" si="1"/>
        <v>10047782.891672017</v>
      </c>
      <c r="N13" s="81">
        <f t="shared" si="1"/>
        <v>50124636.21764265</v>
      </c>
      <c r="O13" s="83"/>
    </row>
    <row r="14" spans="2:15" x14ac:dyDescent="0.25"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74"/>
    </row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topLeftCell="A31" workbookViewId="0">
      <selection activeCell="B44" sqref="B44:D47"/>
    </sheetView>
  </sheetViews>
  <sheetFormatPr defaultRowHeight="12" x14ac:dyDescent="0.2"/>
  <cols>
    <col min="1" max="1" width="2" style="3" customWidth="1"/>
    <col min="2" max="2" width="35.7109375" style="3" bestFit="1" customWidth="1"/>
    <col min="3" max="3" width="12" style="3" bestFit="1" customWidth="1"/>
    <col min="4" max="4" width="10.85546875" style="3" customWidth="1"/>
    <col min="5" max="16384" width="9.140625" style="3"/>
  </cols>
  <sheetData>
    <row r="1" spans="2:3" s="2" customFormat="1" ht="15.75" x14ac:dyDescent="0.25">
      <c r="B1" s="4" t="s">
        <v>22</v>
      </c>
    </row>
    <row r="2" spans="2:3" s="2" customFormat="1" ht="14.25" x14ac:dyDescent="0.2"/>
    <row r="3" spans="2:3" s="2" customFormat="1" ht="14.25" x14ac:dyDescent="0.2">
      <c r="B3" s="86" t="s">
        <v>21</v>
      </c>
      <c r="C3" s="13">
        <f>'Discounted Cash Flows'!C3</f>
        <v>1</v>
      </c>
    </row>
    <row r="4" spans="2:3" s="2" customFormat="1" ht="14.25" x14ac:dyDescent="0.2">
      <c r="B4" s="85"/>
    </row>
    <row r="5" spans="2:3" s="2" customFormat="1" ht="15" thickBot="1" x14ac:dyDescent="0.25">
      <c r="B5" s="88" t="s">
        <v>40</v>
      </c>
      <c r="C5" s="7"/>
    </row>
    <row r="6" spans="2:3" s="2" customFormat="1" ht="14.25" x14ac:dyDescent="0.2">
      <c r="B6" s="86" t="s">
        <v>124</v>
      </c>
      <c r="C6" s="5">
        <v>0.01</v>
      </c>
    </row>
    <row r="7" spans="2:3" s="2" customFormat="1" ht="14.25" x14ac:dyDescent="0.2">
      <c r="B7" s="86" t="s">
        <v>125</v>
      </c>
      <c r="C7" s="5">
        <v>0.03</v>
      </c>
    </row>
    <row r="8" spans="2:3" s="2" customFormat="1" ht="14.25" x14ac:dyDescent="0.2">
      <c r="B8" s="85"/>
    </row>
    <row r="9" spans="2:3" s="2" customFormat="1" ht="15" thickBot="1" x14ac:dyDescent="0.25">
      <c r="B9" s="88" t="s">
        <v>126</v>
      </c>
      <c r="C9" s="7"/>
    </row>
    <row r="10" spans="2:3" s="2" customFormat="1" ht="14.25" x14ac:dyDescent="0.2">
      <c r="B10" s="86" t="s">
        <v>6</v>
      </c>
      <c r="C10" s="6">
        <v>15500</v>
      </c>
    </row>
    <row r="11" spans="2:3" s="2" customFormat="1" ht="14.25" x14ac:dyDescent="0.2">
      <c r="B11" s="86" t="s">
        <v>7</v>
      </c>
      <c r="C11" s="6">
        <v>11000</v>
      </c>
    </row>
    <row r="12" spans="2:3" s="2" customFormat="1" ht="14.25" x14ac:dyDescent="0.2">
      <c r="B12" s="85"/>
    </row>
    <row r="13" spans="2:3" s="2" customFormat="1" ht="15" thickBot="1" x14ac:dyDescent="0.25">
      <c r="B13" s="88" t="s">
        <v>17</v>
      </c>
      <c r="C13" s="7"/>
    </row>
    <row r="14" spans="2:3" s="2" customFormat="1" ht="14.25" x14ac:dyDescent="0.2">
      <c r="B14" s="86" t="s">
        <v>2</v>
      </c>
      <c r="C14" s="6">
        <v>320000000</v>
      </c>
    </row>
    <row r="15" spans="2:3" x14ac:dyDescent="0.2">
      <c r="B15" s="86" t="s">
        <v>1</v>
      </c>
      <c r="C15" s="6">
        <v>350000000</v>
      </c>
    </row>
    <row r="16" spans="2:3" x14ac:dyDescent="0.2">
      <c r="B16" s="86" t="s">
        <v>3</v>
      </c>
      <c r="C16" s="6">
        <v>380000000</v>
      </c>
    </row>
    <row r="18" spans="2:13" x14ac:dyDescent="0.2">
      <c r="B18" s="86" t="s">
        <v>19</v>
      </c>
      <c r="C18" s="6">
        <v>10</v>
      </c>
    </row>
    <row r="20" spans="2:13" ht="12.75" thickBot="1" x14ac:dyDescent="0.25">
      <c r="B20" s="88" t="s">
        <v>29</v>
      </c>
      <c r="C20" s="7"/>
    </row>
    <row r="21" spans="2:13" x14ac:dyDescent="0.2">
      <c r="B21" s="86" t="s">
        <v>31</v>
      </c>
      <c r="C21" s="3">
        <v>25</v>
      </c>
    </row>
    <row r="22" spans="2:13" x14ac:dyDescent="0.2">
      <c r="B22" s="86" t="s">
        <v>30</v>
      </c>
      <c r="C22" s="3">
        <v>30</v>
      </c>
    </row>
    <row r="23" spans="2:13" x14ac:dyDescent="0.2">
      <c r="B23" s="89" t="s">
        <v>32</v>
      </c>
      <c r="C23" s="12">
        <f>C21-C22</f>
        <v>-5</v>
      </c>
    </row>
    <row r="24" spans="2:13" x14ac:dyDescent="0.2">
      <c r="B24" s="92"/>
      <c r="C24" s="65"/>
    </row>
    <row r="25" spans="2:13" ht="12.75" thickBot="1" x14ac:dyDescent="0.25">
      <c r="B25" s="88" t="s">
        <v>39</v>
      </c>
      <c r="C25" s="7"/>
    </row>
    <row r="26" spans="2:13" x14ac:dyDescent="0.2">
      <c r="B26" s="86" t="s">
        <v>111</v>
      </c>
      <c r="C26" s="6">
        <v>200000000</v>
      </c>
    </row>
    <row r="27" spans="2:13" x14ac:dyDescent="0.2">
      <c r="B27" s="86" t="s">
        <v>41</v>
      </c>
      <c r="C27" s="5">
        <v>0.05</v>
      </c>
    </row>
    <row r="28" spans="2:13" x14ac:dyDescent="0.2">
      <c r="B28" s="86" t="s">
        <v>60</v>
      </c>
      <c r="C28" s="25" t="s">
        <v>59</v>
      </c>
    </row>
    <row r="29" spans="2:13" x14ac:dyDescent="0.2">
      <c r="B29" s="86" t="s">
        <v>127</v>
      </c>
      <c r="C29" s="5"/>
    </row>
    <row r="30" spans="2:13" s="86" customFormat="1" x14ac:dyDescent="0.2">
      <c r="C30" s="87"/>
    </row>
    <row r="31" spans="2:13" s="86" customFormat="1" ht="12.75" thickBot="1" x14ac:dyDescent="0.25">
      <c r="B31" s="88" t="s">
        <v>128</v>
      </c>
      <c r="C31" s="54">
        <v>0</v>
      </c>
      <c r="D31" s="54">
        <v>1</v>
      </c>
      <c r="E31" s="54">
        <v>2</v>
      </c>
      <c r="F31" s="54">
        <v>3</v>
      </c>
      <c r="G31" s="54">
        <v>4</v>
      </c>
      <c r="H31" s="54">
        <v>5</v>
      </c>
      <c r="I31" s="54">
        <v>6</v>
      </c>
      <c r="J31" s="54">
        <v>7</v>
      </c>
      <c r="K31" s="54">
        <v>8</v>
      </c>
      <c r="L31" s="54">
        <v>9</v>
      </c>
      <c r="M31" s="54">
        <v>10</v>
      </c>
    </row>
    <row r="32" spans="2:13" x14ac:dyDescent="0.2">
      <c r="B32" s="48" t="s">
        <v>74</v>
      </c>
      <c r="C32" s="56">
        <v>0</v>
      </c>
      <c r="D32" s="56">
        <v>0</v>
      </c>
      <c r="E32" s="56">
        <v>0.05</v>
      </c>
      <c r="F32" s="56">
        <v>0.1</v>
      </c>
      <c r="G32" s="56">
        <v>0.1</v>
      </c>
      <c r="H32" s="56">
        <v>0.1</v>
      </c>
      <c r="I32" s="56">
        <v>0.1</v>
      </c>
      <c r="J32" s="56">
        <v>0.1</v>
      </c>
      <c r="K32" s="56">
        <v>0.1</v>
      </c>
      <c r="L32" s="56">
        <v>0.1</v>
      </c>
      <c r="M32" s="56">
        <v>0.1</v>
      </c>
    </row>
    <row r="33" spans="2:13" s="86" customFormat="1" x14ac:dyDescent="0.2">
      <c r="B33" s="48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2:13" x14ac:dyDescent="0.2">
      <c r="B34" s="91" t="s">
        <v>48</v>
      </c>
    </row>
    <row r="35" spans="2:13" x14ac:dyDescent="0.2">
      <c r="B35" s="86" t="s">
        <v>129</v>
      </c>
    </row>
    <row r="36" spans="2:13" x14ac:dyDescent="0.2">
      <c r="B36" s="86" t="s">
        <v>75</v>
      </c>
    </row>
    <row r="38" spans="2:13" x14ac:dyDescent="0.2">
      <c r="B38" s="86" t="s">
        <v>58</v>
      </c>
      <c r="C38" s="5">
        <v>0.3</v>
      </c>
    </row>
    <row r="40" spans="2:13" x14ac:dyDescent="0.2">
      <c r="B40" s="86" t="s">
        <v>63</v>
      </c>
      <c r="C40" s="6">
        <v>100000000</v>
      </c>
    </row>
    <row r="42" spans="2:13" s="86" customFormat="1" x14ac:dyDescent="0.2">
      <c r="B42" s="90" t="s">
        <v>97</v>
      </c>
      <c r="C42" s="19">
        <v>0.9</v>
      </c>
    </row>
    <row r="43" spans="2:13" s="86" customFormat="1" x14ac:dyDescent="0.2"/>
    <row r="44" spans="2:13" ht="12.75" thickBot="1" x14ac:dyDescent="0.25">
      <c r="B44" s="88" t="s">
        <v>84</v>
      </c>
      <c r="C44" s="61" t="s">
        <v>99</v>
      </c>
      <c r="D44" s="61" t="s">
        <v>86</v>
      </c>
    </row>
    <row r="45" spans="2:13" x14ac:dyDescent="0.2">
      <c r="B45" s="86" t="s">
        <v>85</v>
      </c>
      <c r="C45" s="5">
        <v>0.8</v>
      </c>
      <c r="D45" s="3">
        <v>0.6</v>
      </c>
    </row>
    <row r="46" spans="2:13" x14ac:dyDescent="0.2">
      <c r="B46" s="86" t="s">
        <v>87</v>
      </c>
      <c r="C46" s="5">
        <v>0.9</v>
      </c>
      <c r="D46" s="3">
        <v>0.65</v>
      </c>
    </row>
    <row r="47" spans="2:13" x14ac:dyDescent="0.2">
      <c r="B47" s="86" t="s">
        <v>92</v>
      </c>
      <c r="C47" s="5">
        <v>0.85</v>
      </c>
      <c r="D47" s="3">
        <v>0.56999999999999995</v>
      </c>
    </row>
    <row r="49" spans="2:3" x14ac:dyDescent="0.2">
      <c r="B49" s="86" t="s">
        <v>102</v>
      </c>
      <c r="C49" s="5">
        <v>0.06</v>
      </c>
    </row>
    <row r="50" spans="2:3" x14ac:dyDescent="0.2">
      <c r="B50" s="86" t="s">
        <v>103</v>
      </c>
      <c r="C50" s="5">
        <v>0.05</v>
      </c>
    </row>
    <row r="52" spans="2:3" x14ac:dyDescent="0.2">
      <c r="B52" s="86" t="s">
        <v>104</v>
      </c>
      <c r="C52" s="5">
        <v>0.03</v>
      </c>
    </row>
    <row r="53" spans="2:3" x14ac:dyDescent="0.2">
      <c r="B53" s="86" t="s">
        <v>105</v>
      </c>
      <c r="C53" s="5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E17" sqref="E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41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C27" sqref="C27:L27"/>
    </sheetView>
  </sheetViews>
  <sheetFormatPr defaultRowHeight="12" x14ac:dyDescent="0.2"/>
  <cols>
    <col min="1" max="1" width="2" style="3" customWidth="1"/>
    <col min="2" max="2" width="30.28515625" style="3" bestFit="1" customWidth="1"/>
    <col min="3" max="12" width="11" style="3" bestFit="1" customWidth="1"/>
    <col min="13" max="16384" width="9.140625" style="3"/>
  </cols>
  <sheetData>
    <row r="1" spans="2:12" ht="15.75" x14ac:dyDescent="0.25">
      <c r="B1" s="4" t="s">
        <v>15</v>
      </c>
    </row>
    <row r="3" spans="2:12" x14ac:dyDescent="0.2">
      <c r="B3" s="3" t="s">
        <v>4</v>
      </c>
      <c r="C3" s="6">
        <v>22000</v>
      </c>
    </row>
    <row r="4" spans="2:12" x14ac:dyDescent="0.2">
      <c r="B4" s="3" t="s">
        <v>0</v>
      </c>
      <c r="C4" s="6">
        <v>20000</v>
      </c>
    </row>
    <row r="5" spans="2:12" x14ac:dyDescent="0.2">
      <c r="B5" s="3" t="s">
        <v>5</v>
      </c>
      <c r="C5" s="6">
        <v>18000</v>
      </c>
    </row>
    <row r="7" spans="2:12" ht="12.75" thickBot="1" x14ac:dyDescent="0.25">
      <c r="B7" s="7" t="s">
        <v>11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</row>
    <row r="8" spans="2:12" x14ac:dyDescent="0.2">
      <c r="B8" s="3" t="s">
        <v>2</v>
      </c>
      <c r="C8" s="6">
        <f t="shared" ref="C8:L8" si="0">$C3*C14</f>
        <v>18700</v>
      </c>
      <c r="D8" s="6">
        <f t="shared" si="0"/>
        <v>19140</v>
      </c>
      <c r="E8" s="6">
        <f t="shared" si="0"/>
        <v>19580</v>
      </c>
      <c r="F8" s="6">
        <f t="shared" si="0"/>
        <v>20240</v>
      </c>
      <c r="G8" s="6">
        <f t="shared" si="0"/>
        <v>19800</v>
      </c>
      <c r="H8" s="6">
        <f t="shared" si="0"/>
        <v>19580</v>
      </c>
      <c r="I8" s="6">
        <f t="shared" si="0"/>
        <v>19140</v>
      </c>
      <c r="J8" s="6">
        <f t="shared" si="0"/>
        <v>18700</v>
      </c>
      <c r="K8" s="6">
        <f t="shared" si="0"/>
        <v>18480</v>
      </c>
      <c r="L8" s="6">
        <f t="shared" si="0"/>
        <v>18260</v>
      </c>
    </row>
    <row r="9" spans="2:12" x14ac:dyDescent="0.2">
      <c r="B9" s="3" t="s">
        <v>1</v>
      </c>
      <c r="C9" s="6">
        <f t="shared" ref="C9:L9" si="1">$C4*C15</f>
        <v>16000</v>
      </c>
      <c r="D9" s="6">
        <f t="shared" si="1"/>
        <v>17000</v>
      </c>
      <c r="E9" s="6">
        <f t="shared" si="1"/>
        <v>17400</v>
      </c>
      <c r="F9" s="6">
        <f t="shared" si="1"/>
        <v>18000</v>
      </c>
      <c r="G9" s="6">
        <f t="shared" si="1"/>
        <v>17600</v>
      </c>
      <c r="H9" s="6">
        <f t="shared" si="1"/>
        <v>17400</v>
      </c>
      <c r="I9" s="6">
        <f t="shared" si="1"/>
        <v>17000</v>
      </c>
      <c r="J9" s="6">
        <f t="shared" si="1"/>
        <v>16600</v>
      </c>
      <c r="K9" s="6">
        <f t="shared" si="1"/>
        <v>16400</v>
      </c>
      <c r="L9" s="6">
        <f t="shared" si="1"/>
        <v>16200.000000000002</v>
      </c>
    </row>
    <row r="10" spans="2:12" x14ac:dyDescent="0.2">
      <c r="B10" s="3" t="s">
        <v>3</v>
      </c>
      <c r="C10" s="6">
        <f t="shared" ref="C10:L10" si="2">$C5*C16</f>
        <v>13500</v>
      </c>
      <c r="D10" s="6">
        <f t="shared" si="2"/>
        <v>14400</v>
      </c>
      <c r="E10" s="6">
        <f t="shared" si="2"/>
        <v>14760</v>
      </c>
      <c r="F10" s="6">
        <f t="shared" si="2"/>
        <v>15120</v>
      </c>
      <c r="G10" s="6">
        <f t="shared" si="2"/>
        <v>14940</v>
      </c>
      <c r="H10" s="6">
        <f t="shared" si="2"/>
        <v>14760</v>
      </c>
      <c r="I10" s="6">
        <f t="shared" si="2"/>
        <v>14400</v>
      </c>
      <c r="J10" s="6">
        <f t="shared" si="2"/>
        <v>14040</v>
      </c>
      <c r="K10" s="6">
        <f t="shared" si="2"/>
        <v>13860</v>
      </c>
      <c r="L10" s="6">
        <f t="shared" si="2"/>
        <v>13680</v>
      </c>
    </row>
    <row r="11" spans="2:12" x14ac:dyDescent="0.2">
      <c r="B11" s="12" t="s">
        <v>21</v>
      </c>
      <c r="C11" s="14">
        <f>CHOOSE(Drivers!$C$3,'Savings forecast'!C8,'Savings forecast'!C9,'Savings forecast'!C10)</f>
        <v>18700</v>
      </c>
      <c r="D11" s="14">
        <f>CHOOSE(Drivers!$C$3,'Savings forecast'!D8,'Savings forecast'!D9,'Savings forecast'!D10)</f>
        <v>19140</v>
      </c>
      <c r="E11" s="14">
        <f>CHOOSE(Drivers!$C$3,'Savings forecast'!E8,'Savings forecast'!E9,'Savings forecast'!E10)</f>
        <v>19580</v>
      </c>
      <c r="F11" s="14">
        <f>CHOOSE(Drivers!$C$3,'Savings forecast'!F8,'Savings forecast'!F9,'Savings forecast'!F10)</f>
        <v>20240</v>
      </c>
      <c r="G11" s="14">
        <f>CHOOSE(Drivers!$C$3,'Savings forecast'!G8,'Savings forecast'!G9,'Savings forecast'!G10)</f>
        <v>19800</v>
      </c>
      <c r="H11" s="14">
        <f>CHOOSE(Drivers!$C$3,'Savings forecast'!H8,'Savings forecast'!H9,'Savings forecast'!H10)</f>
        <v>19580</v>
      </c>
      <c r="I11" s="14">
        <f>CHOOSE(Drivers!$C$3,'Savings forecast'!I8,'Savings forecast'!I9,'Savings forecast'!I10)</f>
        <v>19140</v>
      </c>
      <c r="J11" s="14">
        <f>CHOOSE(Drivers!$C$3,'Savings forecast'!J8,'Savings forecast'!J9,'Savings forecast'!J10)</f>
        <v>18700</v>
      </c>
      <c r="K11" s="14">
        <f>CHOOSE(Drivers!$C$3,'Savings forecast'!K8,'Savings forecast'!K9,'Savings forecast'!K10)</f>
        <v>18480</v>
      </c>
      <c r="L11" s="14">
        <f>CHOOSE(Drivers!$C$3,'Savings forecast'!L8,'Savings forecast'!L9,'Savings forecast'!L10)</f>
        <v>18260</v>
      </c>
    </row>
    <row r="13" spans="2:12" ht="12.75" thickBot="1" x14ac:dyDescent="0.25">
      <c r="B13" s="7" t="s">
        <v>12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">
      <c r="B14" s="3" t="s">
        <v>2</v>
      </c>
      <c r="C14" s="5">
        <v>0.85</v>
      </c>
      <c r="D14" s="5">
        <v>0.87</v>
      </c>
      <c r="E14" s="5">
        <v>0.89</v>
      </c>
      <c r="F14" s="5">
        <v>0.92</v>
      </c>
      <c r="G14" s="5">
        <v>0.9</v>
      </c>
      <c r="H14" s="5">
        <v>0.89</v>
      </c>
      <c r="I14" s="5">
        <v>0.87</v>
      </c>
      <c r="J14" s="5">
        <v>0.85</v>
      </c>
      <c r="K14" s="5">
        <v>0.84</v>
      </c>
      <c r="L14" s="5">
        <v>0.83</v>
      </c>
    </row>
    <row r="15" spans="2:12" x14ac:dyDescent="0.2">
      <c r="B15" s="3" t="s">
        <v>1</v>
      </c>
      <c r="C15" s="5">
        <v>0.8</v>
      </c>
      <c r="D15" s="5">
        <v>0.85</v>
      </c>
      <c r="E15" s="5">
        <v>0.87</v>
      </c>
      <c r="F15" s="5">
        <v>0.9</v>
      </c>
      <c r="G15" s="5">
        <v>0.88</v>
      </c>
      <c r="H15" s="5">
        <v>0.87</v>
      </c>
      <c r="I15" s="5">
        <v>0.85</v>
      </c>
      <c r="J15" s="5">
        <v>0.83</v>
      </c>
      <c r="K15" s="5">
        <v>0.82</v>
      </c>
      <c r="L15" s="5">
        <v>0.81</v>
      </c>
    </row>
    <row r="16" spans="2:12" x14ac:dyDescent="0.2">
      <c r="B16" s="3" t="s">
        <v>3</v>
      </c>
      <c r="C16" s="5">
        <v>0.75</v>
      </c>
      <c r="D16" s="5">
        <v>0.8</v>
      </c>
      <c r="E16" s="5">
        <v>0.82</v>
      </c>
      <c r="F16" s="5">
        <v>0.84</v>
      </c>
      <c r="G16" s="5">
        <v>0.83</v>
      </c>
      <c r="H16" s="5">
        <v>0.82</v>
      </c>
      <c r="I16" s="5">
        <v>0.8</v>
      </c>
      <c r="J16" s="5">
        <v>0.78</v>
      </c>
      <c r="K16" s="5">
        <v>0.77</v>
      </c>
      <c r="L16" s="5">
        <v>0.76</v>
      </c>
    </row>
    <row r="19" spans="2:12" x14ac:dyDescent="0.2">
      <c r="B19" s="3" t="s">
        <v>8</v>
      </c>
      <c r="C19" s="5">
        <f>Drivers!C6</f>
        <v>0.01</v>
      </c>
    </row>
    <row r="20" spans="2:12" x14ac:dyDescent="0.2">
      <c r="B20" s="3" t="s">
        <v>9</v>
      </c>
      <c r="C20" s="5">
        <f>Drivers!C7</f>
        <v>0.03</v>
      </c>
    </row>
    <row r="22" spans="2:12" ht="12.75" thickBot="1" x14ac:dyDescent="0.25">
      <c r="B22" s="7" t="s">
        <v>10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</row>
    <row r="23" spans="2:12" x14ac:dyDescent="0.2">
      <c r="B23" s="3" t="s">
        <v>6</v>
      </c>
      <c r="C23" s="6">
        <f>Drivers!C10</f>
        <v>15500</v>
      </c>
      <c r="D23" s="6">
        <f t="shared" ref="D23:L23" si="3">C23*(1+$C19)</f>
        <v>15655</v>
      </c>
      <c r="E23" s="6">
        <f t="shared" si="3"/>
        <v>15811.55</v>
      </c>
      <c r="F23" s="6">
        <f t="shared" si="3"/>
        <v>15969.665499999999</v>
      </c>
      <c r="G23" s="6">
        <f t="shared" si="3"/>
        <v>16129.362154999999</v>
      </c>
      <c r="H23" s="6">
        <f t="shared" si="3"/>
        <v>16290.655776549998</v>
      </c>
      <c r="I23" s="6">
        <f t="shared" si="3"/>
        <v>16453.562334315498</v>
      </c>
      <c r="J23" s="6">
        <f t="shared" si="3"/>
        <v>16618.097957658654</v>
      </c>
      <c r="K23" s="6">
        <f t="shared" si="3"/>
        <v>16784.278937235242</v>
      </c>
      <c r="L23" s="6">
        <f t="shared" si="3"/>
        <v>16952.121726607595</v>
      </c>
    </row>
    <row r="24" spans="2:12" x14ac:dyDescent="0.2">
      <c r="B24" s="3" t="s">
        <v>7</v>
      </c>
      <c r="C24" s="6">
        <f>Drivers!C11</f>
        <v>11000</v>
      </c>
      <c r="D24" s="6">
        <f t="shared" ref="D24:L24" si="4">C24*(1+$C20)</f>
        <v>11330</v>
      </c>
      <c r="E24" s="6">
        <f t="shared" si="4"/>
        <v>11669.9</v>
      </c>
      <c r="F24" s="6">
        <f t="shared" si="4"/>
        <v>12019.996999999999</v>
      </c>
      <c r="G24" s="6">
        <f t="shared" si="4"/>
        <v>12380.59691</v>
      </c>
      <c r="H24" s="6">
        <f t="shared" si="4"/>
        <v>12752.0148173</v>
      </c>
      <c r="I24" s="6">
        <f t="shared" si="4"/>
        <v>13134.575261819</v>
      </c>
      <c r="J24" s="6">
        <f t="shared" si="4"/>
        <v>13528.61251967357</v>
      </c>
      <c r="K24" s="6">
        <f t="shared" si="4"/>
        <v>13934.470895263777</v>
      </c>
      <c r="L24" s="6">
        <f t="shared" si="4"/>
        <v>14352.505022121692</v>
      </c>
    </row>
    <row r="25" spans="2:12" ht="12.75" thickBot="1" x14ac:dyDescent="0.25">
      <c r="B25" s="8" t="s">
        <v>13</v>
      </c>
      <c r="C25" s="9">
        <f>C23-C24</f>
        <v>4500</v>
      </c>
      <c r="D25" s="9">
        <f t="shared" ref="D25:L25" si="5">D23-D24</f>
        <v>4325</v>
      </c>
      <c r="E25" s="9">
        <f t="shared" si="5"/>
        <v>4141.6499999999996</v>
      </c>
      <c r="F25" s="9">
        <f t="shared" si="5"/>
        <v>3949.6684999999998</v>
      </c>
      <c r="G25" s="9">
        <f t="shared" si="5"/>
        <v>3748.7652449999987</v>
      </c>
      <c r="H25" s="9">
        <f t="shared" si="5"/>
        <v>3538.6409592499986</v>
      </c>
      <c r="I25" s="9">
        <f t="shared" si="5"/>
        <v>3318.9870724964985</v>
      </c>
      <c r="J25" s="9">
        <f t="shared" si="5"/>
        <v>3089.485437985084</v>
      </c>
      <c r="K25" s="9">
        <f t="shared" si="5"/>
        <v>2849.8080419714643</v>
      </c>
      <c r="L25" s="9">
        <f t="shared" si="5"/>
        <v>2599.616704485903</v>
      </c>
    </row>
    <row r="27" spans="2:12" ht="12.75" thickBot="1" x14ac:dyDescent="0.25">
      <c r="B27" s="7" t="s">
        <v>14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</row>
    <row r="28" spans="2:12" x14ac:dyDescent="0.2">
      <c r="B28" s="3" t="s">
        <v>2</v>
      </c>
      <c r="C28" s="6">
        <f>C8*C$25</f>
        <v>84150000</v>
      </c>
      <c r="D28" s="6">
        <f t="shared" ref="D28:L28" si="6">D8*D$25</f>
        <v>82780500</v>
      </c>
      <c r="E28" s="6">
        <f t="shared" si="6"/>
        <v>81093507</v>
      </c>
      <c r="F28" s="6">
        <f t="shared" si="6"/>
        <v>79941290.439999998</v>
      </c>
      <c r="G28" s="6">
        <f t="shared" si="6"/>
        <v>74225551.850999981</v>
      </c>
      <c r="H28" s="6">
        <f t="shared" si="6"/>
        <v>69286589.982114971</v>
      </c>
      <c r="I28" s="6">
        <f t="shared" si="6"/>
        <v>63525412.56758298</v>
      </c>
      <c r="J28" s="6">
        <f t="shared" si="6"/>
        <v>57773377.690321073</v>
      </c>
      <c r="K28" s="6">
        <f t="shared" si="6"/>
        <v>52664452.615632661</v>
      </c>
      <c r="L28" s="6">
        <f t="shared" si="6"/>
        <v>47469001.023912586</v>
      </c>
    </row>
    <row r="29" spans="2:12" x14ac:dyDescent="0.2">
      <c r="B29" s="3" t="s">
        <v>1</v>
      </c>
      <c r="C29" s="6">
        <f t="shared" ref="C29:L29" si="7">C9*C$25</f>
        <v>72000000</v>
      </c>
      <c r="D29" s="6">
        <f t="shared" si="7"/>
        <v>73525000</v>
      </c>
      <c r="E29" s="6">
        <f t="shared" si="7"/>
        <v>72064710</v>
      </c>
      <c r="F29" s="6">
        <f t="shared" si="7"/>
        <v>71094033</v>
      </c>
      <c r="G29" s="6">
        <f t="shared" si="7"/>
        <v>65978268.311999977</v>
      </c>
      <c r="H29" s="6">
        <f t="shared" si="7"/>
        <v>61572352.690949976</v>
      </c>
      <c r="I29" s="6">
        <f t="shared" si="7"/>
        <v>56422780.232440472</v>
      </c>
      <c r="J29" s="6">
        <f t="shared" si="7"/>
        <v>51285458.270552397</v>
      </c>
      <c r="K29" s="6">
        <f t="shared" si="7"/>
        <v>46736851.888332017</v>
      </c>
      <c r="L29" s="6">
        <f t="shared" si="7"/>
        <v>42113790.612671636</v>
      </c>
    </row>
    <row r="30" spans="2:12" x14ac:dyDescent="0.2">
      <c r="B30" s="3" t="s">
        <v>3</v>
      </c>
      <c r="C30" s="6">
        <f t="shared" ref="C30:L30" si="8">C10*C$25</f>
        <v>60750000</v>
      </c>
      <c r="D30" s="6">
        <f t="shared" si="8"/>
        <v>62280000</v>
      </c>
      <c r="E30" s="6">
        <f t="shared" si="8"/>
        <v>61130753.999999993</v>
      </c>
      <c r="F30" s="6">
        <f t="shared" si="8"/>
        <v>59718987.719999999</v>
      </c>
      <c r="G30" s="6">
        <f t="shared" si="8"/>
        <v>56006552.760299981</v>
      </c>
      <c r="H30" s="6">
        <f t="shared" si="8"/>
        <v>52230340.55852998</v>
      </c>
      <c r="I30" s="6">
        <f t="shared" si="8"/>
        <v>47793413.843949579</v>
      </c>
      <c r="J30" s="6">
        <f t="shared" si="8"/>
        <v>43376375.54931058</v>
      </c>
      <c r="K30" s="6">
        <f t="shared" si="8"/>
        <v>39498339.461724497</v>
      </c>
      <c r="L30" s="6">
        <f t="shared" si="8"/>
        <v>35562756.517367154</v>
      </c>
    </row>
    <row r="31" spans="2:12" x14ac:dyDescent="0.2">
      <c r="B31" s="12" t="s">
        <v>21</v>
      </c>
      <c r="C31" s="14">
        <f>CHOOSE(Drivers!$C$3,'Savings forecast'!C28,'Savings forecast'!C29,'Savings forecast'!C30)</f>
        <v>84150000</v>
      </c>
      <c r="D31" s="14">
        <f>CHOOSE(Drivers!$C$3,'Savings forecast'!D28,'Savings forecast'!D29,'Savings forecast'!D30)</f>
        <v>82780500</v>
      </c>
      <c r="E31" s="14">
        <f>CHOOSE(Drivers!$C$3,'Savings forecast'!E28,'Savings forecast'!E29,'Savings forecast'!E30)</f>
        <v>81093507</v>
      </c>
      <c r="F31" s="14">
        <f>CHOOSE(Drivers!$C$3,'Savings forecast'!F28,'Savings forecast'!F29,'Savings forecast'!F30)</f>
        <v>79941290.439999998</v>
      </c>
      <c r="G31" s="14">
        <f>CHOOSE(Drivers!$C$3,'Savings forecast'!G28,'Savings forecast'!G29,'Savings forecast'!G30)</f>
        <v>74225551.850999981</v>
      </c>
      <c r="H31" s="14">
        <f>CHOOSE(Drivers!$C$3,'Savings forecast'!H28,'Savings forecast'!H29,'Savings forecast'!H30)</f>
        <v>69286589.982114971</v>
      </c>
      <c r="I31" s="14">
        <f>CHOOSE(Drivers!$C$3,'Savings forecast'!I28,'Savings forecast'!I29,'Savings forecast'!I30)</f>
        <v>63525412.56758298</v>
      </c>
      <c r="J31" s="14">
        <f>CHOOSE(Drivers!$C$3,'Savings forecast'!J28,'Savings forecast'!J29,'Savings forecast'!J30)</f>
        <v>57773377.690321073</v>
      </c>
      <c r="K31" s="14">
        <f>CHOOSE(Drivers!$C$3,'Savings forecast'!K28,'Savings forecast'!K29,'Savings forecast'!K30)</f>
        <v>52664452.615632661</v>
      </c>
      <c r="L31" s="14">
        <f>CHOOSE(Drivers!$C$3,'Savings forecast'!L28,'Savings forecast'!L29,'Savings forecast'!L30)</f>
        <v>47469001.023912586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1.85546875" style="1" bestFit="1" customWidth="1"/>
    <col min="3" max="12" width="13.5703125" style="1" bestFit="1" customWidth="1"/>
    <col min="13" max="16384" width="9.140625" style="1"/>
  </cols>
  <sheetData>
    <row r="1" spans="2:13" ht="15.75" x14ac:dyDescent="0.25">
      <c r="B1" s="4" t="s">
        <v>25</v>
      </c>
    </row>
    <row r="3" spans="2:13" ht="15.75" thickBot="1" x14ac:dyDescent="0.3">
      <c r="B3" s="7" t="s">
        <v>17</v>
      </c>
      <c r="C3" s="7"/>
    </row>
    <row r="4" spans="2:13" x14ac:dyDescent="0.25">
      <c r="B4" s="3" t="s">
        <v>2</v>
      </c>
      <c r="C4" s="6">
        <f>Drivers!C14</f>
        <v>320000000</v>
      </c>
    </row>
    <row r="5" spans="2:13" x14ac:dyDescent="0.25">
      <c r="B5" s="3" t="s">
        <v>1</v>
      </c>
      <c r="C5" s="6">
        <f>Drivers!C15</f>
        <v>350000000</v>
      </c>
    </row>
    <row r="6" spans="2:13" x14ac:dyDescent="0.25">
      <c r="B6" s="3" t="s">
        <v>3</v>
      </c>
      <c r="C6" s="6">
        <f>Drivers!C16</f>
        <v>380000000</v>
      </c>
    </row>
    <row r="7" spans="2:13" x14ac:dyDescent="0.25">
      <c r="B7" s="3"/>
      <c r="C7" s="10"/>
    </row>
    <row r="8" spans="2:13" x14ac:dyDescent="0.25">
      <c r="B8" s="3" t="str">
        <f>Drivers!B18</f>
        <v>Useful life (years)</v>
      </c>
      <c r="C8" s="69">
        <v>10</v>
      </c>
    </row>
    <row r="9" spans="2:13" x14ac:dyDescent="0.25">
      <c r="B9" s="3"/>
      <c r="C9" s="3"/>
    </row>
    <row r="10" spans="2:13" ht="15.75" thickBot="1" x14ac:dyDescent="0.3">
      <c r="B10" s="7" t="s">
        <v>16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</row>
    <row r="11" spans="2:13" x14ac:dyDescent="0.25">
      <c r="B11" s="3" t="s">
        <v>18</v>
      </c>
      <c r="C11" s="11">
        <v>0.8</v>
      </c>
      <c r="D11" s="11">
        <v>0.1</v>
      </c>
      <c r="E11" s="11">
        <v>0.1</v>
      </c>
      <c r="F11" s="11">
        <v>0.03</v>
      </c>
      <c r="G11" s="11">
        <v>0.03</v>
      </c>
      <c r="H11" s="11">
        <v>0.03</v>
      </c>
      <c r="I11" s="11">
        <v>0.03</v>
      </c>
      <c r="J11" s="11">
        <v>0.03</v>
      </c>
      <c r="K11" s="11">
        <v>0.03</v>
      </c>
      <c r="L11" s="11">
        <v>0.03</v>
      </c>
      <c r="M11" s="11">
        <v>0.03</v>
      </c>
    </row>
    <row r="13" spans="2:13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3" x14ac:dyDescent="0.25">
      <c r="B14" s="3" t="s">
        <v>26</v>
      </c>
      <c r="C14" s="6">
        <f>CHOOSE(Drivers!$C$3,'Fixed asset roll-forward'!$C4,'Fixed asset roll-forward'!$C5,'Fixed asset roll-forward'!$C6)*'Fixed asset roll-forward'!C11</f>
        <v>256000000</v>
      </c>
      <c r="D14" s="6">
        <f>C17</f>
        <v>262400000</v>
      </c>
      <c r="E14" s="6">
        <f t="shared" ref="E14:L14" si="0">D17</f>
        <v>265600000</v>
      </c>
      <c r="F14" s="6">
        <f t="shared" si="0"/>
        <v>243200000</v>
      </c>
      <c r="G14" s="6">
        <f t="shared" si="0"/>
        <v>219840000</v>
      </c>
      <c r="H14" s="6">
        <f t="shared" si="0"/>
        <v>195520000</v>
      </c>
      <c r="I14" s="6">
        <f t="shared" si="0"/>
        <v>170240000</v>
      </c>
      <c r="J14" s="6">
        <f t="shared" si="0"/>
        <v>144000000</v>
      </c>
      <c r="K14" s="6">
        <f t="shared" si="0"/>
        <v>116800000</v>
      </c>
      <c r="L14" s="6">
        <f t="shared" si="0"/>
        <v>88640000</v>
      </c>
    </row>
    <row r="15" spans="2:13" x14ac:dyDescent="0.25">
      <c r="B15" s="3" t="s">
        <v>23</v>
      </c>
      <c r="C15" s="6">
        <f>CHOOSE(Drivers!$C$3,'Fixed asset roll-forward'!$C4,'Fixed asset roll-forward'!$C5,'Fixed asset roll-forward'!$C6)*'Fixed asset roll-forward'!D11</f>
        <v>32000000</v>
      </c>
      <c r="D15" s="6">
        <f>CHOOSE(Drivers!$C$3,'Fixed asset roll-forward'!$C4,'Fixed asset roll-forward'!$C5,'Fixed asset roll-forward'!$C6)*'Fixed asset roll-forward'!E11</f>
        <v>32000000</v>
      </c>
      <c r="E15" s="6">
        <f>CHOOSE(Drivers!$C$3,'Fixed asset roll-forward'!$C4,'Fixed asset roll-forward'!$C5,'Fixed asset roll-forward'!$C6)*'Fixed asset roll-forward'!F11</f>
        <v>9600000</v>
      </c>
      <c r="F15" s="6">
        <f>CHOOSE(Drivers!$C$3,'Fixed asset roll-forward'!$C4,'Fixed asset roll-forward'!$C5,'Fixed asset roll-forward'!$C6)*'Fixed asset roll-forward'!G11</f>
        <v>9600000</v>
      </c>
      <c r="G15" s="6">
        <f>CHOOSE(Drivers!$C$3,'Fixed asset roll-forward'!$C4,'Fixed asset roll-forward'!$C5,'Fixed asset roll-forward'!$C6)*'Fixed asset roll-forward'!H11</f>
        <v>9600000</v>
      </c>
      <c r="H15" s="6">
        <f>CHOOSE(Drivers!$C$3,'Fixed asset roll-forward'!$C4,'Fixed asset roll-forward'!$C5,'Fixed asset roll-forward'!$C6)*'Fixed asset roll-forward'!I11</f>
        <v>9600000</v>
      </c>
      <c r="I15" s="6">
        <f>CHOOSE(Drivers!$C$3,'Fixed asset roll-forward'!$C4,'Fixed asset roll-forward'!$C5,'Fixed asset roll-forward'!$C6)*'Fixed asset roll-forward'!J11</f>
        <v>9600000</v>
      </c>
      <c r="J15" s="6">
        <f>CHOOSE(Drivers!$C$3,'Fixed asset roll-forward'!$C4,'Fixed asset roll-forward'!$C5,'Fixed asset roll-forward'!$C6)*'Fixed asset roll-forward'!K11</f>
        <v>9600000</v>
      </c>
      <c r="K15" s="6">
        <f>CHOOSE(Drivers!$C$3,'Fixed asset roll-forward'!$C4,'Fixed asset roll-forward'!$C5,'Fixed asset roll-forward'!$C6)*'Fixed asset roll-forward'!L11</f>
        <v>9600000</v>
      </c>
      <c r="L15" s="6">
        <f>CHOOSE(Drivers!$C$3,'Fixed asset roll-forward'!$C4,'Fixed asset roll-forward'!$C5,'Fixed asset roll-forward'!$C6)*'Fixed asset roll-forward'!M11</f>
        <v>9600000</v>
      </c>
    </row>
    <row r="16" spans="2:13" x14ac:dyDescent="0.25">
      <c r="B16" s="1" t="s">
        <v>20</v>
      </c>
      <c r="C16" s="16">
        <f>C30</f>
        <v>-25600000</v>
      </c>
      <c r="D16" s="16">
        <f t="shared" ref="D16:L16" si="1">D30</f>
        <v>-28800000</v>
      </c>
      <c r="E16" s="16">
        <f t="shared" si="1"/>
        <v>-32000000</v>
      </c>
      <c r="F16" s="16">
        <f t="shared" si="1"/>
        <v>-32960000</v>
      </c>
      <c r="G16" s="16">
        <f t="shared" si="1"/>
        <v>-33920000</v>
      </c>
      <c r="H16" s="16">
        <f t="shared" si="1"/>
        <v>-34880000</v>
      </c>
      <c r="I16" s="16">
        <f t="shared" si="1"/>
        <v>-35840000</v>
      </c>
      <c r="J16" s="16">
        <f t="shared" si="1"/>
        <v>-36800000</v>
      </c>
      <c r="K16" s="16">
        <f t="shared" si="1"/>
        <v>-37760000</v>
      </c>
      <c r="L16" s="16">
        <f t="shared" si="1"/>
        <v>-38720000</v>
      </c>
    </row>
    <row r="17" spans="2:12" s="2" customFormat="1" thickBot="1" x14ac:dyDescent="0.25">
      <c r="B17" s="8" t="s">
        <v>27</v>
      </c>
      <c r="C17" s="9">
        <f>SUM(C14:C16)</f>
        <v>262400000</v>
      </c>
      <c r="D17" s="9">
        <f t="shared" ref="D17:L17" si="2">SUM(D14:D16)</f>
        <v>265600000</v>
      </c>
      <c r="E17" s="9">
        <f t="shared" si="2"/>
        <v>243200000</v>
      </c>
      <c r="F17" s="9">
        <f t="shared" si="2"/>
        <v>219840000</v>
      </c>
      <c r="G17" s="9">
        <f t="shared" si="2"/>
        <v>195520000</v>
      </c>
      <c r="H17" s="9">
        <f t="shared" si="2"/>
        <v>170240000</v>
      </c>
      <c r="I17" s="9">
        <f t="shared" si="2"/>
        <v>144000000</v>
      </c>
      <c r="J17" s="9">
        <f t="shared" si="2"/>
        <v>116800000</v>
      </c>
      <c r="K17" s="9">
        <f t="shared" si="2"/>
        <v>88640000</v>
      </c>
      <c r="L17" s="9">
        <f t="shared" si="2"/>
        <v>59520000</v>
      </c>
    </row>
    <row r="19" spans="2:12" ht="15.75" thickBot="1" x14ac:dyDescent="0.3">
      <c r="B19" s="7" t="s">
        <v>28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7">
        <v>6</v>
      </c>
      <c r="I19" s="7">
        <v>7</v>
      </c>
      <c r="J19" s="7">
        <v>8</v>
      </c>
      <c r="K19" s="7">
        <v>9</v>
      </c>
      <c r="L19" s="7">
        <v>10</v>
      </c>
    </row>
    <row r="20" spans="2:12" x14ac:dyDescent="0.25">
      <c r="B20" s="1" t="s">
        <v>112</v>
      </c>
      <c r="C20" s="16">
        <f>-$C$14/10</f>
        <v>-25600000</v>
      </c>
      <c r="D20" s="16">
        <f t="shared" ref="D20:L20" si="3">-$C$14/10</f>
        <v>-25600000</v>
      </c>
      <c r="E20" s="16">
        <f t="shared" si="3"/>
        <v>-25600000</v>
      </c>
      <c r="F20" s="16">
        <f t="shared" si="3"/>
        <v>-25600000</v>
      </c>
      <c r="G20" s="16">
        <f t="shared" si="3"/>
        <v>-25600000</v>
      </c>
      <c r="H20" s="16">
        <f t="shared" si="3"/>
        <v>-25600000</v>
      </c>
      <c r="I20" s="16">
        <f t="shared" si="3"/>
        <v>-25600000</v>
      </c>
      <c r="J20" s="16">
        <f t="shared" si="3"/>
        <v>-25600000</v>
      </c>
      <c r="K20" s="16">
        <f t="shared" si="3"/>
        <v>-25600000</v>
      </c>
      <c r="L20" s="16">
        <f t="shared" si="3"/>
        <v>-25600000</v>
      </c>
    </row>
    <row r="21" spans="2:12" x14ac:dyDescent="0.25">
      <c r="B21" s="1" t="s">
        <v>113</v>
      </c>
      <c r="C21" s="3"/>
      <c r="D21" s="16">
        <f>-$C$15/10</f>
        <v>-3200000</v>
      </c>
      <c r="E21" s="16">
        <f t="shared" ref="E21:L21" si="4">-$C$15/10</f>
        <v>-3200000</v>
      </c>
      <c r="F21" s="16">
        <f t="shared" si="4"/>
        <v>-3200000</v>
      </c>
      <c r="G21" s="16">
        <f t="shared" si="4"/>
        <v>-3200000</v>
      </c>
      <c r="H21" s="16">
        <f t="shared" si="4"/>
        <v>-3200000</v>
      </c>
      <c r="I21" s="16">
        <f t="shared" si="4"/>
        <v>-3200000</v>
      </c>
      <c r="J21" s="16">
        <f t="shared" si="4"/>
        <v>-3200000</v>
      </c>
      <c r="K21" s="16">
        <f t="shared" si="4"/>
        <v>-3200000</v>
      </c>
      <c r="L21" s="16">
        <f t="shared" si="4"/>
        <v>-3200000</v>
      </c>
    </row>
    <row r="22" spans="2:12" x14ac:dyDescent="0.25">
      <c r="B22" s="1" t="s">
        <v>114</v>
      </c>
      <c r="C22" s="3"/>
      <c r="D22" s="3"/>
      <c r="E22" s="16">
        <f>-$D$15/10</f>
        <v>-3200000</v>
      </c>
      <c r="F22" s="16">
        <f t="shared" ref="F22:L22" si="5">-$D$15/10</f>
        <v>-3200000</v>
      </c>
      <c r="G22" s="16">
        <f t="shared" si="5"/>
        <v>-3200000</v>
      </c>
      <c r="H22" s="16">
        <f t="shared" si="5"/>
        <v>-3200000</v>
      </c>
      <c r="I22" s="16">
        <f t="shared" si="5"/>
        <v>-3200000</v>
      </c>
      <c r="J22" s="16">
        <f t="shared" si="5"/>
        <v>-3200000</v>
      </c>
      <c r="K22" s="16">
        <f t="shared" si="5"/>
        <v>-3200000</v>
      </c>
      <c r="L22" s="16">
        <f t="shared" si="5"/>
        <v>-3200000</v>
      </c>
    </row>
    <row r="23" spans="2:12" x14ac:dyDescent="0.25">
      <c r="B23" s="1" t="s">
        <v>115</v>
      </c>
      <c r="C23" s="3"/>
      <c r="D23" s="3"/>
      <c r="E23" s="16"/>
      <c r="F23" s="16">
        <f>-$E$15/10</f>
        <v>-960000</v>
      </c>
      <c r="G23" s="16">
        <f t="shared" ref="G23:L23" si="6">-$E$15/10</f>
        <v>-960000</v>
      </c>
      <c r="H23" s="16">
        <f t="shared" si="6"/>
        <v>-960000</v>
      </c>
      <c r="I23" s="16">
        <f t="shared" si="6"/>
        <v>-960000</v>
      </c>
      <c r="J23" s="16">
        <f t="shared" si="6"/>
        <v>-960000</v>
      </c>
      <c r="K23" s="16">
        <f t="shared" si="6"/>
        <v>-960000</v>
      </c>
      <c r="L23" s="16">
        <f t="shared" si="6"/>
        <v>-960000</v>
      </c>
    </row>
    <row r="24" spans="2:12" x14ac:dyDescent="0.25">
      <c r="B24" s="1" t="s">
        <v>116</v>
      </c>
      <c r="C24" s="3"/>
      <c r="D24" s="3"/>
      <c r="E24" s="16"/>
      <c r="F24" s="16"/>
      <c r="G24" s="16">
        <f>-$F$15/10</f>
        <v>-960000</v>
      </c>
      <c r="H24" s="16">
        <f t="shared" ref="H24:L24" si="7">-$F$15/10</f>
        <v>-960000</v>
      </c>
      <c r="I24" s="16">
        <f t="shared" si="7"/>
        <v>-960000</v>
      </c>
      <c r="J24" s="16">
        <f t="shared" si="7"/>
        <v>-960000</v>
      </c>
      <c r="K24" s="16">
        <f t="shared" si="7"/>
        <v>-960000</v>
      </c>
      <c r="L24" s="16">
        <f t="shared" si="7"/>
        <v>-960000</v>
      </c>
    </row>
    <row r="25" spans="2:12" x14ac:dyDescent="0.25">
      <c r="B25" s="1" t="s">
        <v>117</v>
      </c>
      <c r="C25" s="3"/>
      <c r="D25" s="3"/>
      <c r="E25" s="16"/>
      <c r="F25" s="16"/>
      <c r="G25" s="16"/>
      <c r="H25" s="16">
        <f>-$G$15/10</f>
        <v>-960000</v>
      </c>
      <c r="I25" s="16">
        <f t="shared" ref="I25:L25" si="8">-$G$15/10</f>
        <v>-960000</v>
      </c>
      <c r="J25" s="16">
        <f t="shared" si="8"/>
        <v>-960000</v>
      </c>
      <c r="K25" s="16">
        <f t="shared" si="8"/>
        <v>-960000</v>
      </c>
      <c r="L25" s="16">
        <f t="shared" si="8"/>
        <v>-960000</v>
      </c>
    </row>
    <row r="26" spans="2:12" x14ac:dyDescent="0.25">
      <c r="B26" s="1" t="s">
        <v>118</v>
      </c>
      <c r="C26" s="3"/>
      <c r="D26" s="3"/>
      <c r="E26" s="16"/>
      <c r="F26" s="16"/>
      <c r="G26" s="16"/>
      <c r="H26" s="16"/>
      <c r="I26" s="16">
        <f>-$H$15/10</f>
        <v>-960000</v>
      </c>
      <c r="J26" s="16">
        <f t="shared" ref="J26:L26" si="9">-$H$15/10</f>
        <v>-960000</v>
      </c>
      <c r="K26" s="16">
        <f t="shared" si="9"/>
        <v>-960000</v>
      </c>
      <c r="L26" s="16">
        <f t="shared" si="9"/>
        <v>-960000</v>
      </c>
    </row>
    <row r="27" spans="2:12" x14ac:dyDescent="0.25">
      <c r="B27" s="1" t="s">
        <v>119</v>
      </c>
      <c r="C27" s="3"/>
      <c r="D27" s="3"/>
      <c r="E27" s="16"/>
      <c r="F27" s="16"/>
      <c r="G27" s="16"/>
      <c r="H27" s="16"/>
      <c r="I27" s="16"/>
      <c r="J27" s="16">
        <f>-$I$15/10</f>
        <v>-960000</v>
      </c>
      <c r="K27" s="16">
        <f t="shared" ref="K27:L27" si="10">-$I$15/10</f>
        <v>-960000</v>
      </c>
      <c r="L27" s="16">
        <f t="shared" si="10"/>
        <v>-960000</v>
      </c>
    </row>
    <row r="28" spans="2:12" x14ac:dyDescent="0.25">
      <c r="B28" s="1" t="s">
        <v>120</v>
      </c>
      <c r="C28" s="3"/>
      <c r="D28" s="3"/>
      <c r="E28" s="16"/>
      <c r="F28" s="16"/>
      <c r="G28" s="16"/>
      <c r="H28" s="16"/>
      <c r="I28" s="16"/>
      <c r="J28" s="16"/>
      <c r="K28" s="16">
        <f>-$J$15/10</f>
        <v>-960000</v>
      </c>
      <c r="L28" s="16">
        <f>-$J$15/10</f>
        <v>-960000</v>
      </c>
    </row>
    <row r="29" spans="2:12" x14ac:dyDescent="0.25">
      <c r="B29" s="1" t="s">
        <v>121</v>
      </c>
      <c r="C29" s="3"/>
      <c r="D29" s="3"/>
      <c r="E29" s="16"/>
      <c r="F29" s="16"/>
      <c r="G29" s="16"/>
      <c r="H29" s="16"/>
      <c r="I29" s="16"/>
      <c r="J29" s="16"/>
      <c r="K29" s="16"/>
      <c r="L29" s="16">
        <f>-$K$15/10</f>
        <v>-960000</v>
      </c>
    </row>
    <row r="30" spans="2:12" ht="15.75" thickBot="1" x14ac:dyDescent="0.3">
      <c r="B30" s="8" t="s">
        <v>122</v>
      </c>
      <c r="C30" s="9">
        <f>SUM(C20:C29)</f>
        <v>-25600000</v>
      </c>
      <c r="D30" s="9">
        <f t="shared" ref="D30:L30" si="11">SUM(D20:D29)</f>
        <v>-28800000</v>
      </c>
      <c r="E30" s="9">
        <f t="shared" si="11"/>
        <v>-32000000</v>
      </c>
      <c r="F30" s="9">
        <f t="shared" si="11"/>
        <v>-32960000</v>
      </c>
      <c r="G30" s="9">
        <f t="shared" si="11"/>
        <v>-33920000</v>
      </c>
      <c r="H30" s="9">
        <f t="shared" si="11"/>
        <v>-34880000</v>
      </c>
      <c r="I30" s="9">
        <f t="shared" si="11"/>
        <v>-35840000</v>
      </c>
      <c r="J30" s="9">
        <f t="shared" si="11"/>
        <v>-36800000</v>
      </c>
      <c r="K30" s="9">
        <f t="shared" si="11"/>
        <v>-37760000</v>
      </c>
      <c r="L30" s="9">
        <f t="shared" si="11"/>
        <v>-38720000</v>
      </c>
    </row>
    <row r="38" spans="6:6" x14ac:dyDescent="0.25">
      <c r="F38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4.28515625" style="1" customWidth="1"/>
    <col min="3" max="12" width="13.5703125" style="1" bestFit="1" customWidth="1"/>
    <col min="13" max="16384" width="9.140625" style="1"/>
  </cols>
  <sheetData>
    <row r="1" spans="2:12" ht="15.75" x14ac:dyDescent="0.25">
      <c r="B1" s="4" t="s">
        <v>66</v>
      </c>
    </row>
    <row r="3" spans="2:12" ht="15.75" thickBot="1" x14ac:dyDescent="0.3">
      <c r="B3" s="7" t="s">
        <v>29</v>
      </c>
      <c r="C3" s="7"/>
    </row>
    <row r="4" spans="2:12" x14ac:dyDescent="0.25">
      <c r="B4" s="3" t="s">
        <v>31</v>
      </c>
      <c r="C4" s="3">
        <f>Drivers!C21</f>
        <v>25</v>
      </c>
    </row>
    <row r="5" spans="2:12" x14ac:dyDescent="0.25">
      <c r="B5" s="3" t="s">
        <v>30</v>
      </c>
      <c r="C5" s="3">
        <f>Drivers!C22</f>
        <v>30</v>
      </c>
    </row>
    <row r="6" spans="2:12" x14ac:dyDescent="0.25">
      <c r="B6" s="17" t="s">
        <v>32</v>
      </c>
      <c r="C6" s="17">
        <f>C4-C5</f>
        <v>-5</v>
      </c>
    </row>
    <row r="7" spans="2:12" x14ac:dyDescent="0.25">
      <c r="B7" s="15"/>
      <c r="C7" s="15"/>
    </row>
    <row r="8" spans="2:12" ht="15.75" thickBot="1" x14ac:dyDescent="0.3">
      <c r="B8" s="7" t="s">
        <v>33</v>
      </c>
      <c r="C8" s="7"/>
    </row>
    <row r="9" spans="2:12" x14ac:dyDescent="0.25">
      <c r="B9" s="3" t="s">
        <v>31</v>
      </c>
      <c r="C9" s="3">
        <f>CHOOSE(Drivers!$C$3,'Working capital'!C20,'Working capital'!C21,'Working capital'!C22)</f>
        <v>45</v>
      </c>
    </row>
    <row r="10" spans="2:12" x14ac:dyDescent="0.25">
      <c r="B10" s="3" t="s">
        <v>30</v>
      </c>
      <c r="C10" s="3">
        <f>CHOOSE(Drivers!$C$3,'Working capital'!C25,'Working capital'!C26,'Working capital'!C27)</f>
        <v>25</v>
      </c>
    </row>
    <row r="11" spans="2:12" x14ac:dyDescent="0.25">
      <c r="B11" s="17" t="s">
        <v>32</v>
      </c>
      <c r="C11" s="17">
        <f>C9-C10</f>
        <v>20</v>
      </c>
    </row>
    <row r="12" spans="2:12" x14ac:dyDescent="0.25">
      <c r="B12" s="15"/>
      <c r="C12" s="15"/>
    </row>
    <row r="13" spans="2:12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5">
      <c r="B14" s="19" t="s">
        <v>64</v>
      </c>
      <c r="C14" s="20">
        <f>'Savings forecast'!C24*'Savings forecast'!C11</f>
        <v>205700000</v>
      </c>
      <c r="D14" s="20">
        <f>'Savings forecast'!D24*'Savings forecast'!D11</f>
        <v>216856200</v>
      </c>
      <c r="E14" s="20">
        <f>'Savings forecast'!E24*'Savings forecast'!E11</f>
        <v>228496642</v>
      </c>
      <c r="F14" s="20">
        <f>'Savings forecast'!F24*'Savings forecast'!F11</f>
        <v>243284739.28</v>
      </c>
      <c r="G14" s="20">
        <f>'Savings forecast'!G24*'Savings forecast'!G11</f>
        <v>245135818.81800002</v>
      </c>
      <c r="H14" s="20">
        <f>'Savings forecast'!H24*'Savings forecast'!H11</f>
        <v>249684450.12273401</v>
      </c>
      <c r="I14" s="20">
        <f>'Savings forecast'!I24*'Savings forecast'!I11</f>
        <v>251395770.51121566</v>
      </c>
      <c r="J14" s="20">
        <f>'Savings forecast'!J24*'Savings forecast'!J11</f>
        <v>252985054.11789575</v>
      </c>
      <c r="K14" s="20">
        <f>'Savings forecast'!K24*'Savings forecast'!K11</f>
        <v>257509022.1444746</v>
      </c>
      <c r="L14" s="20">
        <f>'Savings forecast'!L24*'Savings forecast'!L11</f>
        <v>262076741.70394209</v>
      </c>
    </row>
    <row r="15" spans="2:12" s="18" customFormat="1" x14ac:dyDescent="0.25">
      <c r="B15" s="19" t="s">
        <v>65</v>
      </c>
      <c r="C15" s="20">
        <f>$C$11-$C$6</f>
        <v>25</v>
      </c>
      <c r="D15" s="20">
        <f t="shared" ref="D15:L15" si="0">$C$11-$C$6</f>
        <v>25</v>
      </c>
      <c r="E15" s="20">
        <f t="shared" si="0"/>
        <v>25</v>
      </c>
      <c r="F15" s="20">
        <f t="shared" si="0"/>
        <v>25</v>
      </c>
      <c r="G15" s="20">
        <f t="shared" si="0"/>
        <v>25</v>
      </c>
      <c r="H15" s="20">
        <f t="shared" si="0"/>
        <v>25</v>
      </c>
      <c r="I15" s="20">
        <f t="shared" si="0"/>
        <v>25</v>
      </c>
      <c r="J15" s="20">
        <f t="shared" si="0"/>
        <v>25</v>
      </c>
      <c r="K15" s="20">
        <f t="shared" si="0"/>
        <v>25</v>
      </c>
      <c r="L15" s="20">
        <f t="shared" si="0"/>
        <v>25</v>
      </c>
    </row>
    <row r="16" spans="2:12" s="18" customFormat="1" x14ac:dyDescent="0.25">
      <c r="B16" s="19" t="s">
        <v>66</v>
      </c>
      <c r="C16" s="20">
        <f>-C14*C15/360</f>
        <v>-14284722.222222222</v>
      </c>
      <c r="D16" s="20">
        <f t="shared" ref="D16:L16" si="1">-D14*D15/360</f>
        <v>-15059458.333333334</v>
      </c>
      <c r="E16" s="20">
        <f t="shared" si="1"/>
        <v>-15867822.361111112</v>
      </c>
      <c r="F16" s="20">
        <f t="shared" si="1"/>
        <v>-16894773.561111111</v>
      </c>
      <c r="G16" s="20">
        <f t="shared" si="1"/>
        <v>-17023320.751250003</v>
      </c>
      <c r="H16" s="20">
        <f t="shared" si="1"/>
        <v>-17339197.92518986</v>
      </c>
      <c r="I16" s="20">
        <f t="shared" si="1"/>
        <v>-17458039.618834421</v>
      </c>
      <c r="J16" s="20">
        <f t="shared" si="1"/>
        <v>-17568406.535964981</v>
      </c>
      <c r="K16" s="20">
        <f t="shared" si="1"/>
        <v>-17882570.982255179</v>
      </c>
      <c r="L16" s="20">
        <f t="shared" si="1"/>
        <v>-18199773.729440425</v>
      </c>
    </row>
    <row r="17" spans="2:12" s="18" customFormat="1" ht="15.75" thickBot="1" x14ac:dyDescent="0.3">
      <c r="B17" s="8" t="s">
        <v>37</v>
      </c>
      <c r="C17" s="9">
        <f>C16</f>
        <v>-14284722.222222222</v>
      </c>
      <c r="D17" s="9">
        <f>D16-C16</f>
        <v>-774736.11111111194</v>
      </c>
      <c r="E17" s="9">
        <f>E16-D16</f>
        <v>-808364.02777777798</v>
      </c>
      <c r="F17" s="9">
        <f t="shared" ref="F17:L17" si="2">F16-E16</f>
        <v>-1026951.1999999993</v>
      </c>
      <c r="G17" s="9">
        <f t="shared" si="2"/>
        <v>-128547.19013889134</v>
      </c>
      <c r="H17" s="9">
        <f t="shared" si="2"/>
        <v>-315877.17393985763</v>
      </c>
      <c r="I17" s="9">
        <f t="shared" si="2"/>
        <v>-118841.69364456087</v>
      </c>
      <c r="J17" s="9">
        <f t="shared" si="2"/>
        <v>-110366.91713055968</v>
      </c>
      <c r="K17" s="9">
        <f t="shared" si="2"/>
        <v>-314164.44629019871</v>
      </c>
      <c r="L17" s="9">
        <f t="shared" si="2"/>
        <v>-317202.74718524516</v>
      </c>
    </row>
    <row r="18" spans="2:12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ht="15.75" thickBot="1" x14ac:dyDescent="0.3">
      <c r="B19" s="7" t="s">
        <v>35</v>
      </c>
      <c r="C19" s="7"/>
    </row>
    <row r="20" spans="2:12" x14ac:dyDescent="0.25">
      <c r="B20" s="3" t="s">
        <v>2</v>
      </c>
      <c r="C20" s="1">
        <v>45</v>
      </c>
    </row>
    <row r="21" spans="2:12" x14ac:dyDescent="0.25">
      <c r="B21" s="3" t="s">
        <v>1</v>
      </c>
      <c r="C21" s="1">
        <v>50</v>
      </c>
    </row>
    <row r="22" spans="2:12" x14ac:dyDescent="0.25">
      <c r="B22" s="3" t="s">
        <v>3</v>
      </c>
      <c r="C22" s="1">
        <v>55</v>
      </c>
    </row>
    <row r="24" spans="2:12" ht="15.75" thickBot="1" x14ac:dyDescent="0.3">
      <c r="B24" s="7" t="s">
        <v>36</v>
      </c>
      <c r="C24" s="7"/>
    </row>
    <row r="25" spans="2:12" x14ac:dyDescent="0.25">
      <c r="B25" s="3" t="s">
        <v>2</v>
      </c>
      <c r="C25" s="1">
        <v>25</v>
      </c>
    </row>
    <row r="26" spans="2:12" x14ac:dyDescent="0.25">
      <c r="B26" s="3" t="s">
        <v>1</v>
      </c>
      <c r="C26" s="1">
        <v>30</v>
      </c>
    </row>
    <row r="27" spans="2:12" x14ac:dyDescent="0.25">
      <c r="B27" s="3" t="s">
        <v>3</v>
      </c>
      <c r="C27" s="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workbookViewId="0">
      <selection activeCell="B1" sqref="B1"/>
    </sheetView>
  </sheetViews>
  <sheetFormatPr defaultRowHeight="15" x14ac:dyDescent="0.25"/>
  <cols>
    <col min="1" max="1" width="2" style="45" customWidth="1"/>
    <col min="2" max="2" width="31" style="45" bestFit="1" customWidth="1"/>
    <col min="3" max="3" width="12.5703125" style="45" bestFit="1" customWidth="1"/>
    <col min="4" max="13" width="12" style="45" bestFit="1" customWidth="1"/>
    <col min="14" max="16384" width="9.140625" style="45"/>
  </cols>
  <sheetData>
    <row r="1" spans="2:14" ht="15.75" x14ac:dyDescent="0.25">
      <c r="B1" s="44" t="s">
        <v>38</v>
      </c>
      <c r="C1" s="44"/>
    </row>
    <row r="3" spans="2:14" x14ac:dyDescent="0.25">
      <c r="B3" s="46" t="s">
        <v>61</v>
      </c>
      <c r="C3" s="47">
        <f>'Fixed asset roll-forward'!$C$14</f>
        <v>256000000</v>
      </c>
      <c r="D3" s="48"/>
      <c r="E3" s="48"/>
      <c r="F3" s="48"/>
      <c r="G3" s="48"/>
      <c r="H3" s="48"/>
      <c r="I3" s="48"/>
      <c r="J3" s="48"/>
      <c r="K3" s="48"/>
      <c r="L3" s="48"/>
      <c r="M3" s="49"/>
    </row>
    <row r="5" spans="2:14" x14ac:dyDescent="0.25">
      <c r="B5" s="50" t="s">
        <v>39</v>
      </c>
      <c r="C5" s="51"/>
    </row>
    <row r="6" spans="2:14" x14ac:dyDescent="0.25">
      <c r="B6" s="46" t="s">
        <v>123</v>
      </c>
      <c r="C6" s="48">
        <f>Drivers!C26</f>
        <v>200000000</v>
      </c>
    </row>
    <row r="7" spans="2:14" x14ac:dyDescent="0.25">
      <c r="B7" s="46" t="s">
        <v>80</v>
      </c>
      <c r="C7" s="52">
        <f>Drivers!C27</f>
        <v>0.05</v>
      </c>
    </row>
    <row r="8" spans="2:14" x14ac:dyDescent="0.25">
      <c r="B8" s="46" t="s">
        <v>81</v>
      </c>
      <c r="C8" s="53" t="s">
        <v>59</v>
      </c>
    </row>
    <row r="9" spans="2:14" x14ac:dyDescent="0.25">
      <c r="B9" s="46"/>
      <c r="C9" s="53"/>
    </row>
    <row r="10" spans="2:14" ht="15.75" thickBot="1" x14ac:dyDescent="0.3">
      <c r="B10" s="54" t="s">
        <v>24</v>
      </c>
      <c r="C10" s="54">
        <v>0</v>
      </c>
      <c r="D10" s="54">
        <v>1</v>
      </c>
      <c r="E10" s="54">
        <v>2</v>
      </c>
      <c r="F10" s="54">
        <v>3</v>
      </c>
      <c r="G10" s="54">
        <v>4</v>
      </c>
      <c r="H10" s="54">
        <v>5</v>
      </c>
      <c r="I10" s="54">
        <v>6</v>
      </c>
      <c r="J10" s="54">
        <v>7</v>
      </c>
      <c r="K10" s="54">
        <v>8</v>
      </c>
      <c r="L10" s="54">
        <v>9</v>
      </c>
      <c r="M10" s="54">
        <v>10</v>
      </c>
    </row>
    <row r="11" spans="2:14" x14ac:dyDescent="0.25">
      <c r="B11" s="48" t="s">
        <v>79</v>
      </c>
      <c r="C11" s="48">
        <f>C6</f>
        <v>200000000</v>
      </c>
      <c r="D11" s="48">
        <f>C14</f>
        <v>200000000</v>
      </c>
      <c r="E11" s="48">
        <f>D14</f>
        <v>200000000</v>
      </c>
      <c r="F11" s="48">
        <f t="shared" ref="F11:M11" si="0">E14</f>
        <v>190000000</v>
      </c>
      <c r="G11" s="48">
        <f t="shared" si="0"/>
        <v>170000000</v>
      </c>
      <c r="H11" s="48">
        <f t="shared" si="0"/>
        <v>150000000</v>
      </c>
      <c r="I11" s="48">
        <f t="shared" si="0"/>
        <v>130000000</v>
      </c>
      <c r="J11" s="48">
        <f t="shared" si="0"/>
        <v>110000000</v>
      </c>
      <c r="K11" s="48">
        <f t="shared" si="0"/>
        <v>90000000</v>
      </c>
      <c r="L11" s="48">
        <f t="shared" si="0"/>
        <v>70000000</v>
      </c>
      <c r="M11" s="48">
        <f t="shared" si="0"/>
        <v>50000000</v>
      </c>
      <c r="N11" s="48"/>
    </row>
    <row r="12" spans="2:14" x14ac:dyDescent="0.25">
      <c r="B12" s="48" t="s">
        <v>77</v>
      </c>
      <c r="C12" s="48">
        <f>-$C$11*C13</f>
        <v>0</v>
      </c>
      <c r="D12" s="48">
        <f>-$D$11*D13</f>
        <v>0</v>
      </c>
      <c r="E12" s="48">
        <f t="shared" ref="E12:M12" si="1">-$D$11*E13</f>
        <v>-10000000</v>
      </c>
      <c r="F12" s="48">
        <f t="shared" si="1"/>
        <v>-20000000</v>
      </c>
      <c r="G12" s="48">
        <f t="shared" si="1"/>
        <v>-20000000</v>
      </c>
      <c r="H12" s="48">
        <f t="shared" si="1"/>
        <v>-20000000</v>
      </c>
      <c r="I12" s="48">
        <f t="shared" si="1"/>
        <v>-20000000</v>
      </c>
      <c r="J12" s="48">
        <f t="shared" si="1"/>
        <v>-20000000</v>
      </c>
      <c r="K12" s="48">
        <f t="shared" si="1"/>
        <v>-20000000</v>
      </c>
      <c r="L12" s="48">
        <f t="shared" si="1"/>
        <v>-20000000</v>
      </c>
      <c r="M12" s="48">
        <f t="shared" si="1"/>
        <v>-20000000</v>
      </c>
    </row>
    <row r="13" spans="2:14" x14ac:dyDescent="0.25">
      <c r="B13" s="48" t="s">
        <v>74</v>
      </c>
      <c r="C13" s="56">
        <v>0</v>
      </c>
      <c r="D13" s="56">
        <v>0</v>
      </c>
      <c r="E13" s="56">
        <v>0.05</v>
      </c>
      <c r="F13" s="56">
        <v>0.1</v>
      </c>
      <c r="G13" s="56">
        <v>0.1</v>
      </c>
      <c r="H13" s="56">
        <v>0.1</v>
      </c>
      <c r="I13" s="56">
        <v>0.1</v>
      </c>
      <c r="J13" s="56">
        <v>0.1</v>
      </c>
      <c r="K13" s="56">
        <v>0.1</v>
      </c>
      <c r="L13" s="56">
        <v>0.1</v>
      </c>
      <c r="M13" s="56">
        <v>0.1</v>
      </c>
    </row>
    <row r="14" spans="2:14" x14ac:dyDescent="0.25">
      <c r="B14" s="55" t="s">
        <v>78</v>
      </c>
      <c r="C14" s="59">
        <f>SUM(C11:C12)</f>
        <v>200000000</v>
      </c>
      <c r="D14" s="59">
        <f>SUM(D11:D12)</f>
        <v>200000000</v>
      </c>
      <c r="E14" s="59">
        <f t="shared" ref="E14:M14" si="2">SUM(E11:E12)</f>
        <v>190000000</v>
      </c>
      <c r="F14" s="59">
        <f t="shared" si="2"/>
        <v>170000000</v>
      </c>
      <c r="G14" s="59">
        <f t="shared" si="2"/>
        <v>150000000</v>
      </c>
      <c r="H14" s="59">
        <f t="shared" si="2"/>
        <v>130000000</v>
      </c>
      <c r="I14" s="59">
        <f t="shared" si="2"/>
        <v>110000000</v>
      </c>
      <c r="J14" s="59">
        <f t="shared" si="2"/>
        <v>90000000</v>
      </c>
      <c r="K14" s="59">
        <f t="shared" si="2"/>
        <v>70000000</v>
      </c>
      <c r="L14" s="59">
        <f t="shared" si="2"/>
        <v>50000000</v>
      </c>
      <c r="M14" s="59">
        <f t="shared" si="2"/>
        <v>30000000</v>
      </c>
    </row>
    <row r="15" spans="2:14" x14ac:dyDescent="0.2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2:14" x14ac:dyDescent="0.25">
      <c r="B16" s="57" t="s">
        <v>45</v>
      </c>
      <c r="C16" s="57">
        <f t="shared" ref="C16:M16" si="3">IF(C10=0,0,-C11*$C$7)</f>
        <v>0</v>
      </c>
      <c r="D16" s="57">
        <f t="shared" si="3"/>
        <v>-10000000</v>
      </c>
      <c r="E16" s="57">
        <f t="shared" si="3"/>
        <v>-10000000</v>
      </c>
      <c r="F16" s="57">
        <f t="shared" si="3"/>
        <v>-9500000</v>
      </c>
      <c r="G16" s="57">
        <f t="shared" si="3"/>
        <v>-8500000</v>
      </c>
      <c r="H16" s="57">
        <f t="shared" si="3"/>
        <v>-7500000</v>
      </c>
      <c r="I16" s="57">
        <f t="shared" si="3"/>
        <v>-6500000</v>
      </c>
      <c r="J16" s="57">
        <f t="shared" si="3"/>
        <v>-5500000</v>
      </c>
      <c r="K16" s="57">
        <f t="shared" si="3"/>
        <v>-4500000</v>
      </c>
      <c r="L16" s="57">
        <f t="shared" si="3"/>
        <v>-3500000</v>
      </c>
      <c r="M16" s="57">
        <f t="shared" si="3"/>
        <v>-2500000</v>
      </c>
    </row>
    <row r="17" spans="2:13" x14ac:dyDescent="0.2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2:13" x14ac:dyDescent="0.25">
      <c r="B18" s="48" t="s">
        <v>47</v>
      </c>
      <c r="C18" s="48">
        <v>0</v>
      </c>
      <c r="D18" s="48">
        <f>'Savings forecast'!C11</f>
        <v>18700</v>
      </c>
      <c r="E18" s="48">
        <f>'Savings forecast'!D11</f>
        <v>19140</v>
      </c>
      <c r="F18" s="48">
        <f>'Savings forecast'!E11</f>
        <v>19580</v>
      </c>
      <c r="G18" s="48">
        <f>'Savings forecast'!F11</f>
        <v>20240</v>
      </c>
      <c r="H18" s="48">
        <f>'Savings forecast'!G11</f>
        <v>19800</v>
      </c>
      <c r="I18" s="48">
        <f>'Savings forecast'!H11</f>
        <v>19580</v>
      </c>
      <c r="J18" s="48">
        <f>'Savings forecast'!I11</f>
        <v>19140</v>
      </c>
      <c r="K18" s="48">
        <f>'Savings forecast'!J11</f>
        <v>18700</v>
      </c>
      <c r="L18" s="48">
        <f>'Savings forecast'!K11</f>
        <v>18480</v>
      </c>
      <c r="M18" s="48">
        <f>'Savings forecast'!L11</f>
        <v>18260</v>
      </c>
    </row>
    <row r="19" spans="2:13" x14ac:dyDescent="0.25">
      <c r="B19" s="48" t="s">
        <v>130</v>
      </c>
      <c r="C19" s="58" t="str">
        <f>IF(C18&lt;15000,"Yes","No")</f>
        <v>Yes</v>
      </c>
      <c r="D19" s="58" t="str">
        <f t="shared" ref="D19:M19" si="4">IF(D18&lt;15000,"Yes","No")</f>
        <v>No</v>
      </c>
      <c r="E19" s="58" t="str">
        <f t="shared" si="4"/>
        <v>No</v>
      </c>
      <c r="F19" s="58" t="str">
        <f t="shared" si="4"/>
        <v>No</v>
      </c>
      <c r="G19" s="58" t="str">
        <f t="shared" si="4"/>
        <v>No</v>
      </c>
      <c r="H19" s="58" t="str">
        <f t="shared" si="4"/>
        <v>No</v>
      </c>
      <c r="I19" s="58" t="str">
        <f t="shared" si="4"/>
        <v>No</v>
      </c>
      <c r="J19" s="58" t="str">
        <f t="shared" si="4"/>
        <v>No</v>
      </c>
      <c r="K19" s="58" t="str">
        <f t="shared" si="4"/>
        <v>No</v>
      </c>
      <c r="L19" s="58" t="str">
        <f t="shared" si="4"/>
        <v>No</v>
      </c>
      <c r="M19" s="58" t="str">
        <f t="shared" si="4"/>
        <v>No</v>
      </c>
    </row>
    <row r="20" spans="2:13" x14ac:dyDescent="0.25">
      <c r="B20" s="55" t="s">
        <v>49</v>
      </c>
      <c r="C20" s="59">
        <f t="shared" ref="C20:M20" si="5">IF(C10=0,0,IF(C19="Yes",1000000,0))</f>
        <v>0</v>
      </c>
      <c r="D20" s="59">
        <f t="shared" si="5"/>
        <v>0</v>
      </c>
      <c r="E20" s="59">
        <f t="shared" si="5"/>
        <v>0</v>
      </c>
      <c r="F20" s="59">
        <f t="shared" si="5"/>
        <v>0</v>
      </c>
      <c r="G20" s="59">
        <f t="shared" si="5"/>
        <v>0</v>
      </c>
      <c r="H20" s="59">
        <f t="shared" si="5"/>
        <v>0</v>
      </c>
      <c r="I20" s="59">
        <f t="shared" si="5"/>
        <v>0</v>
      </c>
      <c r="J20" s="59">
        <f t="shared" si="5"/>
        <v>0</v>
      </c>
      <c r="K20" s="59">
        <f t="shared" si="5"/>
        <v>0</v>
      </c>
      <c r="L20" s="59">
        <f t="shared" si="5"/>
        <v>0</v>
      </c>
      <c r="M20" s="59">
        <f t="shared" si="5"/>
        <v>0</v>
      </c>
    </row>
    <row r="22" spans="2:13" x14ac:dyDescent="0.25">
      <c r="B22" s="20" t="s">
        <v>62</v>
      </c>
      <c r="C22" s="20">
        <f>'Cash Flow'!C13</f>
        <v>-256000000</v>
      </c>
      <c r="D22" s="20">
        <f>'Cash Flow'!D13</f>
        <v>13300277.777777776</v>
      </c>
      <c r="E22" s="20">
        <f>'Cash Flow'!E13</f>
        <v>16811613.888888896</v>
      </c>
      <c r="F22" s="20">
        <f>'Cash Flow'!F13</f>
        <v>29307090.87222223</v>
      </c>
      <c r="G22" s="20">
        <f>'Cash Flow'!G13</f>
        <v>29269952.107999995</v>
      </c>
      <c r="H22" s="20">
        <f>'Cash Flow'!H13</f>
        <v>27155339.105561092</v>
      </c>
      <c r="I22" s="20">
        <f>'Cash Flow'!I13</f>
        <v>24498735.813540623</v>
      </c>
      <c r="J22" s="20">
        <f>'Cash Flow'!J13</f>
        <v>21650947.103663526</v>
      </c>
      <c r="K22" s="20">
        <f>'Cash Flow'!K13</f>
        <v>18620997.466094188</v>
      </c>
      <c r="L22" s="20">
        <f>'Cash Flow'!L13</f>
        <v>15828952.384652659</v>
      </c>
      <c r="M22" s="20">
        <f>'Cash Flow'!M13</f>
        <v>13177097.969553567</v>
      </c>
    </row>
    <row r="23" spans="2:13" x14ac:dyDescent="0.25">
      <c r="B23" s="55" t="s">
        <v>76</v>
      </c>
      <c r="C23" s="59">
        <f>-(C14+C22)</f>
        <v>56000000</v>
      </c>
      <c r="D23" s="59">
        <f t="shared" ref="D23:M23" si="6">IF(D22&gt;0,C23,C23-D22)</f>
        <v>56000000</v>
      </c>
      <c r="E23" s="59">
        <f t="shared" si="6"/>
        <v>56000000</v>
      </c>
      <c r="F23" s="59">
        <f t="shared" si="6"/>
        <v>56000000</v>
      </c>
      <c r="G23" s="59">
        <f t="shared" si="6"/>
        <v>56000000</v>
      </c>
      <c r="H23" s="59">
        <f t="shared" si="6"/>
        <v>56000000</v>
      </c>
      <c r="I23" s="59">
        <f t="shared" si="6"/>
        <v>56000000</v>
      </c>
      <c r="J23" s="59">
        <f t="shared" si="6"/>
        <v>56000000</v>
      </c>
      <c r="K23" s="59">
        <f t="shared" si="6"/>
        <v>56000000</v>
      </c>
      <c r="L23" s="59">
        <f t="shared" si="6"/>
        <v>56000000</v>
      </c>
      <c r="M23" s="59">
        <f t="shared" si="6"/>
        <v>56000000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/>
  </sheetViews>
  <sheetFormatPr defaultRowHeight="15" x14ac:dyDescent="0.25"/>
  <cols>
    <col min="1" max="1" width="2" style="1" customWidth="1"/>
    <col min="2" max="2" width="22.42578125" style="1" bestFit="1" customWidth="1"/>
    <col min="3" max="3" width="22.42578125" style="1" customWidth="1"/>
    <col min="4" max="12" width="11.5703125" style="1" bestFit="1" customWidth="1"/>
    <col min="13" max="16384" width="9.140625" style="1"/>
  </cols>
  <sheetData>
    <row r="1" spans="2:12" ht="15.75" x14ac:dyDescent="0.25">
      <c r="B1" s="4" t="s">
        <v>52</v>
      </c>
      <c r="C1" s="4"/>
    </row>
    <row r="3" spans="2:12" ht="15.75" thickBot="1" x14ac:dyDescent="0.3">
      <c r="B3" s="7" t="s">
        <v>24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</row>
    <row r="4" spans="2:12" x14ac:dyDescent="0.25">
      <c r="B4" s="19" t="s">
        <v>53</v>
      </c>
      <c r="C4" s="20">
        <f>'Savings forecast'!C31</f>
        <v>84150000</v>
      </c>
      <c r="D4" s="20">
        <f>'Savings forecast'!D31</f>
        <v>82780500</v>
      </c>
      <c r="E4" s="20">
        <f>'Savings forecast'!E31</f>
        <v>81093507</v>
      </c>
      <c r="F4" s="20">
        <f>'Savings forecast'!F31</f>
        <v>79941290.439999998</v>
      </c>
      <c r="G4" s="20">
        <f>'Savings forecast'!G31</f>
        <v>74225551.850999981</v>
      </c>
      <c r="H4" s="20">
        <f>'Savings forecast'!H31</f>
        <v>69286589.982114971</v>
      </c>
      <c r="I4" s="20">
        <f>'Savings forecast'!I31</f>
        <v>63525412.56758298</v>
      </c>
      <c r="J4" s="20">
        <f>'Savings forecast'!J31</f>
        <v>57773377.690321073</v>
      </c>
      <c r="K4" s="20">
        <f>'Savings forecast'!K31</f>
        <v>52664452.615632661</v>
      </c>
      <c r="L4" s="20">
        <f>'Savings forecast'!L31</f>
        <v>47469001.023912586</v>
      </c>
    </row>
    <row r="5" spans="2:12" s="18" customFormat="1" x14ac:dyDescent="0.25">
      <c r="B5" s="19" t="s">
        <v>20</v>
      </c>
      <c r="C5" s="20">
        <f>'Fixed asset roll-forward'!C16</f>
        <v>-25600000</v>
      </c>
      <c r="D5" s="20">
        <f>'Fixed asset roll-forward'!D16</f>
        <v>-28800000</v>
      </c>
      <c r="E5" s="20">
        <f>'Fixed asset roll-forward'!E16</f>
        <v>-32000000</v>
      </c>
      <c r="F5" s="20">
        <f>'Fixed asset roll-forward'!F16</f>
        <v>-32960000</v>
      </c>
      <c r="G5" s="20">
        <f>'Fixed asset roll-forward'!G16</f>
        <v>-33920000</v>
      </c>
      <c r="H5" s="20">
        <f>'Fixed asset roll-forward'!H16</f>
        <v>-34880000</v>
      </c>
      <c r="I5" s="20">
        <f>'Fixed asset roll-forward'!I16</f>
        <v>-35840000</v>
      </c>
      <c r="J5" s="20">
        <f>'Fixed asset roll-forward'!J16</f>
        <v>-36800000</v>
      </c>
      <c r="K5" s="20">
        <f>'Fixed asset roll-forward'!K16</f>
        <v>-37760000</v>
      </c>
      <c r="L5" s="20">
        <f>'Fixed asset roll-forward'!L16</f>
        <v>-38720000</v>
      </c>
    </row>
    <row r="6" spans="2:12" x14ac:dyDescent="0.25">
      <c r="B6" s="12" t="s">
        <v>54</v>
      </c>
      <c r="C6" s="21">
        <f>SUM(C4:C5)</f>
        <v>58550000</v>
      </c>
      <c r="D6" s="21">
        <f t="shared" ref="D6:L6" si="0">SUM(D4:D5)</f>
        <v>53980500</v>
      </c>
      <c r="E6" s="21">
        <f t="shared" si="0"/>
        <v>49093507</v>
      </c>
      <c r="F6" s="21">
        <f t="shared" si="0"/>
        <v>46981290.439999998</v>
      </c>
      <c r="G6" s="21">
        <f t="shared" si="0"/>
        <v>40305551.850999981</v>
      </c>
      <c r="H6" s="21">
        <f t="shared" si="0"/>
        <v>34406589.982114971</v>
      </c>
      <c r="I6" s="21">
        <f t="shared" si="0"/>
        <v>27685412.56758298</v>
      </c>
      <c r="J6" s="21">
        <f t="shared" si="0"/>
        <v>20973377.690321073</v>
      </c>
      <c r="K6" s="21">
        <f t="shared" si="0"/>
        <v>14904452.615632661</v>
      </c>
      <c r="L6" s="21">
        <f t="shared" si="0"/>
        <v>8749001.0239125863</v>
      </c>
    </row>
    <row r="7" spans="2:12" x14ac:dyDescent="0.25">
      <c r="B7" s="19" t="s">
        <v>50</v>
      </c>
      <c r="C7" s="20">
        <f>Financing!D16</f>
        <v>-10000000</v>
      </c>
      <c r="D7" s="20">
        <f>Financing!E16</f>
        <v>-10000000</v>
      </c>
      <c r="E7" s="20">
        <f>Financing!F16</f>
        <v>-9500000</v>
      </c>
      <c r="F7" s="20">
        <f>Financing!G16</f>
        <v>-8500000</v>
      </c>
      <c r="G7" s="20">
        <f>Financing!H16</f>
        <v>-7500000</v>
      </c>
      <c r="H7" s="20">
        <f>Financing!I16</f>
        <v>-6500000</v>
      </c>
      <c r="I7" s="20">
        <f>Financing!J16</f>
        <v>-5500000</v>
      </c>
      <c r="J7" s="20">
        <f>Financing!K16</f>
        <v>-4500000</v>
      </c>
      <c r="K7" s="20">
        <f>Financing!L16</f>
        <v>-3500000</v>
      </c>
      <c r="L7" s="20">
        <f>Financing!M16</f>
        <v>-2500000</v>
      </c>
    </row>
    <row r="8" spans="2:12" x14ac:dyDescent="0.25">
      <c r="B8" s="19" t="s">
        <v>42</v>
      </c>
      <c r="C8" s="20">
        <f>-Financing!D20</f>
        <v>0</v>
      </c>
      <c r="D8" s="20">
        <f>-Financing!E20</f>
        <v>0</v>
      </c>
      <c r="E8" s="20">
        <f>-Financing!F20</f>
        <v>0</v>
      </c>
      <c r="F8" s="20">
        <f>-Financing!G20</f>
        <v>0</v>
      </c>
      <c r="G8" s="20">
        <f>-Financing!H20</f>
        <v>0</v>
      </c>
      <c r="H8" s="20">
        <f>-Financing!I20</f>
        <v>0</v>
      </c>
      <c r="I8" s="20">
        <f>-Financing!J20</f>
        <v>0</v>
      </c>
      <c r="J8" s="20">
        <f>-Financing!K20</f>
        <v>0</v>
      </c>
      <c r="K8" s="20">
        <f>-Financing!L20</f>
        <v>0</v>
      </c>
      <c r="L8" s="20">
        <f>-Financing!M20</f>
        <v>0</v>
      </c>
    </row>
    <row r="9" spans="2:12" x14ac:dyDescent="0.25">
      <c r="B9" s="12" t="s">
        <v>55</v>
      </c>
      <c r="C9" s="21">
        <f>SUM(C6:C8)</f>
        <v>48550000</v>
      </c>
      <c r="D9" s="21">
        <f t="shared" ref="D9:L9" si="1">SUM(D6:D8)</f>
        <v>43980500</v>
      </c>
      <c r="E9" s="21">
        <f t="shared" si="1"/>
        <v>39593507</v>
      </c>
      <c r="F9" s="21">
        <f t="shared" si="1"/>
        <v>38481290.439999998</v>
      </c>
      <c r="G9" s="21">
        <f t="shared" si="1"/>
        <v>32805551.850999981</v>
      </c>
      <c r="H9" s="21">
        <f t="shared" si="1"/>
        <v>27906589.982114971</v>
      </c>
      <c r="I9" s="21">
        <f t="shared" si="1"/>
        <v>22185412.56758298</v>
      </c>
      <c r="J9" s="21">
        <f t="shared" si="1"/>
        <v>16473377.690321073</v>
      </c>
      <c r="K9" s="21">
        <f t="shared" si="1"/>
        <v>11404452.615632661</v>
      </c>
      <c r="L9" s="21">
        <f t="shared" si="1"/>
        <v>6249001.0239125863</v>
      </c>
    </row>
    <row r="10" spans="2:12" x14ac:dyDescent="0.25">
      <c r="B10" s="19" t="s">
        <v>56</v>
      </c>
      <c r="C10" s="20">
        <f>IF(-'P&amp;L'!C9*Drivers!$C$38&gt;0,0,-'P&amp;L'!C9*Drivers!$C$38)</f>
        <v>-14565000</v>
      </c>
      <c r="D10" s="20">
        <f>IF(-'P&amp;L'!D9*Drivers!$C$38&gt;0,0,-'P&amp;L'!D9*Drivers!$C$38)</f>
        <v>-13194150</v>
      </c>
      <c r="E10" s="20">
        <f>IF(-'P&amp;L'!E9*Drivers!$C$38&gt;0,0,-'P&amp;L'!E9*Drivers!$C$38)</f>
        <v>-11878052.1</v>
      </c>
      <c r="F10" s="20">
        <f>IF(-'P&amp;L'!F9*Drivers!$C$38&gt;0,0,-'P&amp;L'!F9*Drivers!$C$38)</f>
        <v>-11544387.131999999</v>
      </c>
      <c r="G10" s="20">
        <f>IF(-'P&amp;L'!G9*Drivers!$C$38&gt;0,0,-'P&amp;L'!G9*Drivers!$C$38)</f>
        <v>-9841665.5552999936</v>
      </c>
      <c r="H10" s="20">
        <f>IF(-'P&amp;L'!H9*Drivers!$C$38&gt;0,0,-'P&amp;L'!H9*Drivers!$C$38)</f>
        <v>-8371976.9946344905</v>
      </c>
      <c r="I10" s="20">
        <f>IF(-'P&amp;L'!I9*Drivers!$C$38&gt;0,0,-'P&amp;L'!I9*Drivers!$C$38)</f>
        <v>-6655623.7702748934</v>
      </c>
      <c r="J10" s="20">
        <f>IF(-'P&amp;L'!J9*Drivers!$C$38&gt;0,0,-'P&amp;L'!J9*Drivers!$C$38)</f>
        <v>-4942013.3070963221</v>
      </c>
      <c r="K10" s="20">
        <f>IF(-'P&amp;L'!K9*Drivers!$C$38&gt;0,0,-'P&amp;L'!K9*Drivers!$C$38)</f>
        <v>-3421335.784689798</v>
      </c>
      <c r="L10" s="20">
        <f>IF(-'P&amp;L'!L9*Drivers!$C$38&gt;0,0,-'P&amp;L'!L9*Drivers!$C$38)</f>
        <v>-1874700.3071737757</v>
      </c>
    </row>
    <row r="11" spans="2:12" ht="15.75" thickBot="1" x14ac:dyDescent="0.3">
      <c r="B11" s="22" t="s">
        <v>57</v>
      </c>
      <c r="C11" s="23">
        <f>SUM(C9:C10)</f>
        <v>33985000</v>
      </c>
      <c r="D11" s="23">
        <f t="shared" ref="D11:L11" si="2">SUM(D9:D10)</f>
        <v>30786350</v>
      </c>
      <c r="E11" s="23">
        <f t="shared" si="2"/>
        <v>27715454.899999999</v>
      </c>
      <c r="F11" s="23">
        <f t="shared" si="2"/>
        <v>26936903.307999998</v>
      </c>
      <c r="G11" s="23">
        <f t="shared" si="2"/>
        <v>22963886.295699988</v>
      </c>
      <c r="H11" s="23">
        <f t="shared" si="2"/>
        <v>19534612.98748048</v>
      </c>
      <c r="I11" s="23">
        <f t="shared" si="2"/>
        <v>15529788.797308087</v>
      </c>
      <c r="J11" s="23">
        <f t="shared" si="2"/>
        <v>11531364.383224752</v>
      </c>
      <c r="K11" s="23">
        <f t="shared" si="2"/>
        <v>7983116.8309428627</v>
      </c>
      <c r="L11" s="23">
        <f t="shared" si="2"/>
        <v>4374300.7167388108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workbookViewId="0">
      <selection activeCell="J5" sqref="J5"/>
    </sheetView>
  </sheetViews>
  <sheetFormatPr defaultRowHeight="12" x14ac:dyDescent="0.2"/>
  <cols>
    <col min="1" max="1" width="2" style="28" customWidth="1"/>
    <col min="2" max="2" width="22.42578125" style="28" bestFit="1" customWidth="1"/>
    <col min="3" max="3" width="12.5703125" style="28" bestFit="1" customWidth="1"/>
    <col min="4" max="5" width="11.5703125" style="28" customWidth="1"/>
    <col min="6" max="13" width="11.5703125" style="28" bestFit="1" customWidth="1"/>
    <col min="14" max="14" width="1.28515625" style="30" customWidth="1"/>
    <col min="15" max="15" width="13.140625" style="28" bestFit="1" customWidth="1"/>
    <col min="16" max="16384" width="9.140625" style="28"/>
  </cols>
  <sheetData>
    <row r="1" spans="2:15" ht="15.75" x14ac:dyDescent="0.25">
      <c r="B1" s="26" t="s">
        <v>71</v>
      </c>
      <c r="C1" s="26"/>
      <c r="D1" s="27"/>
    </row>
    <row r="3" spans="2:15" ht="12.75" thickBot="1" x14ac:dyDescent="0.25">
      <c r="B3" s="29" t="s">
        <v>24</v>
      </c>
      <c r="C3" s="29">
        <v>0</v>
      </c>
      <c r="D3" s="29">
        <v>1</v>
      </c>
      <c r="E3" s="29">
        <v>2</v>
      </c>
      <c r="F3" s="29">
        <v>3</v>
      </c>
      <c r="G3" s="29">
        <v>4</v>
      </c>
      <c r="H3" s="29">
        <v>5</v>
      </c>
      <c r="I3" s="29">
        <v>6</v>
      </c>
      <c r="J3" s="29">
        <v>7</v>
      </c>
      <c r="K3" s="29">
        <v>8</v>
      </c>
      <c r="L3" s="29">
        <v>9</v>
      </c>
      <c r="M3" s="29">
        <v>10</v>
      </c>
      <c r="N3" s="38"/>
      <c r="O3" s="36" t="s">
        <v>67</v>
      </c>
    </row>
    <row r="4" spans="2:15" x14ac:dyDescent="0.2">
      <c r="B4" s="30" t="s">
        <v>43</v>
      </c>
      <c r="C4" s="31">
        <v>0</v>
      </c>
      <c r="D4" s="31">
        <f>'Savings forecast'!C31</f>
        <v>84150000</v>
      </c>
      <c r="E4" s="31">
        <f>'Savings forecast'!D31</f>
        <v>82780500</v>
      </c>
      <c r="F4" s="31">
        <f>'Savings forecast'!E31</f>
        <v>81093507</v>
      </c>
      <c r="G4" s="31">
        <f>'Savings forecast'!F31</f>
        <v>79941290.439999998</v>
      </c>
      <c r="H4" s="31">
        <f>'Savings forecast'!G31</f>
        <v>74225551.850999981</v>
      </c>
      <c r="I4" s="31">
        <f>'Savings forecast'!H31</f>
        <v>69286589.982114971</v>
      </c>
      <c r="J4" s="31">
        <f>'Savings forecast'!I31</f>
        <v>63525412.56758298</v>
      </c>
      <c r="K4" s="31">
        <f>'Savings forecast'!J31</f>
        <v>57773377.690321073</v>
      </c>
      <c r="L4" s="31">
        <f>'Savings forecast'!K31</f>
        <v>52664452.615632661</v>
      </c>
      <c r="M4" s="31">
        <f>'Savings forecast'!L31</f>
        <v>47469001.023912586</v>
      </c>
      <c r="N4" s="31"/>
    </row>
    <row r="5" spans="2:15" x14ac:dyDescent="0.2">
      <c r="B5" s="30" t="s">
        <v>56</v>
      </c>
      <c r="C5" s="31">
        <v>0</v>
      </c>
      <c r="D5" s="31">
        <f>'P&amp;L'!C10</f>
        <v>-14565000</v>
      </c>
      <c r="E5" s="31">
        <f>'P&amp;L'!D10</f>
        <v>-13194150</v>
      </c>
      <c r="F5" s="31">
        <f>'P&amp;L'!E10</f>
        <v>-11878052.1</v>
      </c>
      <c r="G5" s="31">
        <f>'P&amp;L'!F10</f>
        <v>-11544387.131999999</v>
      </c>
      <c r="H5" s="31">
        <f>'P&amp;L'!G10</f>
        <v>-9841665.5552999936</v>
      </c>
      <c r="I5" s="31">
        <f>'P&amp;L'!H10</f>
        <v>-8371976.9946344905</v>
      </c>
      <c r="J5" s="31">
        <f>'P&amp;L'!I10</f>
        <v>-6655623.7702748934</v>
      </c>
      <c r="K5" s="31">
        <f>'P&amp;L'!J10</f>
        <v>-4942013.3070963221</v>
      </c>
      <c r="L5" s="31">
        <f>'P&amp;L'!K10</f>
        <v>-3421335.784689798</v>
      </c>
      <c r="M5" s="31">
        <f>'P&amp;L'!L10</f>
        <v>-1874700.3071737757</v>
      </c>
      <c r="N5" s="31"/>
    </row>
    <row r="6" spans="2:15" s="30" customFormat="1" x14ac:dyDescent="0.2">
      <c r="B6" s="30" t="s">
        <v>37</v>
      </c>
      <c r="C6" s="31">
        <v>0</v>
      </c>
      <c r="D6" s="31">
        <f>'Working capital'!C17</f>
        <v>-14284722.222222222</v>
      </c>
      <c r="E6" s="31">
        <f>'Working capital'!D17</f>
        <v>-774736.11111111194</v>
      </c>
      <c r="F6" s="31">
        <f>'Working capital'!E17</f>
        <v>-808364.02777777798</v>
      </c>
      <c r="G6" s="31">
        <f>'Working capital'!F17</f>
        <v>-1026951.1999999993</v>
      </c>
      <c r="H6" s="31">
        <f>'Working capital'!G17</f>
        <v>-128547.19013889134</v>
      </c>
      <c r="I6" s="31">
        <f>'Working capital'!H17</f>
        <v>-315877.17393985763</v>
      </c>
      <c r="J6" s="31">
        <f>'Working capital'!I17</f>
        <v>-118841.69364456087</v>
      </c>
      <c r="K6" s="31">
        <f>'Working capital'!J17</f>
        <v>-110366.91713055968</v>
      </c>
      <c r="L6" s="31">
        <f>'Working capital'!K17</f>
        <v>-314164.44629019871</v>
      </c>
      <c r="M6" s="31">
        <f>'Working capital'!L17</f>
        <v>-317202.74718524516</v>
      </c>
      <c r="N6" s="31"/>
    </row>
    <row r="7" spans="2:15" x14ac:dyDescent="0.2">
      <c r="B7" s="28" t="s">
        <v>23</v>
      </c>
      <c r="C7" s="31">
        <f>-'Fixed asset roll-forward'!C14</f>
        <v>-256000000</v>
      </c>
      <c r="D7" s="31">
        <f>-'Fixed asset roll-forward'!C15</f>
        <v>-32000000</v>
      </c>
      <c r="E7" s="31">
        <f>-'Fixed asset roll-forward'!D15</f>
        <v>-32000000</v>
      </c>
      <c r="F7" s="31">
        <f>-'Fixed asset roll-forward'!E15</f>
        <v>-9600000</v>
      </c>
      <c r="G7" s="31">
        <f>-'Fixed asset roll-forward'!F15</f>
        <v>-9600000</v>
      </c>
      <c r="H7" s="31">
        <f>-'Fixed asset roll-forward'!G15</f>
        <v>-9600000</v>
      </c>
      <c r="I7" s="31">
        <f>-'Fixed asset roll-forward'!H15</f>
        <v>-9600000</v>
      </c>
      <c r="J7" s="31">
        <f>-'Fixed asset roll-forward'!I15</f>
        <v>-9600000</v>
      </c>
      <c r="K7" s="31">
        <f>-'Fixed asset roll-forward'!J15</f>
        <v>-9600000</v>
      </c>
      <c r="L7" s="31">
        <f>-'Fixed asset roll-forward'!K15</f>
        <v>-9600000</v>
      </c>
      <c r="M7" s="31">
        <f>-'Fixed asset roll-forward'!L15</f>
        <v>-9600000</v>
      </c>
      <c r="N7" s="31"/>
    </row>
    <row r="8" spans="2:15" x14ac:dyDescent="0.2">
      <c r="B8" s="32" t="s">
        <v>44</v>
      </c>
      <c r="C8" s="33">
        <f>SUM(C4:C7)</f>
        <v>-256000000</v>
      </c>
      <c r="D8" s="33">
        <f>SUM(D4:D7)</f>
        <v>23300277.777777776</v>
      </c>
      <c r="E8" s="33">
        <f t="shared" ref="E8:M8" si="0">SUM(E4:E7)</f>
        <v>36811613.888888896</v>
      </c>
      <c r="F8" s="33">
        <f t="shared" si="0"/>
        <v>58807090.87222223</v>
      </c>
      <c r="G8" s="33">
        <f t="shared" si="0"/>
        <v>57769952.107999995</v>
      </c>
      <c r="H8" s="33">
        <f t="shared" si="0"/>
        <v>54655339.105561092</v>
      </c>
      <c r="I8" s="33">
        <f t="shared" si="0"/>
        <v>50998735.813540623</v>
      </c>
      <c r="J8" s="33">
        <f t="shared" si="0"/>
        <v>47150947.103663526</v>
      </c>
      <c r="K8" s="33">
        <f t="shared" si="0"/>
        <v>43120997.466094188</v>
      </c>
      <c r="L8" s="33">
        <f t="shared" si="0"/>
        <v>39328952.384652659</v>
      </c>
      <c r="M8" s="33">
        <f t="shared" si="0"/>
        <v>35677097.969553567</v>
      </c>
      <c r="N8" s="37"/>
    </row>
    <row r="9" spans="2:15" x14ac:dyDescent="0.2">
      <c r="B9" s="28" t="s">
        <v>46</v>
      </c>
      <c r="C9" s="31">
        <v>0</v>
      </c>
      <c r="D9" s="31">
        <f>Financing!D12</f>
        <v>0</v>
      </c>
      <c r="E9" s="31">
        <f>Financing!E12</f>
        <v>-10000000</v>
      </c>
      <c r="F9" s="31">
        <f>Financing!F12</f>
        <v>-20000000</v>
      </c>
      <c r="G9" s="31">
        <f>Financing!G12</f>
        <v>-20000000</v>
      </c>
      <c r="H9" s="31">
        <f>Financing!H12</f>
        <v>-20000000</v>
      </c>
      <c r="I9" s="31">
        <f>Financing!I12</f>
        <v>-20000000</v>
      </c>
      <c r="J9" s="31">
        <f>Financing!J12</f>
        <v>-20000000</v>
      </c>
      <c r="K9" s="31">
        <f>Financing!K12</f>
        <v>-20000000</v>
      </c>
      <c r="L9" s="31">
        <f>Financing!L12</f>
        <v>-20000000</v>
      </c>
      <c r="M9" s="31">
        <f>Financing!M12</f>
        <v>-20000000</v>
      </c>
      <c r="N9" s="31"/>
    </row>
    <row r="10" spans="2:15" x14ac:dyDescent="0.2">
      <c r="B10" s="28" t="s">
        <v>50</v>
      </c>
      <c r="C10" s="31">
        <v>0</v>
      </c>
      <c r="D10" s="31">
        <f>Financing!D16</f>
        <v>-10000000</v>
      </c>
      <c r="E10" s="31">
        <f>Financing!E16</f>
        <v>-10000000</v>
      </c>
      <c r="F10" s="31">
        <f>Financing!F16</f>
        <v>-9500000</v>
      </c>
      <c r="G10" s="31">
        <f>Financing!G16</f>
        <v>-8500000</v>
      </c>
      <c r="H10" s="31">
        <f>Financing!H16</f>
        <v>-7500000</v>
      </c>
      <c r="I10" s="31">
        <f>Financing!I16</f>
        <v>-6500000</v>
      </c>
      <c r="J10" s="31">
        <f>Financing!J16</f>
        <v>-5500000</v>
      </c>
      <c r="K10" s="31">
        <f>Financing!K16</f>
        <v>-4500000</v>
      </c>
      <c r="L10" s="31">
        <f>Financing!L16</f>
        <v>-3500000</v>
      </c>
      <c r="M10" s="31">
        <f>Financing!M16</f>
        <v>-2500000</v>
      </c>
      <c r="N10" s="31"/>
    </row>
    <row r="11" spans="2:15" x14ac:dyDescent="0.2">
      <c r="B11" s="28" t="s">
        <v>51</v>
      </c>
      <c r="C11" s="31">
        <v>0</v>
      </c>
      <c r="D11" s="31">
        <f>-Financing!D20</f>
        <v>0</v>
      </c>
      <c r="E11" s="31">
        <f>-Financing!E20</f>
        <v>0</v>
      </c>
      <c r="F11" s="31">
        <f>-Financing!F20</f>
        <v>0</v>
      </c>
      <c r="G11" s="31">
        <f>-Financing!G20</f>
        <v>0</v>
      </c>
      <c r="H11" s="31">
        <f>-Financing!H20</f>
        <v>0</v>
      </c>
      <c r="I11" s="31">
        <f>-Financing!I20</f>
        <v>0</v>
      </c>
      <c r="J11" s="31">
        <f>-Financing!J20</f>
        <v>0</v>
      </c>
      <c r="K11" s="31">
        <f>-Financing!K20</f>
        <v>0</v>
      </c>
      <c r="L11" s="31">
        <f>-Financing!L20</f>
        <v>0</v>
      </c>
      <c r="M11" s="31">
        <f>-Financing!M20</f>
        <v>0</v>
      </c>
      <c r="N11" s="31"/>
    </row>
    <row r="12" spans="2:15" x14ac:dyDescent="0.2">
      <c r="B12" s="28" t="s">
        <v>110</v>
      </c>
      <c r="C12" s="31"/>
      <c r="D12" s="31">
        <f>Financing!D23-Financing!C23</f>
        <v>0</v>
      </c>
      <c r="E12" s="31">
        <f>Financing!E23-Financing!D23</f>
        <v>0</v>
      </c>
      <c r="F12" s="31">
        <f>Financing!F23-Financing!E23</f>
        <v>0</v>
      </c>
      <c r="G12" s="31">
        <f>Financing!G23-Financing!F23</f>
        <v>0</v>
      </c>
      <c r="H12" s="31">
        <f>Financing!H23-Financing!G23</f>
        <v>0</v>
      </c>
      <c r="I12" s="31">
        <f>Financing!I23-Financing!H23</f>
        <v>0</v>
      </c>
      <c r="J12" s="31">
        <f>Financing!J23-Financing!I23</f>
        <v>0</v>
      </c>
      <c r="K12" s="31">
        <f>Financing!K23-Financing!J23</f>
        <v>0</v>
      </c>
      <c r="L12" s="31">
        <f>Financing!L23-Financing!K23</f>
        <v>0</v>
      </c>
      <c r="M12" s="31">
        <f>Financing!M23-Financing!L23</f>
        <v>0</v>
      </c>
      <c r="N12" s="31"/>
    </row>
    <row r="13" spans="2:15" ht="12.75" thickBot="1" x14ac:dyDescent="0.25">
      <c r="B13" s="34" t="s">
        <v>62</v>
      </c>
      <c r="C13" s="35">
        <f>SUM(C8:C12)</f>
        <v>-256000000</v>
      </c>
      <c r="D13" s="35">
        <f>SUM(D8:D11)</f>
        <v>13300277.777777776</v>
      </c>
      <c r="E13" s="35">
        <f t="shared" ref="E13:M13" si="1">SUM(E8:E11)</f>
        <v>16811613.888888896</v>
      </c>
      <c r="F13" s="35">
        <f t="shared" si="1"/>
        <v>29307090.87222223</v>
      </c>
      <c r="G13" s="35">
        <f t="shared" si="1"/>
        <v>29269952.107999995</v>
      </c>
      <c r="H13" s="35">
        <f t="shared" si="1"/>
        <v>27155339.105561092</v>
      </c>
      <c r="I13" s="35">
        <f t="shared" si="1"/>
        <v>24498735.813540623</v>
      </c>
      <c r="J13" s="35">
        <f t="shared" si="1"/>
        <v>21650947.103663526</v>
      </c>
      <c r="K13" s="35">
        <f t="shared" si="1"/>
        <v>18620997.466094188</v>
      </c>
      <c r="L13" s="35">
        <f t="shared" si="1"/>
        <v>15828952.384652659</v>
      </c>
      <c r="M13" s="35">
        <f t="shared" si="1"/>
        <v>13177097.969553567</v>
      </c>
      <c r="N13" s="39"/>
      <c r="O13" s="35">
        <f>Drivers!C40</f>
        <v>100000000</v>
      </c>
    </row>
    <row r="15" spans="2:15" x14ac:dyDescent="0.2"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7" spans="4:15" x14ac:dyDescent="0.2"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 --&gt;</vt:lpstr>
      <vt:lpstr>Drivers</vt:lpstr>
      <vt:lpstr>Workings --&gt;</vt:lpstr>
      <vt:lpstr>Savings forecast</vt:lpstr>
      <vt:lpstr>Fixed asset roll-forward</vt:lpstr>
      <vt:lpstr>Working capital</vt:lpstr>
      <vt:lpstr>Financing</vt:lpstr>
      <vt:lpstr>P&amp;L</vt:lpstr>
      <vt:lpstr>Cash Flow</vt:lpstr>
      <vt:lpstr>WACC</vt:lpstr>
      <vt:lpstr>Output --&gt;</vt:lpstr>
      <vt:lpstr>Discounted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2017-10-13T13:35:42Z</dcterms:created>
  <dcterms:modified xsi:type="dcterms:W3CDTF">2017-11-14T13:17:01Z</dcterms:modified>
</cp:coreProperties>
</file>