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Ex5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Ex6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Ex7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8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Tesla - Complete Company Analysis\4. Financial forecasting\"/>
    </mc:Choice>
  </mc:AlternateContent>
  <xr:revisionPtr revIDLastSave="0" documentId="13_ncr:1_{4FA2AF34-3CA6-48B5-88D4-A764BEB1765D}" xr6:coauthVersionLast="38" xr6:coauthVersionMax="38" xr10:uidLastSave="{00000000-0000-0000-0000-000000000000}"/>
  <bookViews>
    <workbookView xWindow="0" yWindow="0" windowWidth="20496" windowHeight="8112" firstSheet="25" activeTab="28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  <sheet name="Workings --&gt;" sheetId="174" r:id="rId6"/>
    <sheet name="Income Statement items" sheetId="199" r:id="rId7"/>
    <sheet name="Automotive" sheetId="187" r:id="rId8"/>
    <sheet name="Deliveries" sheetId="180" r:id="rId9"/>
    <sheet name="Deliveries development" sheetId="181" r:id="rId10"/>
    <sheet name="Deliveries comparables" sheetId="207" r:id="rId11"/>
    <sheet name="Revenue automotive" sheetId="182" r:id="rId12"/>
    <sheet name="GP% automotive" sheetId="185" r:id="rId13"/>
    <sheet name="GP automotive" sheetId="186" r:id="rId14"/>
    <sheet name="Cost of sales automotive" sheetId="193" r:id="rId15"/>
    <sheet name="Revenue &amp; GP autom" sheetId="212" r:id="rId16"/>
    <sheet name="Energy &amp; Other" sheetId="188" r:id="rId17"/>
    <sheet name="Revenue Energy &amp; Other" sheetId="191" r:id="rId18"/>
    <sheet name="GP Energy &amp; Other" sheetId="192" r:id="rId19"/>
    <sheet name="Cost of sales Energy &amp; Other" sheetId="206" r:id="rId20"/>
    <sheet name="Operating expenses" sheetId="194" r:id="rId21"/>
    <sheet name="Opex comparables" sheetId="197" r:id="rId22"/>
    <sheet name="Opex" sheetId="167" r:id="rId23"/>
    <sheet name="Balance Sheet --&gt;" sheetId="200" r:id="rId24"/>
    <sheet name="PP&amp;E --&gt;" sheetId="195" r:id="rId25"/>
    <sheet name="PP&amp;E" sheetId="168" r:id="rId26"/>
    <sheet name="PP&amp;E Comparables" sheetId="203" r:id="rId27"/>
    <sheet name="Working Capital --&gt; " sheetId="202" r:id="rId28"/>
    <sheet name="Working capital" sheetId="169" r:id="rId29"/>
    <sheet name="WC comparables" sheetId="204" r:id="rId30"/>
    <sheet name="WC development" sheetId="211" r:id="rId31"/>
    <sheet name="Financing --&gt;" sheetId="205" r:id="rId32"/>
    <sheet name="Financing" sheetId="172" r:id="rId33"/>
    <sheet name="WACC" sheetId="175" r:id="rId34"/>
    <sheet name="Output --&gt;" sheetId="156" r:id="rId35"/>
    <sheet name="P&amp;L" sheetId="176" r:id="rId36"/>
    <sheet name="Balance Sheet" sheetId="177" r:id="rId37"/>
    <sheet name="Cash Flow" sheetId="178" r:id="rId38"/>
    <sheet name="DCF" sheetId="179" r:id="rId39"/>
    <sheet name="Bridge charts --&gt;" sheetId="208" r:id="rId40"/>
    <sheet name="Revenue bridge" sheetId="209" r:id="rId41"/>
    <sheet name="Cash flow bridge" sheetId="210" r:id="rId42"/>
    <sheet name="Expenses bridge" sheetId="221" r:id="rId43"/>
    <sheet name="Net Income bridge" sheetId="222" r:id="rId44"/>
    <sheet name="Other charts --&gt;" sheetId="213" r:id="rId45"/>
    <sheet name="Revenue by type of car" sheetId="217" r:id="rId46"/>
    <sheet name="Types of vehicles" sheetId="214" r:id="rId47"/>
    <sheet name="Profitability" sheetId="216" r:id="rId48"/>
    <sheet name="Price - Volume - Mix --&gt;" sheetId="218" r:id="rId49"/>
    <sheet name="Price-Volume-Mix" sheetId="219" r:id="rId50"/>
  </sheets>
  <definedNames>
    <definedName name="_xlchart.v1.0" hidden="1">'Revenue bridge'!$B$8:$B$15</definedName>
    <definedName name="_xlchart.v1.1" hidden="1">'Revenue bridge'!$C$8:$C$15</definedName>
    <definedName name="_xlchart.v1.10" hidden="1">'Net Income bridge'!$B$3:$B$16</definedName>
    <definedName name="_xlchart.v1.11" hidden="1">'Net Income bridge'!$C$3:$C$16</definedName>
    <definedName name="_xlchart.v1.12" hidden="1">'Price-Volume-Mix'!$B$11:$B$15</definedName>
    <definedName name="_xlchart.v1.13" hidden="1">'Price-Volume-Mix'!$C$11:$C$15</definedName>
    <definedName name="_xlchart.v1.14" hidden="1">'Price-Volume-Mix'!$B$21:$B$25</definedName>
    <definedName name="_xlchart.v1.15" hidden="1">'Price-Volume-Mix'!$C$21:$C$25</definedName>
    <definedName name="_xlchart.v1.2" hidden="1">'Revenue bridge'!$B$27:$B$34</definedName>
    <definedName name="_xlchart.v1.3" hidden="1">'Revenue bridge'!$C$27:$C$34</definedName>
    <definedName name="_xlchart.v1.4" hidden="1">'Cash flow bridge'!$B$8:$B$14</definedName>
    <definedName name="_xlchart.v1.5" hidden="1">'Cash flow bridge'!$C$8:$C$14</definedName>
    <definedName name="_xlchart.v1.6" hidden="1">'Cash flow bridge'!$B$26:$B$32</definedName>
    <definedName name="_xlchart.v1.7" hidden="1">'Cash flow bridge'!$C$26:$C$32</definedName>
    <definedName name="_xlchart.v1.8" hidden="1">'Expenses bridge'!$B$8:$B$14</definedName>
    <definedName name="_xlchart.v1.9" hidden="1">'Expenses bridge'!$C$8:$C$14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69" l="1"/>
  <c r="R14" i="169"/>
  <c r="Q14" i="169"/>
  <c r="P14" i="169"/>
  <c r="O14" i="169"/>
  <c r="N14" i="169"/>
  <c r="M14" i="169"/>
  <c r="L14" i="169"/>
  <c r="K14" i="169"/>
  <c r="J14" i="169"/>
  <c r="I14" i="169"/>
  <c r="H14" i="169"/>
  <c r="S13" i="169"/>
  <c r="R13" i="169"/>
  <c r="Q13" i="169"/>
  <c r="P13" i="169"/>
  <c r="O13" i="169"/>
  <c r="N13" i="169"/>
  <c r="M13" i="169"/>
  <c r="L13" i="169"/>
  <c r="K13" i="169"/>
  <c r="J13" i="169"/>
  <c r="I13" i="169"/>
  <c r="H13" i="169"/>
  <c r="S12" i="169"/>
  <c r="R12" i="169"/>
  <c r="Q12" i="169"/>
  <c r="P12" i="169"/>
  <c r="O12" i="169"/>
  <c r="N12" i="169"/>
  <c r="M12" i="169"/>
  <c r="L12" i="169"/>
  <c r="K12" i="169"/>
  <c r="J12" i="169"/>
  <c r="I12" i="169"/>
  <c r="H12" i="169"/>
  <c r="S11" i="169"/>
  <c r="R11" i="169"/>
  <c r="Q11" i="169"/>
  <c r="P11" i="169"/>
  <c r="O11" i="169"/>
  <c r="N11" i="169"/>
  <c r="M11" i="169"/>
  <c r="L11" i="169"/>
  <c r="K11" i="169"/>
  <c r="J11" i="169"/>
  <c r="I11" i="169"/>
  <c r="H11" i="169"/>
  <c r="I16" i="180" l="1"/>
  <c r="C5" i="175"/>
  <c r="I22" i="175" l="1"/>
  <c r="I20" i="172" l="1"/>
  <c r="I19" i="172"/>
  <c r="G41" i="154" l="1"/>
  <c r="G40" i="154"/>
  <c r="G39" i="154"/>
  <c r="F39" i="154"/>
  <c r="G12" i="192" l="1"/>
  <c r="H5" i="182" l="1"/>
  <c r="C7" i="175" l="1"/>
  <c r="E37" i="154" l="1"/>
  <c r="D37" i="154"/>
  <c r="C37" i="154"/>
  <c r="G34" i="155" l="1"/>
  <c r="F34" i="155"/>
  <c r="E34" i="155"/>
  <c r="D34" i="155"/>
  <c r="C34" i="155"/>
  <c r="G33" i="155"/>
  <c r="F33" i="155"/>
  <c r="E33" i="155"/>
  <c r="D33" i="155"/>
  <c r="C33" i="155"/>
  <c r="G31" i="155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C3" i="179" l="1"/>
  <c r="G11" i="217" l="1"/>
  <c r="F11" i="217"/>
  <c r="G6" i="217"/>
  <c r="F6" i="217"/>
  <c r="G5" i="217"/>
  <c r="F5" i="217"/>
  <c r="E5" i="217"/>
  <c r="D5" i="217"/>
  <c r="C5" i="217"/>
  <c r="G6" i="214"/>
  <c r="F6" i="214"/>
  <c r="G5" i="214"/>
  <c r="F5" i="214"/>
  <c r="E5" i="214"/>
  <c r="D5" i="214"/>
  <c r="F11" i="214"/>
  <c r="G11" i="214"/>
  <c r="C5" i="214"/>
  <c r="S26" i="178" l="1"/>
  <c r="R26" i="178"/>
  <c r="Q26" i="178"/>
  <c r="P26" i="178"/>
  <c r="O26" i="178"/>
  <c r="N26" i="178"/>
  <c r="M26" i="178"/>
  <c r="L26" i="178"/>
  <c r="K26" i="178"/>
  <c r="J26" i="178"/>
  <c r="H26" i="178"/>
  <c r="S22" i="191" l="1"/>
  <c r="S16" i="191"/>
  <c r="R22" i="191"/>
  <c r="R16" i="191"/>
  <c r="Q22" i="191"/>
  <c r="Q16" i="191"/>
  <c r="P22" i="191"/>
  <c r="P16" i="191"/>
  <c r="O22" i="191"/>
  <c r="O16" i="191"/>
  <c r="S12" i="191"/>
  <c r="R12" i="191"/>
  <c r="Q12" i="191"/>
  <c r="P12" i="191"/>
  <c r="O12" i="191"/>
  <c r="S19" i="182"/>
  <c r="S18" i="182"/>
  <c r="S17" i="182"/>
  <c r="S16" i="182"/>
  <c r="S15" i="182"/>
  <c r="S14" i="182"/>
  <c r="R19" i="182"/>
  <c r="R18" i="182"/>
  <c r="R17" i="182"/>
  <c r="R16" i="182"/>
  <c r="R15" i="182"/>
  <c r="R14" i="182"/>
  <c r="Q19" i="182"/>
  <c r="Q18" i="182"/>
  <c r="Q17" i="182"/>
  <c r="Q16" i="182"/>
  <c r="Q15" i="182"/>
  <c r="Q14" i="182"/>
  <c r="P19" i="182"/>
  <c r="P18" i="182"/>
  <c r="P17" i="182"/>
  <c r="P8" i="182" s="1"/>
  <c r="P16" i="182"/>
  <c r="P15" i="182"/>
  <c r="P14" i="182"/>
  <c r="O19" i="182"/>
  <c r="O18" i="182"/>
  <c r="O17" i="182"/>
  <c r="O16" i="182"/>
  <c r="O15" i="182"/>
  <c r="O14" i="182"/>
  <c r="D18" i="207"/>
  <c r="D8" i="207"/>
  <c r="C8" i="207"/>
  <c r="L8" i="180"/>
  <c r="M8" i="180" s="1"/>
  <c r="N8" i="180" s="1"/>
  <c r="O8" i="180" s="1"/>
  <c r="P8" i="180" s="1"/>
  <c r="Q8" i="180" s="1"/>
  <c r="S20" i="180"/>
  <c r="R20" i="180"/>
  <c r="Q20" i="180"/>
  <c r="P20" i="180"/>
  <c r="O20" i="180"/>
  <c r="N20" i="180"/>
  <c r="S19" i="180"/>
  <c r="R19" i="180"/>
  <c r="Q19" i="180"/>
  <c r="P19" i="180"/>
  <c r="O19" i="180"/>
  <c r="S18" i="180"/>
  <c r="R18" i="180"/>
  <c r="Q18" i="180"/>
  <c r="P18" i="180"/>
  <c r="O18" i="180"/>
  <c r="N18" i="180"/>
  <c r="S17" i="180"/>
  <c r="R17" i="180"/>
  <c r="Q17" i="180"/>
  <c r="P17" i="180"/>
  <c r="O17" i="180"/>
  <c r="N17" i="180"/>
  <c r="S16" i="180"/>
  <c r="R16" i="180"/>
  <c r="Q16" i="180"/>
  <c r="P16" i="180"/>
  <c r="O16" i="180"/>
  <c r="N16" i="180"/>
  <c r="M16" i="180"/>
  <c r="L16" i="180"/>
  <c r="K16" i="180"/>
  <c r="J16" i="180"/>
  <c r="S15" i="180"/>
  <c r="R15" i="180"/>
  <c r="Q15" i="180"/>
  <c r="P15" i="180"/>
  <c r="O15" i="180"/>
  <c r="N15" i="180"/>
  <c r="M15" i="180"/>
  <c r="L15" i="180"/>
  <c r="O8" i="182" l="1"/>
  <c r="O8" i="214" s="1"/>
  <c r="R8" i="180"/>
  <c r="S8" i="180" s="1"/>
  <c r="S8" i="182" s="1"/>
  <c r="Q8" i="182"/>
  <c r="Q8" i="217" s="1"/>
  <c r="P8" i="214"/>
  <c r="P8" i="217"/>
  <c r="C10" i="175"/>
  <c r="Q8" i="214" l="1"/>
  <c r="O8" i="217"/>
  <c r="S8" i="214"/>
  <c r="S8" i="217"/>
  <c r="R8" i="182"/>
  <c r="P22" i="175"/>
  <c r="Q22" i="175"/>
  <c r="S22" i="175"/>
  <c r="O22" i="175"/>
  <c r="R22" i="175"/>
  <c r="R8" i="217" l="1"/>
  <c r="R8" i="214"/>
  <c r="G28" i="177"/>
  <c r="G15" i="175" s="1"/>
  <c r="G26" i="177"/>
  <c r="G24" i="177"/>
  <c r="G22" i="177"/>
  <c r="G20" i="177"/>
  <c r="G19" i="177"/>
  <c r="G15" i="177"/>
  <c r="G14" i="177"/>
  <c r="G13" i="177"/>
  <c r="G12" i="177"/>
  <c r="G11" i="177"/>
  <c r="G9" i="177"/>
  <c r="G8" i="177"/>
  <c r="G7" i="177"/>
  <c r="G6" i="177"/>
  <c r="G5" i="177"/>
  <c r="G11" i="186"/>
  <c r="F11" i="186"/>
  <c r="F5" i="212" s="1"/>
  <c r="E11" i="186"/>
  <c r="E5" i="212" s="1"/>
  <c r="D11" i="186"/>
  <c r="D5" i="212" s="1"/>
  <c r="C11" i="186"/>
  <c r="C5" i="212" s="1"/>
  <c r="G11" i="182"/>
  <c r="F11" i="182"/>
  <c r="G13" i="176"/>
  <c r="G26" i="178" s="1"/>
  <c r="I26" i="178" s="1"/>
  <c r="G12" i="176"/>
  <c r="G6" i="178" s="1"/>
  <c r="F13" i="176"/>
  <c r="C13" i="176"/>
  <c r="D13" i="176"/>
  <c r="D26" i="178" s="1"/>
  <c r="E13" i="176"/>
  <c r="E26" i="178" s="1"/>
  <c r="E6" i="182"/>
  <c r="D6" i="182"/>
  <c r="C6" i="182"/>
  <c r="F11" i="193"/>
  <c r="E11" i="193"/>
  <c r="D11" i="193"/>
  <c r="C11" i="193"/>
  <c r="C4" i="175"/>
  <c r="C6" i="175"/>
  <c r="C7" i="172"/>
  <c r="G12" i="172"/>
  <c r="G10" i="176" s="1"/>
  <c r="G11" i="172"/>
  <c r="J17" i="204"/>
  <c r="J13" i="204"/>
  <c r="J11" i="204"/>
  <c r="G13" i="204"/>
  <c r="G8" i="204"/>
  <c r="D15" i="204"/>
  <c r="D14" i="204"/>
  <c r="L17" i="204"/>
  <c r="L16" i="204"/>
  <c r="L12" i="204"/>
  <c r="L9" i="204"/>
  <c r="M9" i="204" s="1"/>
  <c r="L8" i="204"/>
  <c r="M8" i="204" s="1"/>
  <c r="I17" i="204"/>
  <c r="F17" i="204"/>
  <c r="G17" i="204" s="1"/>
  <c r="C17" i="204"/>
  <c r="D17" i="204" s="1"/>
  <c r="M17" i="204" s="1"/>
  <c r="I16" i="204"/>
  <c r="F16" i="204"/>
  <c r="C16" i="204"/>
  <c r="I15" i="204"/>
  <c r="J15" i="204" s="1"/>
  <c r="F15" i="204"/>
  <c r="G15" i="204" s="1"/>
  <c r="C15" i="204"/>
  <c r="L15" i="204" s="1"/>
  <c r="M15" i="204" s="1"/>
  <c r="I14" i="204"/>
  <c r="J14" i="204" s="1"/>
  <c r="F14" i="204"/>
  <c r="G14" i="204" s="1"/>
  <c r="C14" i="204"/>
  <c r="L14" i="204" s="1"/>
  <c r="M14" i="204" s="1"/>
  <c r="I13" i="204"/>
  <c r="F13" i="204"/>
  <c r="C13" i="204"/>
  <c r="D13" i="204" s="1"/>
  <c r="I12" i="204"/>
  <c r="F12" i="204"/>
  <c r="C12" i="204"/>
  <c r="I11" i="204"/>
  <c r="F11" i="204"/>
  <c r="G11" i="204" s="1"/>
  <c r="C11" i="204"/>
  <c r="D11" i="204" s="1"/>
  <c r="I10" i="204"/>
  <c r="J10" i="204" s="1"/>
  <c r="F10" i="204"/>
  <c r="G10" i="204" s="1"/>
  <c r="C10" i="204"/>
  <c r="D10" i="204" s="1"/>
  <c r="I9" i="204"/>
  <c r="J9" i="204" s="1"/>
  <c r="F9" i="204"/>
  <c r="G9" i="204" s="1"/>
  <c r="C9" i="204"/>
  <c r="D9" i="204" s="1"/>
  <c r="I8" i="204"/>
  <c r="J8" i="204" s="1"/>
  <c r="F8" i="204"/>
  <c r="C8" i="204"/>
  <c r="D8" i="204" s="1"/>
  <c r="I7" i="204"/>
  <c r="J7" i="204" s="1"/>
  <c r="F7" i="204"/>
  <c r="G7" i="204" s="1"/>
  <c r="G18" i="204" s="1"/>
  <c r="C7" i="204"/>
  <c r="L7" i="204" s="1"/>
  <c r="M7" i="204" s="1"/>
  <c r="J18" i="204" l="1"/>
  <c r="D6" i="217"/>
  <c r="D6" i="214"/>
  <c r="L10" i="204"/>
  <c r="M10" i="204" s="1"/>
  <c r="D7" i="204"/>
  <c r="E6" i="217"/>
  <c r="E6" i="214"/>
  <c r="L11" i="204"/>
  <c r="M11" i="204" s="1"/>
  <c r="C6" i="214"/>
  <c r="C6" i="217"/>
  <c r="F26" i="178"/>
  <c r="C9" i="222"/>
  <c r="L13" i="204"/>
  <c r="M13" i="204" s="1"/>
  <c r="C11" i="219"/>
  <c r="F4" i="212"/>
  <c r="F6" i="212" s="1"/>
  <c r="N13" i="172"/>
  <c r="M13" i="172"/>
  <c r="K13" i="172"/>
  <c r="L13" i="172"/>
  <c r="S13" i="172"/>
  <c r="Q13" i="172"/>
  <c r="P13" i="172"/>
  <c r="R13" i="172"/>
  <c r="J13" i="172"/>
  <c r="O13" i="172"/>
  <c r="N11" i="177"/>
  <c r="Q11" i="177"/>
  <c r="P11" i="177"/>
  <c r="O11" i="177"/>
  <c r="S11" i="177"/>
  <c r="R11" i="177"/>
  <c r="J12" i="177"/>
  <c r="Q12" i="177"/>
  <c r="S12" i="177"/>
  <c r="P12" i="177"/>
  <c r="O12" i="177"/>
  <c r="R12" i="177"/>
  <c r="L14" i="177"/>
  <c r="R14" i="177"/>
  <c r="S14" i="177"/>
  <c r="P14" i="177"/>
  <c r="O14" i="177"/>
  <c r="Q14" i="177"/>
  <c r="I6" i="177"/>
  <c r="R6" i="177"/>
  <c r="O6" i="177"/>
  <c r="Q6" i="177"/>
  <c r="S6" i="177"/>
  <c r="P6" i="177"/>
  <c r="M12" i="177"/>
  <c r="M14" i="177"/>
  <c r="K12" i="177"/>
  <c r="L12" i="177"/>
  <c r="N12" i="177"/>
  <c r="J11" i="177"/>
  <c r="J6" i="177"/>
  <c r="I11" i="177"/>
  <c r="N14" i="177"/>
  <c r="K6" i="177"/>
  <c r="I14" i="177"/>
  <c r="K11" i="177"/>
  <c r="N6" i="177"/>
  <c r="J14" i="177"/>
  <c r="L11" i="177"/>
  <c r="I12" i="177"/>
  <c r="K14" i="177"/>
  <c r="M11" i="177"/>
  <c r="G11" i="193"/>
  <c r="L22" i="175"/>
  <c r="C22" i="175"/>
  <c r="K22" i="175"/>
  <c r="J22" i="175"/>
  <c r="G22" i="175"/>
  <c r="F22" i="175"/>
  <c r="N22" i="175"/>
  <c r="E22" i="175"/>
  <c r="M22" i="175"/>
  <c r="D22" i="175"/>
  <c r="G17" i="177"/>
  <c r="L6" i="177"/>
  <c r="M6" i="177"/>
  <c r="G13" i="172"/>
  <c r="G8" i="206"/>
  <c r="F8" i="206"/>
  <c r="G7" i="169"/>
  <c r="G6" i="169"/>
  <c r="G5" i="169"/>
  <c r="I18" i="204"/>
  <c r="F18" i="204"/>
  <c r="C18" i="204"/>
  <c r="D9" i="203"/>
  <c r="G9" i="168"/>
  <c r="G26" i="168" s="1"/>
  <c r="G10" i="168"/>
  <c r="H7" i="168" s="1"/>
  <c r="G14" i="203"/>
  <c r="G10" i="203"/>
  <c r="D14" i="203"/>
  <c r="D12" i="203"/>
  <c r="D11" i="203"/>
  <c r="D10" i="203"/>
  <c r="D7" i="203"/>
  <c r="F16" i="203"/>
  <c r="G16" i="203" s="1"/>
  <c r="C16" i="203"/>
  <c r="D16" i="203" s="1"/>
  <c r="F15" i="203"/>
  <c r="G15" i="203" s="1"/>
  <c r="C15" i="203"/>
  <c r="D15" i="203" s="1"/>
  <c r="F14" i="203"/>
  <c r="C14" i="203"/>
  <c r="C13" i="203"/>
  <c r="D13" i="203" s="1"/>
  <c r="F13" i="203"/>
  <c r="G13" i="203" s="1"/>
  <c r="F12" i="203"/>
  <c r="G12" i="203" s="1"/>
  <c r="F11" i="203"/>
  <c r="G11" i="203" s="1"/>
  <c r="C11" i="203"/>
  <c r="F10" i="203"/>
  <c r="C10" i="203"/>
  <c r="F9" i="203"/>
  <c r="G9" i="203" s="1"/>
  <c r="C9" i="203"/>
  <c r="F8" i="203"/>
  <c r="G8" i="203" s="1"/>
  <c r="C8" i="203"/>
  <c r="D8" i="203" s="1"/>
  <c r="F7" i="203"/>
  <c r="G7" i="203" s="1"/>
  <c r="C7" i="203"/>
  <c r="L18" i="204" l="1"/>
  <c r="G8" i="169"/>
  <c r="M18" i="204"/>
  <c r="D18" i="204"/>
  <c r="G18" i="203"/>
  <c r="C18" i="203"/>
  <c r="F18" i="203"/>
  <c r="D18" i="203"/>
  <c r="B3" i="168" l="1"/>
  <c r="C7" i="197" l="1"/>
  <c r="D7" i="197" s="1"/>
  <c r="C17" i="197"/>
  <c r="C16" i="197"/>
  <c r="D16" i="197" s="1"/>
  <c r="C15" i="197"/>
  <c r="D15" i="197" s="1"/>
  <c r="C12" i="197"/>
  <c r="C14" i="197"/>
  <c r="C13" i="197"/>
  <c r="D13" i="197" s="1"/>
  <c r="C11" i="197"/>
  <c r="D11" i="197" s="1"/>
  <c r="C10" i="197"/>
  <c r="D10" i="197" s="1"/>
  <c r="C9" i="197"/>
  <c r="D9" i="197" s="1"/>
  <c r="C8" i="197"/>
  <c r="D8" i="197" s="1"/>
  <c r="G7" i="167"/>
  <c r="G8" i="176" s="1"/>
  <c r="F7" i="167"/>
  <c r="F8" i="176" s="1"/>
  <c r="E7" i="167"/>
  <c r="E8" i="176" s="1"/>
  <c r="D7" i="167"/>
  <c r="D8" i="176" s="1"/>
  <c r="C7" i="167"/>
  <c r="C8" i="176" s="1"/>
  <c r="G6" i="192"/>
  <c r="G5" i="192"/>
  <c r="G7" i="192" l="1"/>
  <c r="G9" i="192" s="1"/>
  <c r="D18" i="197"/>
  <c r="C18" i="197"/>
  <c r="E8" i="192"/>
  <c r="C8" i="192"/>
  <c r="D8" i="192"/>
  <c r="F6" i="192"/>
  <c r="E6" i="192"/>
  <c r="D6" i="192"/>
  <c r="C6" i="192"/>
  <c r="F5" i="192"/>
  <c r="E5" i="192"/>
  <c r="D5" i="192"/>
  <c r="C5" i="192"/>
  <c r="C7" i="192" s="1"/>
  <c r="C9" i="192" s="1"/>
  <c r="N12" i="191"/>
  <c r="M12" i="191"/>
  <c r="L12" i="191"/>
  <c r="K12" i="191"/>
  <c r="J12" i="191"/>
  <c r="N22" i="191"/>
  <c r="M22" i="191"/>
  <c r="L22" i="191"/>
  <c r="K22" i="191"/>
  <c r="J22" i="191"/>
  <c r="N16" i="191"/>
  <c r="M16" i="191"/>
  <c r="L16" i="191"/>
  <c r="K16" i="191"/>
  <c r="J16" i="191"/>
  <c r="I8" i="191"/>
  <c r="E8" i="206"/>
  <c r="D8" i="206"/>
  <c r="C8" i="206"/>
  <c r="G6" i="191"/>
  <c r="G5" i="191"/>
  <c r="F6" i="191"/>
  <c r="F5" i="191"/>
  <c r="E6" i="191"/>
  <c r="E5" i="191"/>
  <c r="E5" i="206" s="1"/>
  <c r="D6" i="191"/>
  <c r="D5" i="191"/>
  <c r="D5" i="206" s="1"/>
  <c r="C6" i="191"/>
  <c r="C6" i="206" s="1"/>
  <c r="C5" i="191"/>
  <c r="D7" i="192" l="1"/>
  <c r="D9" i="192" s="1"/>
  <c r="E7" i="192"/>
  <c r="E9" i="192" s="1"/>
  <c r="F7" i="192"/>
  <c r="F9" i="192" s="1"/>
  <c r="E6" i="206"/>
  <c r="E7" i="206" s="1"/>
  <c r="F5" i="206"/>
  <c r="F6" i="206"/>
  <c r="D6" i="206"/>
  <c r="D7" i="206" s="1"/>
  <c r="C5" i="206"/>
  <c r="C7" i="206" s="1"/>
  <c r="C6" i="176" s="1"/>
  <c r="H5" i="191"/>
  <c r="G5" i="206"/>
  <c r="H6" i="191"/>
  <c r="I6" i="191" s="1"/>
  <c r="G6" i="206"/>
  <c r="S17" i="167"/>
  <c r="K17" i="167"/>
  <c r="P17" i="167"/>
  <c r="M17" i="167"/>
  <c r="L17" i="167"/>
  <c r="R17" i="167"/>
  <c r="J17" i="167"/>
  <c r="Q17" i="167"/>
  <c r="O17" i="167"/>
  <c r="N17" i="167"/>
  <c r="E7" i="191"/>
  <c r="E9" i="191" s="1"/>
  <c r="D7" i="191"/>
  <c r="D9" i="191" s="1"/>
  <c r="F7" i="191"/>
  <c r="C7" i="191"/>
  <c r="C9" i="191" s="1"/>
  <c r="C12" i="192" s="1"/>
  <c r="G7" i="191"/>
  <c r="G9" i="191" s="1"/>
  <c r="G5" i="167" s="1"/>
  <c r="F11" i="185"/>
  <c r="E11" i="185"/>
  <c r="D11" i="185"/>
  <c r="H11" i="185" s="1"/>
  <c r="F10" i="185"/>
  <c r="E10" i="185"/>
  <c r="D10" i="185"/>
  <c r="H10" i="185" s="1"/>
  <c r="F9" i="185"/>
  <c r="E9" i="185"/>
  <c r="D9" i="185"/>
  <c r="H9" i="185" s="1"/>
  <c r="F8" i="185"/>
  <c r="H8" i="185" s="1"/>
  <c r="F7" i="185"/>
  <c r="H7" i="185" s="1"/>
  <c r="F6" i="185"/>
  <c r="E6" i="185"/>
  <c r="D6" i="185"/>
  <c r="H6" i="185" s="1"/>
  <c r="E12" i="192" l="1"/>
  <c r="H7" i="191"/>
  <c r="H9" i="191" s="1"/>
  <c r="C9" i="206"/>
  <c r="R30" i="186"/>
  <c r="P30" i="186"/>
  <c r="Q30" i="186"/>
  <c r="S30" i="186"/>
  <c r="O30" i="186"/>
  <c r="L30" i="186"/>
  <c r="K30" i="186"/>
  <c r="G30" i="186"/>
  <c r="N30" i="186"/>
  <c r="M30" i="186"/>
  <c r="J30" i="186"/>
  <c r="H30" i="186"/>
  <c r="I30" i="186"/>
  <c r="S35" i="186"/>
  <c r="O35" i="186"/>
  <c r="P35" i="186"/>
  <c r="Q35" i="186"/>
  <c r="R35" i="186"/>
  <c r="N35" i="186"/>
  <c r="M35" i="186"/>
  <c r="I35" i="186"/>
  <c r="H35" i="186"/>
  <c r="L35" i="186"/>
  <c r="K35" i="186"/>
  <c r="G35" i="186"/>
  <c r="J35" i="186"/>
  <c r="R34" i="186"/>
  <c r="S34" i="186"/>
  <c r="O34" i="186"/>
  <c r="P34" i="186"/>
  <c r="Q34" i="186"/>
  <c r="L34" i="186"/>
  <c r="K34" i="186"/>
  <c r="G34" i="186"/>
  <c r="J34" i="186"/>
  <c r="I34" i="186"/>
  <c r="H34" i="186"/>
  <c r="N34" i="186"/>
  <c r="M34" i="186"/>
  <c r="Q31" i="186"/>
  <c r="P31" i="186"/>
  <c r="R31" i="186"/>
  <c r="S31" i="186"/>
  <c r="O31" i="186"/>
  <c r="N31" i="186"/>
  <c r="H31" i="186"/>
  <c r="M31" i="186"/>
  <c r="J31" i="186"/>
  <c r="I31" i="186"/>
  <c r="G31" i="186"/>
  <c r="L31" i="186"/>
  <c r="K31" i="186"/>
  <c r="O32" i="186"/>
  <c r="R32" i="186"/>
  <c r="S32" i="186"/>
  <c r="P32" i="186"/>
  <c r="Q32" i="186"/>
  <c r="G32" i="186"/>
  <c r="H32" i="186"/>
  <c r="K32" i="186"/>
  <c r="J32" i="186"/>
  <c r="N32" i="186"/>
  <c r="M32" i="186"/>
  <c r="L32" i="186"/>
  <c r="I32" i="186"/>
  <c r="D6" i="176"/>
  <c r="D9" i="206"/>
  <c r="R33" i="186"/>
  <c r="Q33" i="186"/>
  <c r="S33" i="186"/>
  <c r="O33" i="186"/>
  <c r="P33" i="186"/>
  <c r="J33" i="186"/>
  <c r="I33" i="186"/>
  <c r="N33" i="186"/>
  <c r="H33" i="186"/>
  <c r="L33" i="186"/>
  <c r="M33" i="186"/>
  <c r="G33" i="186"/>
  <c r="K33" i="186"/>
  <c r="E6" i="176"/>
  <c r="E9" i="206"/>
  <c r="R10" i="167"/>
  <c r="R6" i="167" s="1"/>
  <c r="R14" i="167"/>
  <c r="R20" i="167"/>
  <c r="L20" i="167"/>
  <c r="L14" i="167"/>
  <c r="S14" i="167"/>
  <c r="S20" i="167"/>
  <c r="S10" i="167"/>
  <c r="S6" i="167" s="1"/>
  <c r="F9" i="191"/>
  <c r="F19" i="191" s="1"/>
  <c r="F5" i="176"/>
  <c r="F5" i="216" s="1"/>
  <c r="Q20" i="167"/>
  <c r="Q14" i="167"/>
  <c r="Q10" i="167"/>
  <c r="Q6" i="167" s="1"/>
  <c r="J14" i="167"/>
  <c r="J20" i="167"/>
  <c r="I5" i="191"/>
  <c r="I7" i="191" s="1"/>
  <c r="M20" i="167"/>
  <c r="M14" i="167"/>
  <c r="G7" i="206"/>
  <c r="G9" i="206" s="1"/>
  <c r="F7" i="206"/>
  <c r="O14" i="167"/>
  <c r="O20" i="167"/>
  <c r="O10" i="167"/>
  <c r="O6" i="167" s="1"/>
  <c r="P14" i="167"/>
  <c r="P20" i="167"/>
  <c r="P10" i="167"/>
  <c r="P6" i="167" s="1"/>
  <c r="N20" i="167"/>
  <c r="N14" i="167"/>
  <c r="K14" i="167"/>
  <c r="K20" i="167"/>
  <c r="D19" i="191"/>
  <c r="D12" i="192"/>
  <c r="E19" i="191"/>
  <c r="N19" i="182"/>
  <c r="M19" i="182"/>
  <c r="L19" i="182"/>
  <c r="K19" i="182"/>
  <c r="J19" i="182"/>
  <c r="J10" i="182" s="1"/>
  <c r="I19" i="182"/>
  <c r="N18" i="182"/>
  <c r="M18" i="182"/>
  <c r="L18" i="182"/>
  <c r="K18" i="182"/>
  <c r="J18" i="182"/>
  <c r="J9" i="182" s="1"/>
  <c r="I18" i="182"/>
  <c r="N17" i="182"/>
  <c r="M17" i="182"/>
  <c r="L17" i="182"/>
  <c r="K17" i="182"/>
  <c r="K8" i="182" s="1"/>
  <c r="J17" i="182"/>
  <c r="J8" i="182" s="1"/>
  <c r="I17" i="182"/>
  <c r="N16" i="182"/>
  <c r="M16" i="182"/>
  <c r="L16" i="182"/>
  <c r="K16" i="182"/>
  <c r="J16" i="182"/>
  <c r="I16" i="182"/>
  <c r="N15" i="182"/>
  <c r="M15" i="182"/>
  <c r="L15" i="182"/>
  <c r="K15" i="182"/>
  <c r="J15" i="182"/>
  <c r="I15" i="182"/>
  <c r="N14" i="182"/>
  <c r="M14" i="182"/>
  <c r="L14" i="182"/>
  <c r="K14" i="182"/>
  <c r="J14" i="182"/>
  <c r="J5" i="182" s="1"/>
  <c r="I14" i="182"/>
  <c r="H10" i="182"/>
  <c r="G10" i="182"/>
  <c r="F10" i="182"/>
  <c r="E10" i="182"/>
  <c r="D10" i="182"/>
  <c r="C10" i="182"/>
  <c r="H9" i="182"/>
  <c r="G9" i="182"/>
  <c r="F9" i="182"/>
  <c r="E9" i="182"/>
  <c r="D9" i="182"/>
  <c r="C9" i="182"/>
  <c r="H8" i="182"/>
  <c r="G8" i="182"/>
  <c r="F8" i="182"/>
  <c r="E8" i="182"/>
  <c r="D8" i="182"/>
  <c r="C8" i="182"/>
  <c r="H7" i="182"/>
  <c r="G7" i="182"/>
  <c r="F7" i="182"/>
  <c r="E7" i="182"/>
  <c r="D7" i="182"/>
  <c r="C7" i="182"/>
  <c r="T6" i="182"/>
  <c r="F11" i="180"/>
  <c r="E11" i="180"/>
  <c r="D11" i="180"/>
  <c r="C11" i="180"/>
  <c r="J7" i="180"/>
  <c r="K5" i="180"/>
  <c r="L5" i="180" s="1"/>
  <c r="M5" i="180" s="1"/>
  <c r="N5" i="180" s="1"/>
  <c r="O5" i="180" s="1"/>
  <c r="J5" i="180"/>
  <c r="F16" i="180"/>
  <c r="E16" i="180"/>
  <c r="D16" i="180"/>
  <c r="H5" i="180"/>
  <c r="H11" i="180" s="1"/>
  <c r="G6" i="180"/>
  <c r="I6" i="180" s="1"/>
  <c r="I10" i="180"/>
  <c r="I9" i="180"/>
  <c r="I8" i="180"/>
  <c r="I7" i="180"/>
  <c r="I9" i="182" l="1"/>
  <c r="C13" i="209" s="1"/>
  <c r="I9" i="191"/>
  <c r="J7" i="191"/>
  <c r="P5" i="180"/>
  <c r="O5" i="182"/>
  <c r="P17" i="186"/>
  <c r="P8" i="186" s="1"/>
  <c r="P8" i="193" s="1"/>
  <c r="P25" i="186"/>
  <c r="P41" i="186"/>
  <c r="P27" i="186"/>
  <c r="P43" i="186"/>
  <c r="P19" i="186"/>
  <c r="H9" i="217"/>
  <c r="H9" i="214"/>
  <c r="H15" i="214" s="1"/>
  <c r="M24" i="186"/>
  <c r="M40" i="186"/>
  <c r="M16" i="186"/>
  <c r="M18" i="186"/>
  <c r="M26" i="186"/>
  <c r="M42" i="186"/>
  <c r="O19" i="186"/>
  <c r="O27" i="186"/>
  <c r="O43" i="186"/>
  <c r="C10" i="214"/>
  <c r="C10" i="217"/>
  <c r="R16" i="186"/>
  <c r="R40" i="186"/>
  <c r="R24" i="186"/>
  <c r="L22" i="186"/>
  <c r="L38" i="186"/>
  <c r="L14" i="186"/>
  <c r="H8" i="217"/>
  <c r="H8" i="214"/>
  <c r="D10" i="217"/>
  <c r="D10" i="214"/>
  <c r="D11" i="214" s="1"/>
  <c r="L41" i="186"/>
  <c r="L25" i="186"/>
  <c r="L17" i="186"/>
  <c r="J24" i="186"/>
  <c r="J40" i="186"/>
  <c r="J16" i="186"/>
  <c r="O18" i="186"/>
  <c r="O42" i="186"/>
  <c r="O26" i="186"/>
  <c r="I22" i="186"/>
  <c r="I38" i="186"/>
  <c r="I14" i="186"/>
  <c r="G7" i="217"/>
  <c r="G7" i="214"/>
  <c r="E10" i="217"/>
  <c r="E10" i="214"/>
  <c r="H25" i="186"/>
  <c r="H41" i="186"/>
  <c r="H17" i="186"/>
  <c r="H8" i="186" s="1"/>
  <c r="H8" i="193" s="1"/>
  <c r="R25" i="186"/>
  <c r="R41" i="186"/>
  <c r="R17" i="186"/>
  <c r="R8" i="186" s="1"/>
  <c r="R8" i="193" s="1"/>
  <c r="K40" i="186"/>
  <c r="K24" i="186"/>
  <c r="K16" i="186"/>
  <c r="K23" i="186"/>
  <c r="K39" i="186"/>
  <c r="K15" i="186"/>
  <c r="O23" i="186"/>
  <c r="O39" i="186"/>
  <c r="O15" i="186"/>
  <c r="I42" i="186"/>
  <c r="I26" i="186"/>
  <c r="I18" i="186"/>
  <c r="S18" i="186"/>
  <c r="S26" i="186"/>
  <c r="S42" i="186"/>
  <c r="M19" i="186"/>
  <c r="M27" i="186"/>
  <c r="M43" i="186"/>
  <c r="H22" i="186"/>
  <c r="H38" i="186"/>
  <c r="H14" i="186"/>
  <c r="S14" i="186"/>
  <c r="S38" i="186"/>
  <c r="S22" i="186"/>
  <c r="C7" i="217"/>
  <c r="C7" i="214"/>
  <c r="F12" i="192"/>
  <c r="M18" i="192" s="1"/>
  <c r="F5" i="167"/>
  <c r="F6" i="167" s="1"/>
  <c r="P16" i="186"/>
  <c r="P24" i="186"/>
  <c r="P40" i="186"/>
  <c r="Q23" i="186"/>
  <c r="Q39" i="186"/>
  <c r="Q15" i="186"/>
  <c r="G22" i="186"/>
  <c r="G38" i="186"/>
  <c r="G14" i="186"/>
  <c r="D7" i="217"/>
  <c r="D7" i="214"/>
  <c r="Q18" i="186"/>
  <c r="Q42" i="186"/>
  <c r="Q26" i="186"/>
  <c r="G8" i="214"/>
  <c r="G8" i="217"/>
  <c r="N16" i="186"/>
  <c r="N24" i="186"/>
  <c r="N40" i="186"/>
  <c r="N42" i="186"/>
  <c r="N26" i="186"/>
  <c r="N18" i="186"/>
  <c r="S19" i="186"/>
  <c r="S27" i="186"/>
  <c r="S43" i="186"/>
  <c r="L5" i="182"/>
  <c r="L5" i="214" s="1"/>
  <c r="Q17" i="186"/>
  <c r="Q8" i="186" s="1"/>
  <c r="Q8" i="193" s="1"/>
  <c r="Q25" i="186"/>
  <c r="Q41" i="186"/>
  <c r="O24" i="186"/>
  <c r="O40" i="186"/>
  <c r="O16" i="186"/>
  <c r="I27" i="186"/>
  <c r="I43" i="186"/>
  <c r="I19" i="186"/>
  <c r="O14" i="186"/>
  <c r="O5" i="186" s="1"/>
  <c r="O22" i="186"/>
  <c r="O38" i="186"/>
  <c r="C9" i="214"/>
  <c r="C9" i="217"/>
  <c r="C7" i="219"/>
  <c r="C3" i="219"/>
  <c r="H7" i="217"/>
  <c r="H7" i="214"/>
  <c r="D9" i="217"/>
  <c r="D9" i="214"/>
  <c r="F10" i="217"/>
  <c r="F10" i="214"/>
  <c r="F6" i="176"/>
  <c r="F9" i="206"/>
  <c r="N17" i="186"/>
  <c r="N41" i="186"/>
  <c r="N25" i="186"/>
  <c r="H40" i="186"/>
  <c r="H24" i="186"/>
  <c r="H16" i="186"/>
  <c r="H7" i="186" s="1"/>
  <c r="H7" i="193" s="1"/>
  <c r="L15" i="186"/>
  <c r="L23" i="186"/>
  <c r="L39" i="186"/>
  <c r="S15" i="186"/>
  <c r="S23" i="186"/>
  <c r="S39" i="186"/>
  <c r="J18" i="186"/>
  <c r="J42" i="186"/>
  <c r="J26" i="186"/>
  <c r="R26" i="186"/>
  <c r="R42" i="186"/>
  <c r="R18" i="186"/>
  <c r="N19" i="186"/>
  <c r="N27" i="186"/>
  <c r="N43" i="186"/>
  <c r="J14" i="186"/>
  <c r="J5" i="186" s="1"/>
  <c r="J5" i="193" s="1"/>
  <c r="J38" i="186"/>
  <c r="J22" i="186"/>
  <c r="Q22" i="186"/>
  <c r="Q38" i="186"/>
  <c r="Q14" i="186"/>
  <c r="G9" i="217"/>
  <c r="G9" i="214"/>
  <c r="K41" i="186"/>
  <c r="K25" i="186"/>
  <c r="K17" i="186"/>
  <c r="K8" i="186" s="1"/>
  <c r="K8" i="193" s="1"/>
  <c r="J23" i="186"/>
  <c r="J39" i="186"/>
  <c r="J15" i="186"/>
  <c r="K43" i="186"/>
  <c r="K27" i="186"/>
  <c r="K19" i="186"/>
  <c r="O17" i="186"/>
  <c r="O8" i="186" s="1"/>
  <c r="O8" i="193" s="1"/>
  <c r="O25" i="186"/>
  <c r="O41" i="186"/>
  <c r="S40" i="186"/>
  <c r="S24" i="186"/>
  <c r="S16" i="186"/>
  <c r="L19" i="186"/>
  <c r="L43" i="186"/>
  <c r="L27" i="186"/>
  <c r="M25" i="186"/>
  <c r="M41" i="186"/>
  <c r="M17" i="186"/>
  <c r="P26" i="186"/>
  <c r="P42" i="186"/>
  <c r="P18" i="186"/>
  <c r="N39" i="186"/>
  <c r="N23" i="186"/>
  <c r="N15" i="186"/>
  <c r="E9" i="217"/>
  <c r="E9" i="214"/>
  <c r="G10" i="217"/>
  <c r="G10" i="214"/>
  <c r="I17" i="186"/>
  <c r="I25" i="186"/>
  <c r="I41" i="186"/>
  <c r="G24" i="186"/>
  <c r="G40" i="186"/>
  <c r="G16" i="186"/>
  <c r="G7" i="186" s="1"/>
  <c r="G39" i="186"/>
  <c r="G23" i="186"/>
  <c r="G15" i="186"/>
  <c r="R15" i="186"/>
  <c r="R23" i="186"/>
  <c r="R39" i="186"/>
  <c r="G42" i="186"/>
  <c r="G26" i="186"/>
  <c r="G18" i="186"/>
  <c r="G9" i="186" s="1"/>
  <c r="J43" i="186"/>
  <c r="J27" i="186"/>
  <c r="J19" i="186"/>
  <c r="J10" i="186" s="1"/>
  <c r="J10" i="193" s="1"/>
  <c r="R19" i="186"/>
  <c r="R43" i="186"/>
  <c r="R27" i="186"/>
  <c r="M14" i="186"/>
  <c r="M38" i="186"/>
  <c r="M22" i="186"/>
  <c r="P22" i="186"/>
  <c r="P38" i="186"/>
  <c r="P14" i="186"/>
  <c r="E8" i="217"/>
  <c r="E8" i="214"/>
  <c r="L24" i="186"/>
  <c r="L40" i="186"/>
  <c r="L16" i="186"/>
  <c r="L26" i="186"/>
  <c r="L42" i="186"/>
  <c r="L18" i="186"/>
  <c r="F8" i="217"/>
  <c r="F8" i="214"/>
  <c r="G25" i="186"/>
  <c r="G41" i="186"/>
  <c r="G17" i="186"/>
  <c r="G8" i="186" s="1"/>
  <c r="M15" i="186"/>
  <c r="M39" i="186"/>
  <c r="M23" i="186"/>
  <c r="K14" i="186"/>
  <c r="K38" i="186"/>
  <c r="K22" i="186"/>
  <c r="E7" i="214"/>
  <c r="E7" i="217"/>
  <c r="E11" i="217" s="1"/>
  <c r="S41" i="186"/>
  <c r="S25" i="186"/>
  <c r="S17" i="186"/>
  <c r="S8" i="186" s="1"/>
  <c r="S8" i="193" s="1"/>
  <c r="H39" i="186"/>
  <c r="H23" i="186"/>
  <c r="H15" i="186"/>
  <c r="H27" i="186"/>
  <c r="H43" i="186"/>
  <c r="H19" i="186"/>
  <c r="H10" i="186" s="1"/>
  <c r="H10" i="193" s="1"/>
  <c r="F7" i="217"/>
  <c r="F7" i="214"/>
  <c r="H26" i="186"/>
  <c r="H42" i="186"/>
  <c r="H18" i="186"/>
  <c r="H9" i="186" s="1"/>
  <c r="H9" i="193" s="1"/>
  <c r="C8" i="217"/>
  <c r="C8" i="214"/>
  <c r="I6" i="182"/>
  <c r="H6" i="182"/>
  <c r="D8" i="217"/>
  <c r="D8" i="214"/>
  <c r="F9" i="217"/>
  <c r="F9" i="214"/>
  <c r="H10" i="217"/>
  <c r="H10" i="214"/>
  <c r="H16" i="214" s="1"/>
  <c r="J25" i="186"/>
  <c r="J41" i="186"/>
  <c r="J17" i="186"/>
  <c r="J8" i="186" s="1"/>
  <c r="J8" i="193" s="1"/>
  <c r="I40" i="186"/>
  <c r="I24" i="186"/>
  <c r="I16" i="186"/>
  <c r="Q16" i="186"/>
  <c r="Q40" i="186"/>
  <c r="Q24" i="186"/>
  <c r="I39" i="186"/>
  <c r="I23" i="186"/>
  <c r="I15" i="186"/>
  <c r="P39" i="186"/>
  <c r="P23" i="186"/>
  <c r="P15" i="186"/>
  <c r="K18" i="186"/>
  <c r="K26" i="186"/>
  <c r="K42" i="186"/>
  <c r="G27" i="186"/>
  <c r="G43" i="186"/>
  <c r="G19" i="186"/>
  <c r="G10" i="186" s="1"/>
  <c r="Q19" i="186"/>
  <c r="Q43" i="186"/>
  <c r="Q27" i="186"/>
  <c r="N22" i="186"/>
  <c r="N38" i="186"/>
  <c r="N14" i="186"/>
  <c r="R38" i="186"/>
  <c r="R22" i="186"/>
  <c r="R14" i="186"/>
  <c r="J8" i="214"/>
  <c r="J8" i="217"/>
  <c r="K8" i="214"/>
  <c r="K8" i="217"/>
  <c r="I6" i="217"/>
  <c r="I6" i="214"/>
  <c r="J10" i="214"/>
  <c r="J16" i="214" s="1"/>
  <c r="J10" i="217"/>
  <c r="J5" i="217"/>
  <c r="J5" i="214"/>
  <c r="J9" i="214"/>
  <c r="J15" i="214" s="1"/>
  <c r="J9" i="217"/>
  <c r="I9" i="214"/>
  <c r="I15" i="214" s="1"/>
  <c r="I9" i="217"/>
  <c r="I10" i="182"/>
  <c r="C31" i="209"/>
  <c r="J9" i="186"/>
  <c r="J9" i="193" s="1"/>
  <c r="K5" i="182"/>
  <c r="I8" i="182"/>
  <c r="J7" i="182"/>
  <c r="N5" i="182"/>
  <c r="I7" i="182"/>
  <c r="N18" i="192"/>
  <c r="N22" i="192" s="1"/>
  <c r="M5" i="182"/>
  <c r="E11" i="182"/>
  <c r="E4" i="212" s="1"/>
  <c r="E6" i="212" s="1"/>
  <c r="D11" i="182"/>
  <c r="D4" i="212" s="1"/>
  <c r="D6" i="212" s="1"/>
  <c r="K15" i="180"/>
  <c r="M19" i="180" s="1"/>
  <c r="N19" i="180"/>
  <c r="G11" i="180"/>
  <c r="L5" i="186" l="1"/>
  <c r="L5" i="193" s="1"/>
  <c r="L5" i="217"/>
  <c r="G10" i="193"/>
  <c r="I10" i="186"/>
  <c r="I10" i="193" s="1"/>
  <c r="G7" i="193"/>
  <c r="I7" i="186"/>
  <c r="I7" i="193" s="1"/>
  <c r="G8" i="193"/>
  <c r="I8" i="186"/>
  <c r="I8" i="193" s="1"/>
  <c r="M22" i="192"/>
  <c r="M15" i="192"/>
  <c r="M12" i="192"/>
  <c r="G9" i="193"/>
  <c r="I9" i="186"/>
  <c r="I9" i="193" s="1"/>
  <c r="H5" i="217"/>
  <c r="H5" i="214"/>
  <c r="L18" i="192"/>
  <c r="L22" i="192" s="1"/>
  <c r="C11" i="214"/>
  <c r="K18" i="192"/>
  <c r="K22" i="192" s="1"/>
  <c r="D11" i="217"/>
  <c r="Q5" i="180"/>
  <c r="P5" i="182"/>
  <c r="P5" i="186" s="1"/>
  <c r="C11" i="217"/>
  <c r="O5" i="217"/>
  <c r="O5" i="214"/>
  <c r="O5" i="193"/>
  <c r="O18" i="192"/>
  <c r="J9" i="191"/>
  <c r="K7" i="191"/>
  <c r="E11" i="214"/>
  <c r="H6" i="186"/>
  <c r="H6" i="193" s="1"/>
  <c r="H6" i="217"/>
  <c r="H6" i="214"/>
  <c r="S18" i="192"/>
  <c r="R18" i="192"/>
  <c r="P18" i="192"/>
  <c r="J18" i="192"/>
  <c r="I18" i="192"/>
  <c r="I22" i="192" s="1"/>
  <c r="Q18" i="192"/>
  <c r="N5" i="186"/>
  <c r="N5" i="193" s="1"/>
  <c r="N5" i="214"/>
  <c r="N5" i="217"/>
  <c r="I7" i="217"/>
  <c r="I7" i="214"/>
  <c r="J7" i="214"/>
  <c r="J7" i="217"/>
  <c r="M5" i="186"/>
  <c r="M5" i="193" s="1"/>
  <c r="M5" i="214"/>
  <c r="M5" i="217"/>
  <c r="C12" i="209"/>
  <c r="I8" i="214"/>
  <c r="I8" i="217"/>
  <c r="K5" i="217"/>
  <c r="K5" i="214"/>
  <c r="C14" i="209"/>
  <c r="I10" i="214"/>
  <c r="I16" i="214" s="1"/>
  <c r="I10" i="217"/>
  <c r="J7" i="186"/>
  <c r="J7" i="193" s="1"/>
  <c r="C11" i="209"/>
  <c r="K5" i="186"/>
  <c r="K5" i="193" s="1"/>
  <c r="C28" i="209"/>
  <c r="D5" i="167"/>
  <c r="D6" i="167" s="1"/>
  <c r="D5" i="176"/>
  <c r="D5" i="216" s="1"/>
  <c r="E5" i="167"/>
  <c r="E6" i="167" s="1"/>
  <c r="E5" i="176"/>
  <c r="E5" i="216" s="1"/>
  <c r="N15" i="192"/>
  <c r="N12" i="192"/>
  <c r="I15" i="192"/>
  <c r="I12" i="192"/>
  <c r="I9" i="192" s="1"/>
  <c r="I9" i="206" s="1"/>
  <c r="H9" i="206" s="1"/>
  <c r="G6" i="176"/>
  <c r="C11" i="182"/>
  <c r="H11" i="182"/>
  <c r="H5" i="186"/>
  <c r="H5" i="193" s="1"/>
  <c r="M17" i="180"/>
  <c r="H11" i="193" l="1"/>
  <c r="P15" i="192"/>
  <c r="P12" i="192"/>
  <c r="P22" i="192"/>
  <c r="O15" i="192"/>
  <c r="O22" i="192"/>
  <c r="O12" i="192"/>
  <c r="L7" i="191"/>
  <c r="K9" i="191"/>
  <c r="L15" i="192"/>
  <c r="S22" i="192"/>
  <c r="S12" i="192"/>
  <c r="S15" i="192"/>
  <c r="H11" i="217"/>
  <c r="C5" i="167"/>
  <c r="C6" i="167" s="1"/>
  <c r="C4" i="212"/>
  <c r="C6" i="212" s="1"/>
  <c r="K12" i="192"/>
  <c r="K9" i="192" s="1"/>
  <c r="K9" i="206" s="1"/>
  <c r="R5" i="180"/>
  <c r="Q5" i="182"/>
  <c r="K15" i="192"/>
  <c r="H11" i="214"/>
  <c r="H14" i="214"/>
  <c r="H17" i="214" s="1"/>
  <c r="P5" i="214"/>
  <c r="P5" i="217"/>
  <c r="P5" i="193"/>
  <c r="Q15" i="192"/>
  <c r="Q22" i="192"/>
  <c r="Q12" i="192"/>
  <c r="R22" i="192"/>
  <c r="R12" i="192"/>
  <c r="R15" i="192"/>
  <c r="J15" i="192"/>
  <c r="J22" i="192"/>
  <c r="J12" i="192"/>
  <c r="J9" i="192" s="1"/>
  <c r="J9" i="206" s="1"/>
  <c r="L12" i="192"/>
  <c r="H5" i="167"/>
  <c r="I5" i="167" s="1"/>
  <c r="H5" i="176"/>
  <c r="H5" i="216" s="1"/>
  <c r="G5" i="176"/>
  <c r="G5" i="216" s="1"/>
  <c r="C5" i="176"/>
  <c r="C5" i="216" s="1"/>
  <c r="H11" i="186"/>
  <c r="I11" i="186" s="1"/>
  <c r="I5" i="212" s="1"/>
  <c r="H6" i="176" l="1"/>
  <c r="I6" i="176" s="1"/>
  <c r="C5" i="222" s="1"/>
  <c r="Q5" i="217"/>
  <c r="Q5" i="214"/>
  <c r="Q5" i="186"/>
  <c r="L9" i="191"/>
  <c r="L9" i="192" s="1"/>
  <c r="L9" i="206" s="1"/>
  <c r="M7" i="191"/>
  <c r="S5" i="180"/>
  <c r="R5" i="182"/>
  <c r="G16" i="177"/>
  <c r="G25" i="177"/>
  <c r="G10" i="177"/>
  <c r="G23" i="177"/>
  <c r="G21" i="177"/>
  <c r="G27" i="177"/>
  <c r="G29" i="168"/>
  <c r="I5" i="176"/>
  <c r="C4" i="222" s="1"/>
  <c r="H17" i="167"/>
  <c r="G6" i="167"/>
  <c r="J10" i="167"/>
  <c r="J6" i="167" s="1"/>
  <c r="M9" i="191" l="1"/>
  <c r="M9" i="192" s="1"/>
  <c r="M9" i="206" s="1"/>
  <c r="N7" i="191"/>
  <c r="R5" i="217"/>
  <c r="R5" i="214"/>
  <c r="R5" i="186"/>
  <c r="Q5" i="193"/>
  <c r="S5" i="182"/>
  <c r="I5" i="216"/>
  <c r="N10" i="167"/>
  <c r="N6" i="167" s="1"/>
  <c r="H10" i="167"/>
  <c r="H6" i="167" s="1"/>
  <c r="H7" i="167" s="1"/>
  <c r="H20" i="167"/>
  <c r="H14" i="167"/>
  <c r="L10" i="167"/>
  <c r="L6" i="167" s="1"/>
  <c r="M10" i="167"/>
  <c r="M6" i="167" s="1"/>
  <c r="K10" i="167"/>
  <c r="K6" i="167" s="1"/>
  <c r="I5" i="180"/>
  <c r="G13" i="169"/>
  <c r="G12" i="169"/>
  <c r="G11" i="169"/>
  <c r="G31" i="154"/>
  <c r="G32" i="177" s="1"/>
  <c r="G16" i="175" s="1"/>
  <c r="G29" i="154"/>
  <c r="G29" i="177" s="1"/>
  <c r="G26" i="154"/>
  <c r="G37" i="154" s="1"/>
  <c r="G9" i="154"/>
  <c r="G17" i="154" s="1"/>
  <c r="G32" i="155"/>
  <c r="G7" i="155"/>
  <c r="G11" i="155" s="1"/>
  <c r="G15" i="155" s="1"/>
  <c r="F14" i="154"/>
  <c r="G14" i="169" l="1"/>
  <c r="R5" i="193"/>
  <c r="S5" i="214"/>
  <c r="S5" i="217"/>
  <c r="S5" i="186"/>
  <c r="N9" i="191"/>
  <c r="N9" i="192" s="1"/>
  <c r="N9" i="206" s="1"/>
  <c r="O7" i="191"/>
  <c r="G30" i="154"/>
  <c r="G33" i="154" s="1"/>
  <c r="G31" i="177"/>
  <c r="G30" i="177"/>
  <c r="G19" i="175"/>
  <c r="G18" i="175"/>
  <c r="H8" i="176"/>
  <c r="I8" i="176" s="1"/>
  <c r="I7" i="167"/>
  <c r="C6" i="222" s="1"/>
  <c r="I15" i="180"/>
  <c r="I5" i="182"/>
  <c r="I11" i="180"/>
  <c r="C8" i="219" s="1"/>
  <c r="C12" i="219" s="1"/>
  <c r="J15" i="180"/>
  <c r="G38" i="154"/>
  <c r="G42" i="154"/>
  <c r="G19" i="155"/>
  <c r="G21" i="155" s="1"/>
  <c r="G23" i="155" s="1"/>
  <c r="G17" i="176" s="1"/>
  <c r="G44" i="154" l="1"/>
  <c r="P7" i="191"/>
  <c r="O9" i="191"/>
  <c r="S5" i="193"/>
  <c r="I5" i="217"/>
  <c r="I11" i="217" s="1"/>
  <c r="I5" i="214"/>
  <c r="I11" i="182"/>
  <c r="C9" i="209"/>
  <c r="L17" i="180"/>
  <c r="L19" i="180"/>
  <c r="K17" i="180"/>
  <c r="K19" i="180"/>
  <c r="G35" i="155"/>
  <c r="G36" i="155"/>
  <c r="O9" i="192" l="1"/>
  <c r="O9" i="206" s="1"/>
  <c r="Q7" i="191"/>
  <c r="P9" i="191"/>
  <c r="C21" i="219"/>
  <c r="C4" i="219"/>
  <c r="C15" i="219"/>
  <c r="I4" i="212"/>
  <c r="I6" i="212" s="1"/>
  <c r="I11" i="214"/>
  <c r="I14" i="214"/>
  <c r="I17" i="214" s="1"/>
  <c r="I11" i="193"/>
  <c r="C8" i="209"/>
  <c r="I13" i="172"/>
  <c r="P9" i="192" l="1"/>
  <c r="P9" i="206" s="1"/>
  <c r="R7" i="191"/>
  <c r="Q9" i="191"/>
  <c r="C13" i="219"/>
  <c r="C14" i="219"/>
  <c r="F12" i="176"/>
  <c r="F6" i="178" s="1"/>
  <c r="F25" i="178" s="1"/>
  <c r="C12" i="176"/>
  <c r="F5" i="177"/>
  <c r="E5" i="177"/>
  <c r="D5" i="177"/>
  <c r="F6" i="177"/>
  <c r="E6" i="177"/>
  <c r="D6" i="177"/>
  <c r="C6" i="177"/>
  <c r="C5" i="177"/>
  <c r="Q9" i="192" l="1"/>
  <c r="Q9" i="206" s="1"/>
  <c r="S7" i="191"/>
  <c r="S9" i="191" s="1"/>
  <c r="R9" i="191"/>
  <c r="C31" i="178"/>
  <c r="R9" i="192" l="1"/>
  <c r="R9" i="206" s="1"/>
  <c r="S9" i="192"/>
  <c r="S9" i="206" s="1"/>
  <c r="E29" i="177"/>
  <c r="E30" i="177" s="1"/>
  <c r="D29" i="177"/>
  <c r="D30" i="177" s="1"/>
  <c r="C29" i="177"/>
  <c r="C30" i="177" s="1"/>
  <c r="E32" i="177"/>
  <c r="D32" i="177"/>
  <c r="D16" i="175" s="1"/>
  <c r="C32" i="177"/>
  <c r="C16" i="175" s="1"/>
  <c r="F28" i="177"/>
  <c r="F15" i="175" s="1"/>
  <c r="E28" i="177"/>
  <c r="D28" i="177"/>
  <c r="D15" i="175" s="1"/>
  <c r="C28" i="177"/>
  <c r="C15" i="175" s="1"/>
  <c r="F26" i="177"/>
  <c r="F27" i="177" s="1"/>
  <c r="E26" i="177"/>
  <c r="E27" i="177" s="1"/>
  <c r="D26" i="177"/>
  <c r="D27" i="177" s="1"/>
  <c r="C26" i="177"/>
  <c r="C27" i="177" s="1"/>
  <c r="F24" i="177"/>
  <c r="F25" i="177" s="1"/>
  <c r="E24" i="177"/>
  <c r="E25" i="177" s="1"/>
  <c r="D24" i="177"/>
  <c r="D25" i="177" s="1"/>
  <c r="C24" i="177"/>
  <c r="C25" i="177" s="1"/>
  <c r="F22" i="177"/>
  <c r="F23" i="177" s="1"/>
  <c r="E22" i="177"/>
  <c r="E23" i="177" s="1"/>
  <c r="D22" i="177"/>
  <c r="D23" i="177" s="1"/>
  <c r="C22" i="177"/>
  <c r="C23" i="177" s="1"/>
  <c r="F20" i="177"/>
  <c r="F21" i="177" s="1"/>
  <c r="E20" i="177"/>
  <c r="D20" i="177"/>
  <c r="D21" i="177" s="1"/>
  <c r="C20" i="177"/>
  <c r="C21" i="177" s="1"/>
  <c r="F19" i="177"/>
  <c r="E19" i="177"/>
  <c r="D19" i="177"/>
  <c r="C19" i="177"/>
  <c r="F15" i="177"/>
  <c r="F16" i="177" s="1"/>
  <c r="E15" i="177"/>
  <c r="E16" i="177" s="1"/>
  <c r="D15" i="177"/>
  <c r="D16" i="177" s="1"/>
  <c r="C15" i="177"/>
  <c r="C16" i="177" s="1"/>
  <c r="E14" i="177"/>
  <c r="D14" i="177"/>
  <c r="C14" i="177"/>
  <c r="F13" i="177"/>
  <c r="E13" i="177"/>
  <c r="D13" i="177"/>
  <c r="C13" i="177"/>
  <c r="F12" i="177"/>
  <c r="E12" i="177"/>
  <c r="D12" i="177"/>
  <c r="C12" i="177"/>
  <c r="F11" i="177"/>
  <c r="E11" i="177"/>
  <c r="D11" i="177"/>
  <c r="C11" i="177"/>
  <c r="F9" i="177"/>
  <c r="F10" i="177" s="1"/>
  <c r="E9" i="177"/>
  <c r="D9" i="177"/>
  <c r="D10" i="177" s="1"/>
  <c r="C9" i="177"/>
  <c r="C10" i="177" s="1"/>
  <c r="F8" i="177"/>
  <c r="E8" i="177"/>
  <c r="D8" i="177"/>
  <c r="C8" i="177"/>
  <c r="F7" i="177"/>
  <c r="E7" i="177"/>
  <c r="D7" i="177"/>
  <c r="C7" i="177"/>
  <c r="C32" i="178"/>
  <c r="E12" i="176"/>
  <c r="D12" i="176"/>
  <c r="D6" i="178" s="1"/>
  <c r="D25" i="178" s="1"/>
  <c r="C9" i="175"/>
  <c r="F12" i="172"/>
  <c r="F10" i="176" s="1"/>
  <c r="E12" i="172"/>
  <c r="E10" i="176" s="1"/>
  <c r="E22" i="178" s="1"/>
  <c r="D12" i="172"/>
  <c r="D10" i="176" s="1"/>
  <c r="C12" i="172"/>
  <c r="C10" i="176" s="1"/>
  <c r="B12" i="172"/>
  <c r="F11" i="172"/>
  <c r="E11" i="172"/>
  <c r="D11" i="172"/>
  <c r="C11" i="172"/>
  <c r="F7" i="169"/>
  <c r="E7" i="169"/>
  <c r="D7" i="169"/>
  <c r="C7" i="169"/>
  <c r="F6" i="169"/>
  <c r="E6" i="169"/>
  <c r="D6" i="169"/>
  <c r="C6" i="169"/>
  <c r="F5" i="169"/>
  <c r="E5" i="169"/>
  <c r="D5" i="169"/>
  <c r="C5" i="169"/>
  <c r="Q21" i="175" l="1"/>
  <c r="R21" i="175"/>
  <c r="P21" i="175"/>
  <c r="S21" i="175"/>
  <c r="O21" i="175"/>
  <c r="E6" i="178"/>
  <c r="E25" i="178" s="1"/>
  <c r="E10" i="177"/>
  <c r="R10" i="177" s="1"/>
  <c r="E17" i="178"/>
  <c r="E13" i="178"/>
  <c r="E11" i="178"/>
  <c r="R25" i="177"/>
  <c r="O25" i="177"/>
  <c r="Q25" i="177"/>
  <c r="S25" i="177"/>
  <c r="P25" i="177"/>
  <c r="S16" i="177"/>
  <c r="O16" i="177"/>
  <c r="P16" i="177"/>
  <c r="R16" i="177"/>
  <c r="Q16" i="177"/>
  <c r="E21" i="177"/>
  <c r="P21" i="177" s="1"/>
  <c r="E18" i="178"/>
  <c r="E23" i="178"/>
  <c r="E15" i="175"/>
  <c r="E16" i="175"/>
  <c r="E12" i="178"/>
  <c r="P23" i="177"/>
  <c r="R23" i="177"/>
  <c r="O23" i="177"/>
  <c r="Q23" i="177"/>
  <c r="S23" i="177"/>
  <c r="O27" i="177"/>
  <c r="S27" i="177"/>
  <c r="Q27" i="177"/>
  <c r="R27" i="177"/>
  <c r="P27" i="177"/>
  <c r="D30" i="178"/>
  <c r="C34" i="178"/>
  <c r="C18" i="175"/>
  <c r="D18" i="175"/>
  <c r="C19" i="175"/>
  <c r="N27" i="177"/>
  <c r="K27" i="177"/>
  <c r="M27" i="177"/>
  <c r="L27" i="177"/>
  <c r="J27" i="177"/>
  <c r="D19" i="175"/>
  <c r="K16" i="177"/>
  <c r="J16" i="177"/>
  <c r="L16" i="177"/>
  <c r="N16" i="177"/>
  <c r="M16" i="177"/>
  <c r="I16" i="177"/>
  <c r="I15" i="177" s="1"/>
  <c r="F21" i="175"/>
  <c r="N21" i="175"/>
  <c r="E21" i="175"/>
  <c r="L21" i="175"/>
  <c r="K21" i="175"/>
  <c r="M21" i="175"/>
  <c r="D21" i="175"/>
  <c r="C21" i="175"/>
  <c r="J21" i="175"/>
  <c r="I21" i="175"/>
  <c r="G21" i="175"/>
  <c r="G24" i="175" s="1"/>
  <c r="H9" i="179" s="1"/>
  <c r="F22" i="178"/>
  <c r="F8" i="169"/>
  <c r="C8" i="169"/>
  <c r="D8" i="169"/>
  <c r="E8" i="169"/>
  <c r="D13" i="178"/>
  <c r="C17" i="177"/>
  <c r="D12" i="178"/>
  <c r="D17" i="178"/>
  <c r="E17" i="177"/>
  <c r="F13" i="178"/>
  <c r="F12" i="178"/>
  <c r="F11" i="178"/>
  <c r="D11" i="178"/>
  <c r="D17" i="177"/>
  <c r="D18" i="178"/>
  <c r="D23" i="178"/>
  <c r="C31" i="177"/>
  <c r="C34" i="177" s="1"/>
  <c r="F23" i="178"/>
  <c r="G22" i="178"/>
  <c r="F13" i="172"/>
  <c r="C13" i="172"/>
  <c r="D13" i="172"/>
  <c r="E13" i="172"/>
  <c r="D31" i="177"/>
  <c r="D34" i="177" s="1"/>
  <c r="E31" i="177"/>
  <c r="E34" i="177" s="1"/>
  <c r="E19" i="175" l="1"/>
  <c r="D24" i="175"/>
  <c r="K21" i="177"/>
  <c r="O10" i="177"/>
  <c r="S10" i="177"/>
  <c r="Q10" i="177"/>
  <c r="P10" i="177"/>
  <c r="L21" i="177"/>
  <c r="E18" i="175"/>
  <c r="E24" i="175" s="1"/>
  <c r="O21" i="177"/>
  <c r="N21" i="177"/>
  <c r="C24" i="175"/>
  <c r="M21" i="177"/>
  <c r="E14" i="178"/>
  <c r="J21" i="177"/>
  <c r="Q21" i="177"/>
  <c r="I21" i="177"/>
  <c r="I20" i="177" s="1"/>
  <c r="R21" i="177"/>
  <c r="S21" i="177"/>
  <c r="D14" i="178"/>
  <c r="F14" i="178"/>
  <c r="D22" i="178"/>
  <c r="E36" i="177"/>
  <c r="C36" i="177"/>
  <c r="D36" i="177"/>
  <c r="F9" i="168" l="1"/>
  <c r="F29" i="168" s="1"/>
  <c r="E9" i="168"/>
  <c r="D9" i="168"/>
  <c r="D29" i="168" s="1"/>
  <c r="C9" i="168"/>
  <c r="C7" i="168"/>
  <c r="F10" i="168"/>
  <c r="E10" i="168"/>
  <c r="D10" i="168"/>
  <c r="C10" i="168"/>
  <c r="C30" i="154"/>
  <c r="C33" i="154" s="1"/>
  <c r="D30" i="154"/>
  <c r="D33" i="154" s="1"/>
  <c r="F29" i="177"/>
  <c r="F26" i="154"/>
  <c r="F37" i="154" s="1"/>
  <c r="F14" i="177"/>
  <c r="C9" i="154"/>
  <c r="C17" i="154" s="1"/>
  <c r="C44" i="154" s="1"/>
  <c r="D9" i="154"/>
  <c r="D17" i="154" s="1"/>
  <c r="D44" i="154" s="1"/>
  <c r="E9" i="154"/>
  <c r="E17" i="154" s="1"/>
  <c r="F9" i="154"/>
  <c r="F41" i="154"/>
  <c r="F13" i="169" s="1"/>
  <c r="F40" i="154"/>
  <c r="F12" i="169" s="1"/>
  <c r="F32" i="155"/>
  <c r="F26" i="155"/>
  <c r="F7" i="155"/>
  <c r="F11" i="155" s="1"/>
  <c r="F15" i="155" s="1"/>
  <c r="E29" i="168" l="1"/>
  <c r="E8" i="178"/>
  <c r="F18" i="178"/>
  <c r="F30" i="177"/>
  <c r="C26" i="168"/>
  <c r="C29" i="168"/>
  <c r="G7" i="168"/>
  <c r="G8" i="168" s="1"/>
  <c r="G16" i="178" s="1"/>
  <c r="I7" i="168"/>
  <c r="F11" i="169"/>
  <c r="F14" i="169" s="1"/>
  <c r="F19" i="155"/>
  <c r="F21" i="155" s="1"/>
  <c r="F23" i="155" s="1"/>
  <c r="D8" i="178"/>
  <c r="D26" i="168"/>
  <c r="E26" i="168"/>
  <c r="F8" i="178"/>
  <c r="F26" i="168"/>
  <c r="F17" i="177"/>
  <c r="F17" i="154"/>
  <c r="F17" i="178"/>
  <c r="F30" i="154"/>
  <c r="F33" i="154" s="1"/>
  <c r="F32" i="177"/>
  <c r="F16" i="175" s="1"/>
  <c r="F31" i="177"/>
  <c r="C28" i="168"/>
  <c r="C8" i="168"/>
  <c r="F38" i="154"/>
  <c r="F7" i="168"/>
  <c r="F28" i="168" s="1"/>
  <c r="D7" i="168"/>
  <c r="F44" i="154" l="1"/>
  <c r="F17" i="176"/>
  <c r="Q30" i="177"/>
  <c r="P30" i="177"/>
  <c r="O30" i="177"/>
  <c r="S30" i="177"/>
  <c r="R30" i="177"/>
  <c r="F19" i="175"/>
  <c r="F18" i="175"/>
  <c r="I30" i="177"/>
  <c r="I29" i="177" s="1"/>
  <c r="N30" i="177"/>
  <c r="K30" i="177"/>
  <c r="L30" i="177"/>
  <c r="M30" i="177"/>
  <c r="J30" i="177"/>
  <c r="G28" i="168"/>
  <c r="F42" i="154"/>
  <c r="F35" i="155"/>
  <c r="F36" i="155"/>
  <c r="F34" i="177"/>
  <c r="F36" i="177" s="1"/>
  <c r="C30" i="168"/>
  <c r="D28" i="168"/>
  <c r="D8" i="168"/>
  <c r="D16" i="178" s="1"/>
  <c r="F8" i="168"/>
  <c r="F16" i="178" s="1"/>
  <c r="F24" i="175" l="1"/>
  <c r="G31" i="168"/>
  <c r="G30" i="168"/>
  <c r="F31" i="168"/>
  <c r="F30" i="168"/>
  <c r="D30" i="168"/>
  <c r="E7" i="168"/>
  <c r="E8" i="168" l="1"/>
  <c r="E16" i="178" s="1"/>
  <c r="E28" i="168"/>
  <c r="I28" i="168" l="1"/>
  <c r="R28" i="168"/>
  <c r="P28" i="168"/>
  <c r="S28" i="168"/>
  <c r="O28" i="168"/>
  <c r="Q28" i="168"/>
  <c r="J28" i="168"/>
  <c r="H28" i="168"/>
  <c r="M28" i="168"/>
  <c r="K28" i="168"/>
  <c r="L28" i="168"/>
  <c r="N28" i="168"/>
  <c r="E30" i="168"/>
  <c r="E26" i="155"/>
  <c r="D26" i="155"/>
  <c r="E41" i="154"/>
  <c r="E13" i="169" s="1"/>
  <c r="D41" i="154"/>
  <c r="D13" i="169" s="1"/>
  <c r="C41" i="154"/>
  <c r="C13" i="169" s="1"/>
  <c r="E40" i="154"/>
  <c r="E12" i="169" s="1"/>
  <c r="D40" i="154"/>
  <c r="D12" i="169" s="1"/>
  <c r="C40" i="154"/>
  <c r="C12" i="169" s="1"/>
  <c r="E38" i="154"/>
  <c r="D38" i="154"/>
  <c r="C38" i="154"/>
  <c r="E32" i="155"/>
  <c r="D32" i="155"/>
  <c r="C32" i="155"/>
  <c r="C17" i="185"/>
  <c r="E30" i="154"/>
  <c r="E7" i="155"/>
  <c r="E31" i="168" s="1"/>
  <c r="D7" i="155"/>
  <c r="D31" i="168" s="1"/>
  <c r="C7" i="155"/>
  <c r="C31" i="168" s="1"/>
  <c r="C11" i="155"/>
  <c r="E33" i="154" l="1"/>
  <c r="E44" i="154"/>
  <c r="C15" i="155"/>
  <c r="C19" i="155" s="1"/>
  <c r="C21" i="155" s="1"/>
  <c r="C23" i="155" s="1"/>
  <c r="C17" i="176" s="1"/>
  <c r="I31" i="168"/>
  <c r="I8" i="168" s="1"/>
  <c r="H30" i="168"/>
  <c r="J31" i="168"/>
  <c r="H31" i="168"/>
  <c r="D39" i="154"/>
  <c r="D11" i="169" s="1"/>
  <c r="D14" i="169" s="1"/>
  <c r="D11" i="155"/>
  <c r="D15" i="155" s="1"/>
  <c r="D19" i="155"/>
  <c r="D21" i="155" s="1"/>
  <c r="D23" i="155" s="1"/>
  <c r="D17" i="176" s="1"/>
  <c r="C39" i="154"/>
  <c r="E11" i="155"/>
  <c r="E15" i="155" s="1"/>
  <c r="E39" i="154"/>
  <c r="F7" i="176"/>
  <c r="I19" i="177" l="1"/>
  <c r="H13" i="178" s="1"/>
  <c r="I8" i="177"/>
  <c r="H12" i="178" s="1"/>
  <c r="F9" i="176"/>
  <c r="F9" i="216" s="1"/>
  <c r="F7" i="216" s="1"/>
  <c r="F8" i="216"/>
  <c r="F6" i="216" s="1"/>
  <c r="H8" i="168"/>
  <c r="H14" i="168" s="1"/>
  <c r="E7" i="176"/>
  <c r="D42" i="154"/>
  <c r="C35" i="155"/>
  <c r="C36" i="155"/>
  <c r="E19" i="155"/>
  <c r="E21" i="155" s="1"/>
  <c r="E23" i="155" s="1"/>
  <c r="E17" i="176" s="1"/>
  <c r="C11" i="169"/>
  <c r="C42" i="154"/>
  <c r="E11" i="169"/>
  <c r="E14" i="169" s="1"/>
  <c r="E42" i="154"/>
  <c r="D36" i="155"/>
  <c r="D35" i="155"/>
  <c r="H16" i="178" l="1"/>
  <c r="I16" i="178" s="1"/>
  <c r="E9" i="176"/>
  <c r="E11" i="176" s="1"/>
  <c r="E14" i="176" s="1"/>
  <c r="E24" i="178" s="1"/>
  <c r="E8" i="216"/>
  <c r="E6" i="216" s="1"/>
  <c r="F11" i="176"/>
  <c r="F14" i="176" s="1"/>
  <c r="F5" i="178"/>
  <c r="F7" i="178" s="1"/>
  <c r="F9" i="178" s="1"/>
  <c r="F20" i="178" s="1"/>
  <c r="C14" i="169"/>
  <c r="D7" i="176"/>
  <c r="E35" i="155"/>
  <c r="E36" i="155"/>
  <c r="N25" i="177"/>
  <c r="J25" i="177"/>
  <c r="M25" i="177"/>
  <c r="I25" i="177"/>
  <c r="I24" i="177" s="1"/>
  <c r="L25" i="177"/>
  <c r="K25" i="177"/>
  <c r="F24" i="178" l="1"/>
  <c r="C3" i="222"/>
  <c r="E9" i="216"/>
  <c r="E7" i="216" s="1"/>
  <c r="E5" i="178"/>
  <c r="E7" i="178" s="1"/>
  <c r="E9" i="178" s="1"/>
  <c r="E20" i="178" s="1"/>
  <c r="D9" i="176"/>
  <c r="D8" i="216"/>
  <c r="D6" i="216" s="1"/>
  <c r="F18" i="176"/>
  <c r="H26" i="168"/>
  <c r="H9" i="168" s="1"/>
  <c r="E18" i="176"/>
  <c r="G11" i="178"/>
  <c r="G12" i="178"/>
  <c r="I12" i="178" s="1"/>
  <c r="G7" i="176"/>
  <c r="G8" i="216" s="1"/>
  <c r="G6" i="216" s="1"/>
  <c r="D11" i="176" l="1"/>
  <c r="D14" i="176" s="1"/>
  <c r="D9" i="216"/>
  <c r="D7" i="216" s="1"/>
  <c r="D5" i="178"/>
  <c r="D7" i="178" s="1"/>
  <c r="D9" i="178" s="1"/>
  <c r="D20" i="178" s="1"/>
  <c r="I9" i="168"/>
  <c r="H8" i="178"/>
  <c r="I7" i="177"/>
  <c r="H11" i="178" s="1"/>
  <c r="I8" i="169"/>
  <c r="G8" i="178"/>
  <c r="G9" i="176"/>
  <c r="G13" i="178"/>
  <c r="I15" i="168" l="1"/>
  <c r="I26" i="168" s="1"/>
  <c r="G9" i="216"/>
  <c r="G7" i="216" s="1"/>
  <c r="G5" i="178"/>
  <c r="D18" i="176"/>
  <c r="D24" i="178"/>
  <c r="I8" i="178"/>
  <c r="G14" i="178"/>
  <c r="I13" i="178"/>
  <c r="H14" i="178"/>
  <c r="I11" i="178"/>
  <c r="G7" i="178"/>
  <c r="G9" i="178" s="1"/>
  <c r="G11" i="176"/>
  <c r="H7" i="176"/>
  <c r="H9" i="176" l="1"/>
  <c r="H8" i="216"/>
  <c r="H6" i="216" s="1"/>
  <c r="I14" i="178"/>
  <c r="G14" i="176"/>
  <c r="G18" i="176" s="1"/>
  <c r="I7" i="176"/>
  <c r="I9" i="176" l="1"/>
  <c r="I9" i="216" s="1"/>
  <c r="I7" i="216" s="1"/>
  <c r="I8" i="216"/>
  <c r="I6" i="216" s="1"/>
  <c r="H5" i="178"/>
  <c r="H6" i="178" s="1"/>
  <c r="H9" i="216"/>
  <c r="H7" i="216" s="1"/>
  <c r="G25" i="178"/>
  <c r="I5" i="178" l="1"/>
  <c r="C7" i="176"/>
  <c r="N23" i="177"/>
  <c r="C9" i="176" l="1"/>
  <c r="C11" i="176" s="1"/>
  <c r="C8" i="216"/>
  <c r="C6" i="216" s="1"/>
  <c r="J10" i="177"/>
  <c r="I10" i="177"/>
  <c r="I9" i="177" s="1"/>
  <c r="H17" i="178" s="1"/>
  <c r="N10" i="177"/>
  <c r="M10" i="177"/>
  <c r="L10" i="177"/>
  <c r="K10" i="177"/>
  <c r="G17" i="178"/>
  <c r="M23" i="177"/>
  <c r="I27" i="177"/>
  <c r="I26" i="177" s="1"/>
  <c r="K23" i="177"/>
  <c r="L23" i="177"/>
  <c r="J23" i="177"/>
  <c r="I23" i="177"/>
  <c r="I22" i="177" s="1"/>
  <c r="C14" i="176" l="1"/>
  <c r="C18" i="176" s="1"/>
  <c r="C9" i="216"/>
  <c r="C7" i="216" s="1"/>
  <c r="H18" i="178"/>
  <c r="I17" i="178"/>
  <c r="G18" i="178"/>
  <c r="G20" i="178" s="1"/>
  <c r="D28" i="178"/>
  <c r="D31" i="178" s="1"/>
  <c r="D32" i="178" s="1"/>
  <c r="F28" i="178"/>
  <c r="F31" i="178" s="1"/>
  <c r="E28" i="178"/>
  <c r="E31" i="178" s="1"/>
  <c r="E30" i="178" l="1"/>
  <c r="E32" i="178" s="1"/>
  <c r="D34" i="178"/>
  <c r="I18" i="178"/>
  <c r="F30" i="178" l="1"/>
  <c r="F32" i="178" s="1"/>
  <c r="E34" i="178"/>
  <c r="G24" i="178"/>
  <c r="G23" i="178"/>
  <c r="G34" i="177"/>
  <c r="G30" i="178" l="1"/>
  <c r="I30" i="178" s="1"/>
  <c r="F34" i="178"/>
  <c r="G28" i="178"/>
  <c r="G31" i="178" s="1"/>
  <c r="G32" i="178" l="1"/>
  <c r="G36" i="177"/>
  <c r="H30" i="178" l="1"/>
  <c r="G34" i="178"/>
  <c r="K10" i="180"/>
  <c r="L10" i="180" s="1"/>
  <c r="M10" i="180" s="1"/>
  <c r="N10" i="180" s="1"/>
  <c r="O10" i="180" s="1"/>
  <c r="K9" i="180"/>
  <c r="L9" i="180" s="1"/>
  <c r="M9" i="180" s="1"/>
  <c r="N9" i="180" s="1"/>
  <c r="O9" i="180" s="1"/>
  <c r="K7" i="180"/>
  <c r="J6" i="180"/>
  <c r="P10" i="180" l="1"/>
  <c r="O10" i="182"/>
  <c r="P9" i="180"/>
  <c r="O9" i="182"/>
  <c r="L8" i="182"/>
  <c r="K10" i="182"/>
  <c r="L7" i="180"/>
  <c r="M7" i="180" s="1"/>
  <c r="N7" i="180" s="1"/>
  <c r="O7" i="180" s="1"/>
  <c r="K7" i="182"/>
  <c r="K9" i="182"/>
  <c r="K6" i="180"/>
  <c r="K6" i="182" s="1"/>
  <c r="J6" i="182"/>
  <c r="J11" i="180"/>
  <c r="C9" i="219" s="1"/>
  <c r="C22" i="219" s="1"/>
  <c r="O9" i="217" l="1"/>
  <c r="O9" i="214"/>
  <c r="O15" i="214" s="1"/>
  <c r="O9" i="186"/>
  <c r="O9" i="193" s="1"/>
  <c r="Q9" i="180"/>
  <c r="P9" i="182"/>
  <c r="O10" i="214"/>
  <c r="O16" i="214" s="1"/>
  <c r="O10" i="217"/>
  <c r="O10" i="186"/>
  <c r="O10" i="193" s="1"/>
  <c r="P7" i="180"/>
  <c r="O7" i="182"/>
  <c r="Q10" i="180"/>
  <c r="P10" i="182"/>
  <c r="C10" i="209"/>
  <c r="J6" i="214"/>
  <c r="J6" i="217"/>
  <c r="J11" i="217" s="1"/>
  <c r="K10" i="214"/>
  <c r="K16" i="214" s="1"/>
  <c r="K10" i="217"/>
  <c r="K6" i="214"/>
  <c r="K6" i="217"/>
  <c r="K9" i="214"/>
  <c r="K15" i="214" s="1"/>
  <c r="K9" i="217"/>
  <c r="K7" i="214"/>
  <c r="K7" i="217"/>
  <c r="L8" i="186"/>
  <c r="L8" i="193" s="1"/>
  <c r="L8" i="214"/>
  <c r="L8" i="217"/>
  <c r="C29" i="209"/>
  <c r="K7" i="186"/>
  <c r="K7" i="193" s="1"/>
  <c r="C30" i="209"/>
  <c r="K9" i="186"/>
  <c r="K9" i="193" s="1"/>
  <c r="C32" i="209"/>
  <c r="K10" i="186"/>
  <c r="K10" i="193" s="1"/>
  <c r="C33" i="209"/>
  <c r="K11" i="180"/>
  <c r="L6" i="180"/>
  <c r="L11" i="180" s="1"/>
  <c r="L10" i="182"/>
  <c r="L9" i="182"/>
  <c r="L7" i="182"/>
  <c r="J6" i="186"/>
  <c r="J6" i="193" s="1"/>
  <c r="J11" i="182"/>
  <c r="J5" i="176" s="1"/>
  <c r="K6" i="186"/>
  <c r="K6" i="193" s="1"/>
  <c r="K11" i="182"/>
  <c r="K5" i="176" s="1"/>
  <c r="N8" i="182"/>
  <c r="M8" i="182"/>
  <c r="P9" i="214" l="1"/>
  <c r="P15" i="214" s="1"/>
  <c r="P9" i="217"/>
  <c r="P9" i="186"/>
  <c r="P9" i="193" s="1"/>
  <c r="P10" i="214"/>
  <c r="P16" i="214" s="1"/>
  <c r="P10" i="217"/>
  <c r="P10" i="186"/>
  <c r="P10" i="193" s="1"/>
  <c r="R9" i="180"/>
  <c r="Q9" i="182"/>
  <c r="L6" i="182"/>
  <c r="M6" i="180"/>
  <c r="K11" i="217"/>
  <c r="R10" i="180"/>
  <c r="Q10" i="182"/>
  <c r="O7" i="214"/>
  <c r="O7" i="217"/>
  <c r="O7" i="186"/>
  <c r="O7" i="193" s="1"/>
  <c r="Q7" i="180"/>
  <c r="P7" i="182"/>
  <c r="N8" i="186"/>
  <c r="N8" i="193" s="1"/>
  <c r="N8" i="217"/>
  <c r="N8" i="214"/>
  <c r="K11" i="214"/>
  <c r="K14" i="214"/>
  <c r="K17" i="214" s="1"/>
  <c r="L10" i="186"/>
  <c r="L10" i="193" s="1"/>
  <c r="L10" i="217"/>
  <c r="L10" i="214"/>
  <c r="C34" i="209"/>
  <c r="K4" i="212"/>
  <c r="C5" i="219"/>
  <c r="C25" i="219"/>
  <c r="J4" i="212"/>
  <c r="M8" i="186"/>
  <c r="M8" i="193" s="1"/>
  <c r="M8" i="214"/>
  <c r="M8" i="217"/>
  <c r="J11" i="214"/>
  <c r="J14" i="214"/>
  <c r="J17" i="214" s="1"/>
  <c r="L7" i="186"/>
  <c r="L7" i="193" s="1"/>
  <c r="L7" i="214"/>
  <c r="L7" i="217"/>
  <c r="L9" i="186"/>
  <c r="L9" i="193" s="1"/>
  <c r="L9" i="214"/>
  <c r="L15" i="214" s="1"/>
  <c r="L9" i="217"/>
  <c r="C27" i="209"/>
  <c r="C15" i="209"/>
  <c r="K5" i="167"/>
  <c r="C11" i="222"/>
  <c r="J5" i="167"/>
  <c r="K11" i="186"/>
  <c r="K5" i="212" s="1"/>
  <c r="K11" i="193"/>
  <c r="K6" i="176" s="1"/>
  <c r="K7" i="176" s="1"/>
  <c r="J11" i="186"/>
  <c r="J5" i="212" s="1"/>
  <c r="J11" i="193"/>
  <c r="J6" i="176" s="1"/>
  <c r="J7" i="176" s="1"/>
  <c r="N7" i="182"/>
  <c r="M7" i="182"/>
  <c r="N9" i="182"/>
  <c r="M9" i="182"/>
  <c r="N10" i="182"/>
  <c r="M10" i="182"/>
  <c r="M11" i="180"/>
  <c r="L6" i="186" l="1"/>
  <c r="L6" i="193" s="1"/>
  <c r="L11" i="193" s="1"/>
  <c r="L6" i="176" s="1"/>
  <c r="L11" i="182"/>
  <c r="L6" i="214"/>
  <c r="L11" i="214" s="1"/>
  <c r="J6" i="212"/>
  <c r="L14" i="214"/>
  <c r="K6" i="212"/>
  <c r="L6" i="217"/>
  <c r="L11" i="217" s="1"/>
  <c r="Q10" i="217"/>
  <c r="Q10" i="214"/>
  <c r="Q16" i="214" s="1"/>
  <c r="Q10" i="186"/>
  <c r="Q10" i="193" s="1"/>
  <c r="S10" i="180"/>
  <c r="S10" i="182" s="1"/>
  <c r="R10" i="182"/>
  <c r="Q9" i="214"/>
  <c r="Q15" i="214" s="1"/>
  <c r="Q9" i="217"/>
  <c r="Q9" i="186"/>
  <c r="Q9" i="193" s="1"/>
  <c r="S9" i="180"/>
  <c r="S9" i="182" s="1"/>
  <c r="R9" i="182"/>
  <c r="P7" i="217"/>
  <c r="P7" i="214"/>
  <c r="P7" i="186"/>
  <c r="P7" i="193" s="1"/>
  <c r="N6" i="180"/>
  <c r="O6" i="180" s="1"/>
  <c r="M6" i="182"/>
  <c r="R7" i="180"/>
  <c r="Q7" i="182"/>
  <c r="L16" i="214"/>
  <c r="N10" i="186"/>
  <c r="N10" i="193" s="1"/>
  <c r="N10" i="217"/>
  <c r="N10" i="214"/>
  <c r="N16" i="214" s="1"/>
  <c r="M10" i="186"/>
  <c r="M10" i="193" s="1"/>
  <c r="M10" i="217"/>
  <c r="M10" i="214"/>
  <c r="M16" i="214" s="1"/>
  <c r="M9" i="186"/>
  <c r="M9" i="193" s="1"/>
  <c r="M9" i="217"/>
  <c r="M9" i="214"/>
  <c r="C24" i="219"/>
  <c r="C23" i="219"/>
  <c r="N9" i="186"/>
  <c r="N9" i="193" s="1"/>
  <c r="N9" i="217"/>
  <c r="N9" i="214"/>
  <c r="N15" i="214" s="1"/>
  <c r="N7" i="186"/>
  <c r="N7" i="193" s="1"/>
  <c r="N7" i="214"/>
  <c r="N7" i="217"/>
  <c r="M7" i="186"/>
  <c r="M7" i="193" s="1"/>
  <c r="M7" i="214"/>
  <c r="M7" i="217"/>
  <c r="L11" i="186"/>
  <c r="L5" i="212" s="1"/>
  <c r="J7" i="177"/>
  <c r="J11" i="178" s="1"/>
  <c r="J5" i="216"/>
  <c r="K7" i="177"/>
  <c r="K5" i="216"/>
  <c r="J24" i="177"/>
  <c r="J9" i="177"/>
  <c r="J26" i="177"/>
  <c r="J15" i="177"/>
  <c r="J29" i="177"/>
  <c r="J20" i="177"/>
  <c r="J22" i="177"/>
  <c r="L5" i="167"/>
  <c r="K24" i="177"/>
  <c r="K9" i="177"/>
  <c r="K26" i="177"/>
  <c r="K15" i="177"/>
  <c r="K29" i="177"/>
  <c r="K20" i="177"/>
  <c r="K22" i="177"/>
  <c r="J7" i="167"/>
  <c r="K7" i="167"/>
  <c r="K8" i="176" s="1"/>
  <c r="K9" i="176" s="1"/>
  <c r="N6" i="182"/>
  <c r="J8" i="176" l="1"/>
  <c r="J9" i="176" s="1"/>
  <c r="L4" i="212"/>
  <c r="L5" i="176"/>
  <c r="M11" i="182"/>
  <c r="L6" i="212"/>
  <c r="L17" i="214"/>
  <c r="P6" i="180"/>
  <c r="O6" i="182"/>
  <c r="O11" i="180"/>
  <c r="R10" i="214"/>
  <c r="R16" i="214" s="1"/>
  <c r="R10" i="217"/>
  <c r="R10" i="186"/>
  <c r="R10" i="193" s="1"/>
  <c r="N11" i="180"/>
  <c r="S10" i="217"/>
  <c r="S10" i="214"/>
  <c r="S16" i="214" s="1"/>
  <c r="S10" i="186"/>
  <c r="S10" i="193" s="1"/>
  <c r="Q7" i="214"/>
  <c r="Q7" i="217"/>
  <c r="Q7" i="186"/>
  <c r="Q7" i="193" s="1"/>
  <c r="R9" i="214"/>
  <c r="R15" i="214" s="1"/>
  <c r="R9" i="217"/>
  <c r="R9" i="186"/>
  <c r="R9" i="193" s="1"/>
  <c r="S7" i="180"/>
  <c r="S7" i="182" s="1"/>
  <c r="R7" i="182"/>
  <c r="S9" i="214"/>
  <c r="S15" i="214" s="1"/>
  <c r="S9" i="217"/>
  <c r="S9" i="186"/>
  <c r="S9" i="193" s="1"/>
  <c r="M6" i="186"/>
  <c r="M6" i="217"/>
  <c r="M11" i="217" s="1"/>
  <c r="M6" i="214"/>
  <c r="M14" i="214" s="1"/>
  <c r="K11" i="178"/>
  <c r="J8" i="216"/>
  <c r="J6" i="216" s="1"/>
  <c r="C12" i="222"/>
  <c r="N6" i="214"/>
  <c r="N6" i="217"/>
  <c r="N11" i="217" s="1"/>
  <c r="M15" i="214"/>
  <c r="L5" i="216"/>
  <c r="J19" i="177"/>
  <c r="J13" i="178" s="1"/>
  <c r="J8" i="177"/>
  <c r="J12" i="178" s="1"/>
  <c r="L19" i="177"/>
  <c r="L8" i="177"/>
  <c r="K19" i="177"/>
  <c r="K8" i="177"/>
  <c r="K17" i="178"/>
  <c r="J18" i="178"/>
  <c r="K18" i="178"/>
  <c r="L26" i="177"/>
  <c r="L15" i="177"/>
  <c r="L29" i="177"/>
  <c r="L20" i="177"/>
  <c r="L22" i="177"/>
  <c r="L24" i="177"/>
  <c r="L9" i="177"/>
  <c r="M5" i="167"/>
  <c r="J17" i="178"/>
  <c r="I29" i="168"/>
  <c r="L7" i="167"/>
  <c r="L8" i="176" s="1"/>
  <c r="N6" i="186"/>
  <c r="N6" i="193" s="1"/>
  <c r="N11" i="182"/>
  <c r="N4" i="212" l="1"/>
  <c r="N5" i="176"/>
  <c r="M4" i="212"/>
  <c r="M5" i="176"/>
  <c r="M26" i="177" s="1"/>
  <c r="L7" i="176"/>
  <c r="L7" i="177"/>
  <c r="L11" i="178" s="1"/>
  <c r="M6" i="193"/>
  <c r="M11" i="193" s="1"/>
  <c r="M6" i="176" s="1"/>
  <c r="C13" i="222"/>
  <c r="M11" i="214"/>
  <c r="M11" i="186"/>
  <c r="M5" i="212" s="1"/>
  <c r="S7" i="214"/>
  <c r="S7" i="217"/>
  <c r="S7" i="186"/>
  <c r="S7" i="193" s="1"/>
  <c r="M17" i="214"/>
  <c r="Q6" i="180"/>
  <c r="P6" i="182"/>
  <c r="P11" i="180"/>
  <c r="R7" i="217"/>
  <c r="R7" i="214"/>
  <c r="R7" i="186"/>
  <c r="R7" i="193" s="1"/>
  <c r="O6" i="214"/>
  <c r="O6" i="217"/>
  <c r="O11" i="217" s="1"/>
  <c r="O6" i="186"/>
  <c r="O11" i="182"/>
  <c r="O5" i="176" s="1"/>
  <c r="J5" i="178"/>
  <c r="N14" i="214"/>
  <c r="N17" i="214" s="1"/>
  <c r="N11" i="214"/>
  <c r="K8" i="169"/>
  <c r="K9" i="216"/>
  <c r="K7" i="216" s="1"/>
  <c r="K8" i="216"/>
  <c r="K6" i="216" s="1"/>
  <c r="J14" i="178"/>
  <c r="K12" i="178"/>
  <c r="K13" i="178"/>
  <c r="L12" i="178"/>
  <c r="L13" i="178"/>
  <c r="J8" i="169"/>
  <c r="L17" i="178"/>
  <c r="L18" i="178"/>
  <c r="M15" i="177"/>
  <c r="N5" i="167"/>
  <c r="H10" i="168"/>
  <c r="I10" i="168"/>
  <c r="M7" i="167"/>
  <c r="M8" i="176" s="1"/>
  <c r="N11" i="186"/>
  <c r="N5" i="212" s="1"/>
  <c r="N6" i="212" s="1"/>
  <c r="N11" i="193"/>
  <c r="N6" i="176" s="1"/>
  <c r="M5" i="216" l="1"/>
  <c r="M9" i="177"/>
  <c r="M24" i="177"/>
  <c r="M22" i="177"/>
  <c r="M20" i="177"/>
  <c r="M29" i="177"/>
  <c r="M18" i="178" s="1"/>
  <c r="L8" i="169"/>
  <c r="M6" i="212"/>
  <c r="M8" i="177"/>
  <c r="M12" i="178" s="1"/>
  <c r="M19" i="177"/>
  <c r="M13" i="178" s="1"/>
  <c r="M7" i="176"/>
  <c r="M7" i="177"/>
  <c r="M11" i="178" s="1"/>
  <c r="L9" i="176"/>
  <c r="L9" i="216" s="1"/>
  <c r="L7" i="216" s="1"/>
  <c r="L8" i="216"/>
  <c r="L6" i="216" s="1"/>
  <c r="N7" i="176"/>
  <c r="N7" i="177"/>
  <c r="J6" i="178"/>
  <c r="J7" i="178" s="1"/>
  <c r="J9" i="216"/>
  <c r="J7" i="216" s="1"/>
  <c r="P6" i="217"/>
  <c r="P11" i="217" s="1"/>
  <c r="P6" i="214"/>
  <c r="P6" i="186"/>
  <c r="P11" i="182"/>
  <c r="P5" i="176" s="1"/>
  <c r="O14" i="214"/>
  <c r="O17" i="214" s="1"/>
  <c r="O11" i="214"/>
  <c r="R6" i="180"/>
  <c r="Q6" i="182"/>
  <c r="Q11" i="180"/>
  <c r="O6" i="193"/>
  <c r="O11" i="193" s="1"/>
  <c r="O6" i="176" s="1"/>
  <c r="O7" i="176" s="1"/>
  <c r="O11" i="186"/>
  <c r="O5" i="212" s="1"/>
  <c r="O4" i="212"/>
  <c r="O5" i="167"/>
  <c r="O7" i="167" s="1"/>
  <c r="O8" i="176" s="1"/>
  <c r="K5" i="178"/>
  <c r="K6" i="178" s="1"/>
  <c r="N5" i="216"/>
  <c r="C11" i="210"/>
  <c r="C11" i="221"/>
  <c r="L5" i="178"/>
  <c r="L6" i="178" s="1"/>
  <c r="L7" i="178" s="1"/>
  <c r="K14" i="178"/>
  <c r="L14" i="178"/>
  <c r="I13" i="177"/>
  <c r="M17" i="178"/>
  <c r="N29" i="177"/>
  <c r="N20" i="177"/>
  <c r="N22" i="177"/>
  <c r="N24" i="177"/>
  <c r="N9" i="177"/>
  <c r="N26" i="177"/>
  <c r="N15" i="177"/>
  <c r="H29" i="168"/>
  <c r="J7" i="168"/>
  <c r="J8" i="168" s="1"/>
  <c r="J16" i="178" s="1"/>
  <c r="N7" i="167"/>
  <c r="N8" i="176" s="1"/>
  <c r="M14" i="178" l="1"/>
  <c r="O9" i="176"/>
  <c r="N11" i="178"/>
  <c r="M8" i="169"/>
  <c r="N9" i="176"/>
  <c r="M9" i="176"/>
  <c r="M5" i="178" s="1"/>
  <c r="M6" i="178" s="1"/>
  <c r="M7" i="178" s="1"/>
  <c r="M8" i="216"/>
  <c r="M6" i="216" s="1"/>
  <c r="S6" i="180"/>
  <c r="R6" i="182"/>
  <c r="R11" i="180"/>
  <c r="P4" i="212"/>
  <c r="P5" i="167"/>
  <c r="P7" i="167" s="1"/>
  <c r="P8" i="176" s="1"/>
  <c r="K7" i="178"/>
  <c r="O6" i="212"/>
  <c r="P6" i="193"/>
  <c r="P11" i="193" s="1"/>
  <c r="P6" i="176" s="1"/>
  <c r="P7" i="176" s="1"/>
  <c r="P9" i="176" s="1"/>
  <c r="P11" i="186"/>
  <c r="P5" i="212" s="1"/>
  <c r="O8" i="177"/>
  <c r="O19" i="177"/>
  <c r="P11" i="214"/>
  <c r="P14" i="214"/>
  <c r="P17" i="214" s="1"/>
  <c r="Q6" i="214"/>
  <c r="Q6" i="217"/>
  <c r="Q11" i="217" s="1"/>
  <c r="Q6" i="186"/>
  <c r="Q11" i="182"/>
  <c r="Q5" i="176" s="1"/>
  <c r="O5" i="216"/>
  <c r="O24" i="177"/>
  <c r="O26" i="177"/>
  <c r="O15" i="177"/>
  <c r="O22" i="177"/>
  <c r="O9" i="177"/>
  <c r="O20" i="177"/>
  <c r="O29" i="177"/>
  <c r="C12" i="210"/>
  <c r="C12" i="221"/>
  <c r="N8" i="177"/>
  <c r="N19" i="177"/>
  <c r="J16" i="168"/>
  <c r="L16" i="168"/>
  <c r="M16" i="168"/>
  <c r="Q16" i="168"/>
  <c r="R16" i="168"/>
  <c r="S16" i="168"/>
  <c r="O16" i="168"/>
  <c r="K16" i="168"/>
  <c r="N16" i="168"/>
  <c r="P16" i="168"/>
  <c r="N17" i="178"/>
  <c r="N18" i="178"/>
  <c r="M9" i="216" l="1"/>
  <c r="M7" i="216" s="1"/>
  <c r="O18" i="178"/>
  <c r="P6" i="212"/>
  <c r="O13" i="178"/>
  <c r="O17" i="178"/>
  <c r="Q11" i="214"/>
  <c r="Q14" i="214"/>
  <c r="Q17" i="214" s="1"/>
  <c r="P5" i="216"/>
  <c r="P20" i="177"/>
  <c r="P22" i="177"/>
  <c r="P24" i="177"/>
  <c r="P15" i="177"/>
  <c r="P26" i="177"/>
  <c r="P9" i="177"/>
  <c r="P29" i="177"/>
  <c r="O7" i="177"/>
  <c r="O11" i="178" s="1"/>
  <c r="O8" i="169"/>
  <c r="O8" i="216"/>
  <c r="O6" i="216" s="1"/>
  <c r="Q4" i="212"/>
  <c r="Q5" i="167"/>
  <c r="Q7" i="167" s="1"/>
  <c r="Q8" i="176" s="1"/>
  <c r="R6" i="214"/>
  <c r="R6" i="217"/>
  <c r="R11" i="217" s="1"/>
  <c r="R6" i="186"/>
  <c r="R11" i="182"/>
  <c r="R5" i="176" s="1"/>
  <c r="Q6" i="193"/>
  <c r="Q11" i="193" s="1"/>
  <c r="Q6" i="176" s="1"/>
  <c r="Q7" i="176" s="1"/>
  <c r="Q11" i="186"/>
  <c r="Q5" i="212" s="1"/>
  <c r="P8" i="177"/>
  <c r="P12" i="178" s="1"/>
  <c r="P19" i="177"/>
  <c r="P13" i="178" s="1"/>
  <c r="S6" i="182"/>
  <c r="S11" i="180"/>
  <c r="N8" i="216"/>
  <c r="N6" i="216" s="1"/>
  <c r="N13" i="178"/>
  <c r="N8" i="169"/>
  <c r="O12" i="178"/>
  <c r="N12" i="178"/>
  <c r="J26" i="168"/>
  <c r="J9" i="168" s="1"/>
  <c r="Q9" i="176" l="1"/>
  <c r="Q6" i="212"/>
  <c r="P17" i="178"/>
  <c r="O14" i="178"/>
  <c r="Q5" i="216"/>
  <c r="Q24" i="177"/>
  <c r="Q15" i="177"/>
  <c r="Q26" i="177"/>
  <c r="Q22" i="177"/>
  <c r="Q9" i="177"/>
  <c r="Q20" i="177"/>
  <c r="Q29" i="177"/>
  <c r="R6" i="193"/>
  <c r="R11" i="193" s="1"/>
  <c r="R6" i="176" s="1"/>
  <c r="R7" i="176" s="1"/>
  <c r="R11" i="186"/>
  <c r="R5" i="212" s="1"/>
  <c r="R6" i="212" s="1"/>
  <c r="O5" i="178"/>
  <c r="O6" i="178" s="1"/>
  <c r="O7" i="178" s="1"/>
  <c r="O9" i="216"/>
  <c r="O7" i="216" s="1"/>
  <c r="P18" i="178"/>
  <c r="Q8" i="177"/>
  <c r="Q12" i="178" s="1"/>
  <c r="Q19" i="177"/>
  <c r="Q13" i="178" s="1"/>
  <c r="R4" i="212"/>
  <c r="R5" i="167"/>
  <c r="R7" i="167" s="1"/>
  <c r="R8" i="176" s="1"/>
  <c r="S6" i="214"/>
  <c r="S6" i="217"/>
  <c r="S11" i="217" s="1"/>
  <c r="S6" i="186"/>
  <c r="S11" i="182"/>
  <c r="S5" i="176" s="1"/>
  <c r="R11" i="214"/>
  <c r="R14" i="214"/>
  <c r="R17" i="214" s="1"/>
  <c r="P7" i="177"/>
  <c r="P11" i="178" s="1"/>
  <c r="P14" i="178" s="1"/>
  <c r="P8" i="169"/>
  <c r="P8" i="216"/>
  <c r="P6" i="216" s="1"/>
  <c r="N5" i="178"/>
  <c r="N6" i="178" s="1"/>
  <c r="N7" i="178" s="1"/>
  <c r="N9" i="216"/>
  <c r="N7" i="216" s="1"/>
  <c r="N14" i="178"/>
  <c r="J10" i="168"/>
  <c r="J29" i="168"/>
  <c r="J8" i="178"/>
  <c r="R9" i="176" l="1"/>
  <c r="Q17" i="178"/>
  <c r="S4" i="212"/>
  <c r="S5" i="167"/>
  <c r="S7" i="167" s="1"/>
  <c r="S8" i="176" s="1"/>
  <c r="S6" i="193"/>
  <c r="S11" i="193" s="1"/>
  <c r="S6" i="176" s="1"/>
  <c r="S7" i="176" s="1"/>
  <c r="S9" i="176" s="1"/>
  <c r="S11" i="186"/>
  <c r="S5" i="212" s="1"/>
  <c r="Q18" i="178"/>
  <c r="P9" i="216"/>
  <c r="P7" i="216" s="1"/>
  <c r="P5" i="178"/>
  <c r="P6" i="178" s="1"/>
  <c r="P7" i="178" s="1"/>
  <c r="S14" i="214"/>
  <c r="S17" i="214" s="1"/>
  <c r="S11" i="214"/>
  <c r="R5" i="216"/>
  <c r="R15" i="177"/>
  <c r="R22" i="177"/>
  <c r="R26" i="177"/>
  <c r="R9" i="177"/>
  <c r="R24" i="177"/>
  <c r="R20" i="177"/>
  <c r="R29" i="177"/>
  <c r="R19" i="177"/>
  <c r="R13" i="178" s="1"/>
  <c r="R8" i="177"/>
  <c r="R12" i="178" s="1"/>
  <c r="Q7" i="177"/>
  <c r="Q11" i="178" s="1"/>
  <c r="Q14" i="178" s="1"/>
  <c r="Q8" i="169"/>
  <c r="Q8" i="216"/>
  <c r="Q6" i="216" s="1"/>
  <c r="C10" i="221"/>
  <c r="J9" i="178"/>
  <c r="J20" i="178" s="1"/>
  <c r="J18" i="172" s="1"/>
  <c r="C10" i="210"/>
  <c r="J13" i="177"/>
  <c r="K7" i="168"/>
  <c r="K8" i="168" s="1"/>
  <c r="S6" i="212" l="1"/>
  <c r="J20" i="172"/>
  <c r="J19" i="172"/>
  <c r="R17" i="178"/>
  <c r="R7" i="177"/>
  <c r="R11" i="178" s="1"/>
  <c r="R14" i="178" s="1"/>
  <c r="R8" i="169"/>
  <c r="R8" i="216"/>
  <c r="R6" i="216" s="1"/>
  <c r="R18" i="178"/>
  <c r="S5" i="216"/>
  <c r="S22" i="177"/>
  <c r="S24" i="177"/>
  <c r="S26" i="177"/>
  <c r="S15" i="177"/>
  <c r="S20" i="177"/>
  <c r="S9" i="177"/>
  <c r="S17" i="178" s="1"/>
  <c r="S29" i="177"/>
  <c r="S8" i="177"/>
  <c r="S12" i="178" s="1"/>
  <c r="S19" i="177"/>
  <c r="S13" i="178" s="1"/>
  <c r="Q9" i="216"/>
  <c r="Q7" i="216" s="1"/>
  <c r="Q5" i="178"/>
  <c r="Q6" i="178" s="1"/>
  <c r="Q7" i="178" s="1"/>
  <c r="K17" i="168"/>
  <c r="K26" i="168" s="1"/>
  <c r="N17" i="168"/>
  <c r="R17" i="168"/>
  <c r="O17" i="168"/>
  <c r="M17" i="168"/>
  <c r="P17" i="168"/>
  <c r="K16" i="178"/>
  <c r="L17" i="168"/>
  <c r="S17" i="168"/>
  <c r="Q17" i="168"/>
  <c r="R9" i="216" l="1"/>
  <c r="R7" i="216" s="1"/>
  <c r="R5" i="178"/>
  <c r="R6" i="178" s="1"/>
  <c r="R7" i="178" s="1"/>
  <c r="S7" i="177"/>
  <c r="S11" i="178" s="1"/>
  <c r="S14" i="178" s="1"/>
  <c r="C29" i="210" s="1"/>
  <c r="S8" i="169"/>
  <c r="S8" i="216"/>
  <c r="S6" i="216" s="1"/>
  <c r="S18" i="178"/>
  <c r="K9" i="168"/>
  <c r="S9" i="216" l="1"/>
  <c r="S7" i="216" s="1"/>
  <c r="S5" i="178"/>
  <c r="S6" i="178" s="1"/>
  <c r="S7" i="178" s="1"/>
  <c r="C27" i="210" s="1"/>
  <c r="K29" i="168"/>
  <c r="K8" i="178"/>
  <c r="K9" i="178" s="1"/>
  <c r="K20" i="178" s="1"/>
  <c r="K18" i="172" s="1"/>
  <c r="J6" i="179"/>
  <c r="K10" i="168"/>
  <c r="K19" i="172" l="1"/>
  <c r="K20" i="172"/>
  <c r="K6" i="179"/>
  <c r="K13" i="177"/>
  <c r="L7" i="168"/>
  <c r="L8" i="168" l="1"/>
  <c r="S18" i="168" l="1"/>
  <c r="R18" i="168"/>
  <c r="Q18" i="168"/>
  <c r="P18" i="168"/>
  <c r="O18" i="168"/>
  <c r="M18" i="168"/>
  <c r="L18" i="168"/>
  <c r="N18" i="168"/>
  <c r="L16" i="178"/>
  <c r="L26" i="168" l="1"/>
  <c r="L9" i="168" s="1"/>
  <c r="L8" i="178" l="1"/>
  <c r="L9" i="178" s="1"/>
  <c r="L20" i="178" s="1"/>
  <c r="L18" i="172" s="1"/>
  <c r="L29" i="168"/>
  <c r="L10" i="168"/>
  <c r="M7" i="168" s="1"/>
  <c r="L19" i="172" l="1"/>
  <c r="L20" i="172"/>
  <c r="L6" i="179"/>
  <c r="L13" i="177"/>
  <c r="M8" i="168"/>
  <c r="M19" i="168" s="1"/>
  <c r="O19" i="168" l="1"/>
  <c r="P19" i="168"/>
  <c r="S19" i="168"/>
  <c r="R19" i="168"/>
  <c r="Q19" i="168"/>
  <c r="M16" i="178"/>
  <c r="N19" i="168"/>
  <c r="M26" i="168" l="1"/>
  <c r="M9" i="168" s="1"/>
  <c r="M10" i="168" l="1"/>
  <c r="M13" i="177" s="1"/>
  <c r="M8" i="178"/>
  <c r="M9" i="178" s="1"/>
  <c r="M20" i="178" s="1"/>
  <c r="M18" i="172" s="1"/>
  <c r="M29" i="168"/>
  <c r="M19" i="172" l="1"/>
  <c r="M20" i="172"/>
  <c r="N7" i="168"/>
  <c r="N8" i="168" s="1"/>
  <c r="M6" i="179"/>
  <c r="Q20" i="168" l="1"/>
  <c r="P20" i="168"/>
  <c r="O20" i="168"/>
  <c r="S20" i="168"/>
  <c r="R20" i="168"/>
  <c r="N16" i="178"/>
  <c r="N20" i="168"/>
  <c r="N26" i="168" l="1"/>
  <c r="N9" i="168" s="1"/>
  <c r="N8" i="178" l="1"/>
  <c r="N9" i="178" s="1"/>
  <c r="N20" i="178" s="1"/>
  <c r="N18" i="172" s="1"/>
  <c r="N29" i="168"/>
  <c r="N10" i="168"/>
  <c r="O7" i="168" s="1"/>
  <c r="N20" i="172" l="1"/>
  <c r="N19" i="172"/>
  <c r="O8" i="168"/>
  <c r="N6" i="179"/>
  <c r="N13" i="177"/>
  <c r="O16" i="178" l="1"/>
  <c r="R21" i="168"/>
  <c r="P21" i="168"/>
  <c r="S21" i="168"/>
  <c r="Q21" i="168"/>
  <c r="O21" i="168"/>
  <c r="O26" i="168" s="1"/>
  <c r="O9" i="168" s="1"/>
  <c r="O10" i="168" l="1"/>
  <c r="P7" i="168" s="1"/>
  <c r="O29" i="168"/>
  <c r="O8" i="178"/>
  <c r="O9" i="178" s="1"/>
  <c r="O20" i="178" s="1"/>
  <c r="O13" i="177" l="1"/>
  <c r="O18" i="172"/>
  <c r="O6" i="179"/>
  <c r="P8" i="168"/>
  <c r="O20" i="172" l="1"/>
  <c r="O19" i="172"/>
  <c r="P16" i="178"/>
  <c r="S22" i="168"/>
  <c r="R22" i="168"/>
  <c r="Q22" i="168"/>
  <c r="P22" i="168"/>
  <c r="P26" i="168" s="1"/>
  <c r="P9" i="168" s="1"/>
  <c r="I6" i="178"/>
  <c r="I7" i="178" s="1"/>
  <c r="H7" i="178"/>
  <c r="H9" i="178" s="1"/>
  <c r="H20" i="178" s="1"/>
  <c r="H18" i="172" s="1"/>
  <c r="H20" i="172" l="1"/>
  <c r="H19" i="172"/>
  <c r="P29" i="168"/>
  <c r="P8" i="178"/>
  <c r="P9" i="178" s="1"/>
  <c r="P20" i="178" s="1"/>
  <c r="P10" i="168"/>
  <c r="I9" i="178"/>
  <c r="I20" i="178" s="1"/>
  <c r="C9" i="221"/>
  <c r="C9" i="210"/>
  <c r="H6" i="179"/>
  <c r="H10" i="179" s="1"/>
  <c r="I28" i="177"/>
  <c r="Q7" i="168" l="1"/>
  <c r="P13" i="177"/>
  <c r="P18" i="172"/>
  <c r="P6" i="179"/>
  <c r="J28" i="177"/>
  <c r="I31" i="177"/>
  <c r="H23" i="178"/>
  <c r="I23" i="178" s="1"/>
  <c r="I15" i="175"/>
  <c r="I11" i="172"/>
  <c r="I12" i="172" s="1"/>
  <c r="P20" i="172" l="1"/>
  <c r="P19" i="172"/>
  <c r="Q8" i="168"/>
  <c r="I10" i="176"/>
  <c r="J11" i="172"/>
  <c r="J12" i="172" s="1"/>
  <c r="J31" i="177"/>
  <c r="J15" i="175"/>
  <c r="K28" i="177"/>
  <c r="J23" i="178" s="1"/>
  <c r="Q16" i="178" l="1"/>
  <c r="Q23" i="168"/>
  <c r="Q26" i="168" s="1"/>
  <c r="Q9" i="168" s="1"/>
  <c r="Q10" i="168" s="1"/>
  <c r="S23" i="168"/>
  <c r="R23" i="168"/>
  <c r="K11" i="172"/>
  <c r="K12" i="172" s="1"/>
  <c r="K31" i="177"/>
  <c r="K15" i="175"/>
  <c r="L28" i="177"/>
  <c r="K23" i="178" s="1"/>
  <c r="H12" i="172"/>
  <c r="H10" i="176" s="1"/>
  <c r="I11" i="176" l="1"/>
  <c r="I12" i="176" s="1"/>
  <c r="C7" i="222"/>
  <c r="Q13" i="177"/>
  <c r="R7" i="168"/>
  <c r="Q29" i="168"/>
  <c r="Q8" i="178"/>
  <c r="Q9" i="178" s="1"/>
  <c r="Q20" i="178" s="1"/>
  <c r="M28" i="177"/>
  <c r="L23" i="178" s="1"/>
  <c r="L31" i="177"/>
  <c r="L15" i="175"/>
  <c r="L11" i="172"/>
  <c r="L12" i="172" s="1"/>
  <c r="H22" i="178"/>
  <c r="H11" i="176"/>
  <c r="I14" i="176" l="1"/>
  <c r="C10" i="222" s="1"/>
  <c r="C8" i="222"/>
  <c r="Q18" i="172"/>
  <c r="Q6" i="179"/>
  <c r="R8" i="168"/>
  <c r="N28" i="177"/>
  <c r="M23" i="178" s="1"/>
  <c r="M31" i="177"/>
  <c r="M15" i="175"/>
  <c r="I22" i="178"/>
  <c r="H12" i="176"/>
  <c r="H25" i="178" s="1"/>
  <c r="I25" i="178" s="1"/>
  <c r="M11" i="172"/>
  <c r="M12" i="172" s="1"/>
  <c r="Q20" i="172" l="1"/>
  <c r="Q19" i="172"/>
  <c r="R16" i="178"/>
  <c r="S24" i="168"/>
  <c r="R24" i="168"/>
  <c r="R26" i="168" s="1"/>
  <c r="R9" i="168" s="1"/>
  <c r="N11" i="172"/>
  <c r="N12" i="172" s="1"/>
  <c r="H14" i="176"/>
  <c r="I32" i="177" s="1"/>
  <c r="O28" i="177"/>
  <c r="N23" i="178" s="1"/>
  <c r="N31" i="177"/>
  <c r="N15" i="175"/>
  <c r="R29" i="168" l="1"/>
  <c r="R8" i="178"/>
  <c r="R9" i="178" s="1"/>
  <c r="R20" i="178" s="1"/>
  <c r="R10" i="168"/>
  <c r="O11" i="172"/>
  <c r="O12" i="172" s="1"/>
  <c r="P28" i="177"/>
  <c r="O23" i="178" s="1"/>
  <c r="O31" i="177"/>
  <c r="O15" i="175"/>
  <c r="I16" i="175"/>
  <c r="H24" i="178"/>
  <c r="I24" i="178" s="1"/>
  <c r="I34" i="177"/>
  <c r="R13" i="177" l="1"/>
  <c r="S7" i="168"/>
  <c r="R18" i="172"/>
  <c r="R6" i="179"/>
  <c r="I19" i="175"/>
  <c r="I18" i="175"/>
  <c r="I24" i="175" s="1"/>
  <c r="I28" i="178"/>
  <c r="H28" i="178"/>
  <c r="Q28" i="177"/>
  <c r="P23" i="178" s="1"/>
  <c r="P31" i="177"/>
  <c r="P15" i="175"/>
  <c r="P11" i="172"/>
  <c r="P12" i="172" s="1"/>
  <c r="R20" i="172" l="1"/>
  <c r="R19" i="172"/>
  <c r="R28" i="177" s="1"/>
  <c r="Q23" i="178" s="1"/>
  <c r="S8" i="168"/>
  <c r="C8" i="221"/>
  <c r="I31" i="178"/>
  <c r="I32" i="178" s="1"/>
  <c r="J30" i="178" s="1"/>
  <c r="C8" i="210"/>
  <c r="Q31" i="177"/>
  <c r="Q15" i="175"/>
  <c r="Q11" i="172"/>
  <c r="Q12" i="172" s="1"/>
  <c r="H31" i="178"/>
  <c r="H32" i="178" s="1"/>
  <c r="I5" i="177"/>
  <c r="S25" i="168" l="1"/>
  <c r="S26" i="168" s="1"/>
  <c r="S9" i="168" s="1"/>
  <c r="S10" i="168" s="1"/>
  <c r="S13" i="177" s="1"/>
  <c r="S16" i="178"/>
  <c r="C30" i="210" s="1"/>
  <c r="R31" i="177"/>
  <c r="R15" i="175"/>
  <c r="R11" i="172"/>
  <c r="R12" i="172" s="1"/>
  <c r="I17" i="177"/>
  <c r="I36" i="177" s="1"/>
  <c r="H34" i="178"/>
  <c r="I34" i="178"/>
  <c r="S29" i="168" l="1"/>
  <c r="S8" i="178"/>
  <c r="S11" i="172"/>
  <c r="R10" i="176"/>
  <c r="M10" i="176"/>
  <c r="L10" i="176"/>
  <c r="Q10" i="176"/>
  <c r="Q22" i="178" s="1"/>
  <c r="K10" i="176"/>
  <c r="N10" i="176"/>
  <c r="O10" i="176"/>
  <c r="P10" i="176"/>
  <c r="P11" i="176" s="1"/>
  <c r="J10" i="176"/>
  <c r="C14" i="222" l="1"/>
  <c r="J22" i="178"/>
  <c r="S12" i="172"/>
  <c r="S10" i="176" s="1"/>
  <c r="S9" i="178"/>
  <c r="S20" i="178" s="1"/>
  <c r="C28" i="210"/>
  <c r="K11" i="176"/>
  <c r="K22" i="178"/>
  <c r="N11" i="176"/>
  <c r="N22" i="178"/>
  <c r="R11" i="176"/>
  <c r="R22" i="178"/>
  <c r="M11" i="176"/>
  <c r="M22" i="178"/>
  <c r="J11" i="176"/>
  <c r="L22" i="178"/>
  <c r="L11" i="176"/>
  <c r="P12" i="176"/>
  <c r="P25" i="178" s="1"/>
  <c r="O11" i="176"/>
  <c r="O22" i="178"/>
  <c r="Q11" i="176"/>
  <c r="P22" i="178"/>
  <c r="S22" i="178" l="1"/>
  <c r="S11" i="176"/>
  <c r="S18" i="172"/>
  <c r="S6" i="179"/>
  <c r="P14" i="176"/>
  <c r="N12" i="176"/>
  <c r="N25" i="178" s="1"/>
  <c r="S12" i="176"/>
  <c r="S25" i="178" s="1"/>
  <c r="R12" i="176"/>
  <c r="R25" i="178" s="1"/>
  <c r="Q12" i="176"/>
  <c r="Q25" i="178" s="1"/>
  <c r="J12" i="176"/>
  <c r="L12" i="176"/>
  <c r="L25" i="178" s="1"/>
  <c r="O12" i="176"/>
  <c r="O25" i="178" s="1"/>
  <c r="M12" i="176"/>
  <c r="M25" i="178" s="1"/>
  <c r="K12" i="176"/>
  <c r="K25" i="178" s="1"/>
  <c r="S19" i="172" l="1"/>
  <c r="S20" i="172"/>
  <c r="M14" i="176"/>
  <c r="J25" i="178"/>
  <c r="C15" i="222"/>
  <c r="S28" i="177"/>
  <c r="O14" i="176"/>
  <c r="N14" i="176"/>
  <c r="Q14" i="176"/>
  <c r="R14" i="176"/>
  <c r="J14" i="176"/>
  <c r="L14" i="176"/>
  <c r="K14" i="176"/>
  <c r="S14" i="176"/>
  <c r="S23" i="178" l="1"/>
  <c r="R23" i="178"/>
  <c r="J32" i="177"/>
  <c r="J24" i="178" s="1"/>
  <c r="C16" i="222"/>
  <c r="S31" i="177"/>
  <c r="F19" i="179"/>
  <c r="S15" i="175"/>
  <c r="K32" i="177" l="1"/>
  <c r="L32" i="177" s="1"/>
  <c r="M32" i="177" s="1"/>
  <c r="N32" i="177" s="1"/>
  <c r="O32" i="177" s="1"/>
  <c r="P32" i="177" s="1"/>
  <c r="Q32" i="177" s="1"/>
  <c r="R32" i="177" s="1"/>
  <c r="S32" i="177" s="1"/>
  <c r="J16" i="175"/>
  <c r="J19" i="175" s="1"/>
  <c r="J34" i="177"/>
  <c r="C13" i="210"/>
  <c r="C13" i="221"/>
  <c r="J28" i="178"/>
  <c r="C14" i="210" s="1"/>
  <c r="J18" i="175" l="1"/>
  <c r="J24" i="175" s="1"/>
  <c r="J9" i="179" s="1"/>
  <c r="J10" i="179" s="1"/>
  <c r="K34" i="177"/>
  <c r="K16" i="175"/>
  <c r="K18" i="175" s="1"/>
  <c r="L34" i="177"/>
  <c r="L24" i="178"/>
  <c r="L28" i="178" s="1"/>
  <c r="L31" i="178" s="1"/>
  <c r="J5" i="177"/>
  <c r="L16" i="175"/>
  <c r="L19" i="175" s="1"/>
  <c r="K24" i="178"/>
  <c r="K28" i="178" s="1"/>
  <c r="K31" i="178" s="1"/>
  <c r="C14" i="221"/>
  <c r="J31" i="178"/>
  <c r="J32" i="178" s="1"/>
  <c r="K30" i="178" s="1"/>
  <c r="M34" i="177"/>
  <c r="M24" i="178"/>
  <c r="M28" i="178" s="1"/>
  <c r="M31" i="178" s="1"/>
  <c r="M16" i="175"/>
  <c r="K19" i="175" l="1"/>
  <c r="K24" i="175" s="1"/>
  <c r="K9" i="179" s="1"/>
  <c r="K10" i="179" s="1"/>
  <c r="L18" i="175"/>
  <c r="L24" i="175" s="1"/>
  <c r="L9" i="179" s="1"/>
  <c r="L10" i="179" s="1"/>
  <c r="K32" i="178"/>
  <c r="L30" i="178" s="1"/>
  <c r="L32" i="178" s="1"/>
  <c r="M30" i="178" s="1"/>
  <c r="J34" i="178"/>
  <c r="K5" i="177"/>
  <c r="L5" i="177" s="1"/>
  <c r="M5" i="177" s="1"/>
  <c r="J17" i="177"/>
  <c r="J36" i="177" s="1"/>
  <c r="M32" i="178"/>
  <c r="N30" i="178" s="1"/>
  <c r="N24" i="178"/>
  <c r="N28" i="178" s="1"/>
  <c r="N31" i="178" s="1"/>
  <c r="N34" i="177"/>
  <c r="N16" i="175"/>
  <c r="M18" i="175"/>
  <c r="M19" i="175"/>
  <c r="F14" i="179" l="1"/>
  <c r="K34" i="178"/>
  <c r="K17" i="177"/>
  <c r="K36" i="177" s="1"/>
  <c r="N5" i="177"/>
  <c r="M24" i="175"/>
  <c r="M9" i="179" s="1"/>
  <c r="M10" i="179" s="1"/>
  <c r="L34" i="178"/>
  <c r="L17" i="177"/>
  <c r="L36" i="177" s="1"/>
  <c r="N32" i="178"/>
  <c r="O30" i="178" s="1"/>
  <c r="O34" i="177"/>
  <c r="O24" i="178"/>
  <c r="O28" i="178" s="1"/>
  <c r="O31" i="178" s="1"/>
  <c r="O16" i="175"/>
  <c r="N19" i="175"/>
  <c r="N18" i="175"/>
  <c r="O5" i="177" l="1"/>
  <c r="O32" i="178"/>
  <c r="P30" i="178" s="1"/>
  <c r="M34" i="178"/>
  <c r="M17" i="177"/>
  <c r="M36" i="177" s="1"/>
  <c r="N24" i="175"/>
  <c r="N9" i="179" s="1"/>
  <c r="N10" i="179" s="1"/>
  <c r="P34" i="177"/>
  <c r="P16" i="175"/>
  <c r="P24" i="178"/>
  <c r="P28" i="178" s="1"/>
  <c r="P31" i="178" s="1"/>
  <c r="O19" i="175"/>
  <c r="O18" i="175"/>
  <c r="O24" i="175" l="1"/>
  <c r="O9" i="179" s="1"/>
  <c r="O10" i="179" s="1"/>
  <c r="P5" i="177"/>
  <c r="N34" i="178"/>
  <c r="N17" i="177"/>
  <c r="N36" i="177" s="1"/>
  <c r="P32" i="178"/>
  <c r="Q30" i="178" s="1"/>
  <c r="Q34" i="177"/>
  <c r="Q16" i="175"/>
  <c r="Q24" i="178"/>
  <c r="Q28" i="178" s="1"/>
  <c r="Q31" i="178" s="1"/>
  <c r="P19" i="175"/>
  <c r="P18" i="175"/>
  <c r="Q5" i="177" l="1"/>
  <c r="P24" i="175"/>
  <c r="P9" i="179" s="1"/>
  <c r="P10" i="179" s="1"/>
  <c r="O17" i="177"/>
  <c r="O36" i="177" s="1"/>
  <c r="O34" i="178"/>
  <c r="Q32" i="178"/>
  <c r="R30" i="178" s="1"/>
  <c r="R34" i="177"/>
  <c r="R24" i="178"/>
  <c r="R28" i="178" s="1"/>
  <c r="R16" i="175"/>
  <c r="Q19" i="175"/>
  <c r="Q18" i="175"/>
  <c r="R5" i="177" l="1"/>
  <c r="R31" i="178"/>
  <c r="R32" i="178" s="1"/>
  <c r="S30" i="178" s="1"/>
  <c r="C26" i="210"/>
  <c r="P34" i="178"/>
  <c r="P17" i="177"/>
  <c r="P36" i="177" s="1"/>
  <c r="S34" i="177"/>
  <c r="S24" i="178"/>
  <c r="S16" i="175"/>
  <c r="R18" i="175"/>
  <c r="R19" i="175"/>
  <c r="Q24" i="175"/>
  <c r="Q9" i="179" s="1"/>
  <c r="Q10" i="179" s="1"/>
  <c r="C31" i="210" l="1"/>
  <c r="S28" i="178"/>
  <c r="S5" i="177" s="1"/>
  <c r="Q34" i="178"/>
  <c r="Q17" i="177"/>
  <c r="Q36" i="177" s="1"/>
  <c r="R24" i="175"/>
  <c r="R9" i="179" s="1"/>
  <c r="R10" i="179" s="1"/>
  <c r="S19" i="175"/>
  <c r="S18" i="175"/>
  <c r="S24" i="175" l="1"/>
  <c r="S9" i="179" s="1"/>
  <c r="S7" i="179" s="1"/>
  <c r="R34" i="178"/>
  <c r="R17" i="177"/>
  <c r="R36" i="177" s="1"/>
  <c r="S31" i="178"/>
  <c r="S32" i="178" s="1"/>
  <c r="C32" i="210"/>
  <c r="S10" i="179" l="1"/>
  <c r="F18" i="179"/>
  <c r="S17" i="177"/>
  <c r="S36" i="177" s="1"/>
  <c r="S34" i="178"/>
  <c r="F15" i="179"/>
  <c r="S11" i="179"/>
  <c r="F16" i="179" s="1"/>
  <c r="F17" i="179" l="1"/>
  <c r="F20" i="179" l="1"/>
  <c r="G14" i="179"/>
  <c r="G16" i="179"/>
  <c r="F22" i="17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D7" authorId="0" shapeId="0" xr:uid="{3FEFE6AE-2518-448D-83C0-9F2F08283988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  <comment ref="D8" authorId="0" shapeId="0" xr:uid="{9D9CB96A-9C32-49DA-A7A8-53432C45D922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E8" authorId="0" shapeId="0" xr:uid="{A1DC1B0D-E091-4BB4-A3AF-BEB481363B6A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https://www.sec.gov/Archives/edgar/data/1408356/000156459017003084/scty-10k_20161231.htm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J29" authorId="0" shapeId="0" xr:uid="{A21B4EE5-C622-42A3-A995-A98E8A4FB4C4}">
      <text>
        <r>
          <rPr>
            <b/>
            <sz val="9"/>
            <color indexed="81"/>
            <rFont val="Tahoma"/>
            <family val="2"/>
            <charset val="204"/>
          </rPr>
          <t>Ned:
Off industry average; use "as a % of PP&amp;E"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G13" authorId="0" shapeId="0" xr:uid="{2C5FC8C5-08BE-4456-A9E0-E107928BCC13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Multiplied by 2 to reflect full year interest expense</t>
        </r>
      </text>
    </comment>
  </commentList>
</comments>
</file>

<file path=xl/sharedStrings.xml><?xml version="1.0" encoding="utf-8"?>
<sst xmlns="http://schemas.openxmlformats.org/spreadsheetml/2006/main" count="1296" uniqueCount="365">
  <si>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</si>
  <si>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</si>
  <si>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</si>
  <si>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</si>
  <si>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</si>
  <si>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</si>
  <si>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</si>
  <si>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</si>
  <si>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</si>
  <si>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</si>
  <si>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</si>
  <si>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</si>
  <si>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</si>
  <si>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</si>
  <si>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</si>
  <si>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</si>
  <si>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</si>
  <si>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</si>
  <si>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</si>
  <si>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</si>
  <si>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</si>
  <si>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</si>
  <si>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</si>
  <si>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</si>
  <si>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</si>
  <si>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</si>
  <si>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</si>
  <si>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</si>
  <si>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</si>
  <si>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</si>
  <si>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</si>
  <si>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</si>
  <si>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</si>
  <si>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</si>
  <si>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</si>
  <si>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</si>
  <si>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</si>
  <si>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</si>
  <si>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</si>
  <si>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</si>
  <si>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</si>
  <si>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</si>
  <si>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</si>
  <si>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</si>
  <si>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</si>
  <si>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</si>
  <si>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</si>
  <si>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</si>
  <si>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</si>
  <si>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</si>
  <si>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</si>
  <si>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</si>
  <si>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</si>
  <si>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</si>
  <si>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</si>
  <si>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</si>
  <si>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</si>
  <si>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</si>
  <si>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</si>
  <si>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</si>
  <si>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</si>
  <si>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</si>
  <si>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</si>
  <si>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</si>
  <si>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</si>
  <si>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</si>
  <si>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Other liabilities</t>
  </si>
  <si>
    <t>Input --&gt;</t>
  </si>
  <si>
    <t>Output --&gt;</t>
  </si>
  <si>
    <t>Total</t>
  </si>
  <si>
    <t>Selected case:</t>
  </si>
  <si>
    <t>Best case</t>
  </si>
  <si>
    <t>Base case</t>
  </si>
  <si>
    <t>Worst case</t>
  </si>
  <si>
    <t>Drivers</t>
  </si>
  <si>
    <t>Selected case</t>
  </si>
  <si>
    <t xml:space="preserve"> </t>
  </si>
  <si>
    <t>Gross Profit</t>
  </si>
  <si>
    <t>Opex</t>
  </si>
  <si>
    <t>Opex as a % of revenues</t>
  </si>
  <si>
    <t>Automotive revenues</t>
  </si>
  <si>
    <t>Beginning PP&amp;E</t>
  </si>
  <si>
    <t>Capex</t>
  </si>
  <si>
    <t>D&amp;A</t>
  </si>
  <si>
    <t>Ending PP&amp;E</t>
  </si>
  <si>
    <t>Total D&amp;A</t>
  </si>
  <si>
    <t>Capex as a % of PP&amp;E</t>
  </si>
  <si>
    <t>D&amp;A as a % of PP&amp;E</t>
  </si>
  <si>
    <t>D&amp;A as a % of revenues</t>
  </si>
  <si>
    <t>Capex as a % of revenues</t>
  </si>
  <si>
    <t>Useful life historical assets</t>
  </si>
  <si>
    <t>Useful life Capex</t>
  </si>
  <si>
    <t>Working capital</t>
  </si>
  <si>
    <t>Trade receivables</t>
  </si>
  <si>
    <t>Trade payables</t>
  </si>
  <si>
    <t>Cost of sales</t>
  </si>
  <si>
    <t>Financing</t>
  </si>
  <si>
    <t>Workings  --&gt;</t>
  </si>
  <si>
    <t>WACC</t>
  </si>
  <si>
    <t>Risk-free rate</t>
  </si>
  <si>
    <t>Market risk premium</t>
  </si>
  <si>
    <t>P&amp;L</t>
  </si>
  <si>
    <t>Taxes</t>
  </si>
  <si>
    <t>Net Income</t>
  </si>
  <si>
    <t>Revenues</t>
  </si>
  <si>
    <t>Operating expenses</t>
  </si>
  <si>
    <t>Interest expenses/income</t>
  </si>
  <si>
    <t>Corporate tax rate</t>
  </si>
  <si>
    <t>Cash</t>
  </si>
  <si>
    <t>Prepaid expenses</t>
  </si>
  <si>
    <t>Operating lease vehicles</t>
  </si>
  <si>
    <t>Solar energy systems leased</t>
  </si>
  <si>
    <t>PP&amp;E</t>
  </si>
  <si>
    <t>Long-term debt</t>
  </si>
  <si>
    <t>Intangible assets</t>
  </si>
  <si>
    <t>Total liabilities &amp; equity</t>
  </si>
  <si>
    <t>Equity</t>
  </si>
  <si>
    <t>Check</t>
  </si>
  <si>
    <t>as a % of revenues</t>
  </si>
  <si>
    <t>Stays flat</t>
  </si>
  <si>
    <t>Assumption</t>
  </si>
  <si>
    <t>PP&amp;E sheet</t>
  </si>
  <si>
    <t>Working capital sheet</t>
  </si>
  <si>
    <t>Cash flow sheet</t>
  </si>
  <si>
    <t>Grows as a % of revenues</t>
  </si>
  <si>
    <t>Financing sheet</t>
  </si>
  <si>
    <t>Interest rate</t>
  </si>
  <si>
    <t>Cash Flow</t>
  </si>
  <si>
    <t>NOPAT</t>
  </si>
  <si>
    <t>Investments in Working Capital</t>
  </si>
  <si>
    <t>Unlevered Free Cash Flow</t>
  </si>
  <si>
    <t>Interest expenses</t>
  </si>
  <si>
    <t>Delta Financial liabilities</t>
  </si>
  <si>
    <t>Net Cash Flow</t>
  </si>
  <si>
    <t>Opening cash</t>
  </si>
  <si>
    <t>Closing cash</t>
  </si>
  <si>
    <t>Other liabilties</t>
  </si>
  <si>
    <t>Restricted cash and securities</t>
  </si>
  <si>
    <t>Delta equity/Other equity movements</t>
  </si>
  <si>
    <t>Cover negative cash flows with:</t>
  </si>
  <si>
    <t>Debt</t>
  </si>
  <si>
    <t>Tax adjustment</t>
  </si>
  <si>
    <t>Operating taxes (30%)</t>
  </si>
  <si>
    <t>Add-back D&amp;A</t>
  </si>
  <si>
    <t>DCF Valuation</t>
  </si>
  <si>
    <t>g (Perpetuity growth)</t>
  </si>
  <si>
    <t>Discount factor (WACC)</t>
  </si>
  <si>
    <t>Present value of UFCF</t>
  </si>
  <si>
    <t>Perpetuity Growth Rate-Based Valuation</t>
  </si>
  <si>
    <t>Total PV of Cash Flows</t>
  </si>
  <si>
    <t>of Enterprise Value</t>
  </si>
  <si>
    <t>Continuing Value</t>
  </si>
  <si>
    <t>PV of Continuing Value</t>
  </si>
  <si>
    <t>Enterprise Value</t>
  </si>
  <si>
    <t>+Cash</t>
  </si>
  <si>
    <t>-Financial liabilities</t>
  </si>
  <si>
    <t>Equity Value</t>
  </si>
  <si>
    <t>Cost of equity</t>
  </si>
  <si>
    <t>Debt / (Debt + Equity)</t>
  </si>
  <si>
    <t>Equity / (Debt + Equity)</t>
  </si>
  <si>
    <t>Number of shares outstanding (as of 14 Jan 2018)</t>
  </si>
  <si>
    <t>Price per share</t>
  </si>
  <si>
    <t>Expected inflation</t>
  </si>
  <si>
    <t>Fixed asset roll forward</t>
  </si>
  <si>
    <t>Gross Cash Flow</t>
  </si>
  <si>
    <t>2017
Act</t>
  </si>
  <si>
    <t>P&amp;L Input</t>
  </si>
  <si>
    <t>31 Dec 
2017</t>
  </si>
  <si>
    <t>Balance Sheet Input</t>
  </si>
  <si>
    <t xml:space="preserve"> 30 Jun
2018</t>
  </si>
  <si>
    <t>Restructuring and other</t>
  </si>
  <si>
    <t>KPIs</t>
  </si>
  <si>
    <t>Vehicle</t>
  </si>
  <si>
    <t>2018 H1
Act</t>
  </si>
  <si>
    <t>Tesla Semi</t>
  </si>
  <si>
    <t>Tesla Model 3</t>
  </si>
  <si>
    <t>Tesla Model Y</t>
  </si>
  <si>
    <t>Tesla Pickup</t>
  </si>
  <si>
    <t>Tesla Roadster 2</t>
  </si>
  <si>
    <t>Average Price ($)</t>
  </si>
  <si>
    <t>Deliveries</t>
  </si>
  <si>
    <t>Tesla Model S and X</t>
  </si>
  <si>
    <t>Tesla Deliveries</t>
  </si>
  <si>
    <t>2018
Fcst</t>
  </si>
  <si>
    <t>2018 H2
Fcst</t>
  </si>
  <si>
    <t>2019
Fcst</t>
  </si>
  <si>
    <t>2020
Fcst</t>
  </si>
  <si>
    <t>2021
Fcst</t>
  </si>
  <si>
    <t>2022
Fcst</t>
  </si>
  <si>
    <t>2023
Fcst</t>
  </si>
  <si>
    <t>y-o-y growth %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</si>
  <si>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</si>
  <si>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</si>
  <si>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</si>
  <si>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</si>
  <si>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</si>
  <si>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</si>
  <si>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</si>
  <si>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Comparable companies</t>
  </si>
  <si>
    <t>Average</t>
  </si>
  <si>
    <t>Comparables</t>
  </si>
  <si>
    <t>Historical</t>
  </si>
  <si>
    <t xml:space="preserve">  </t>
  </si>
  <si>
    <t>GP %
Comp. 1</t>
  </si>
  <si>
    <t>GP %
Comp. 2</t>
  </si>
  <si>
    <t>GP %
Comp. 3</t>
  </si>
  <si>
    <t>GP %</t>
  </si>
  <si>
    <t>GM, Ford, Fiat Chrysler</t>
  </si>
  <si>
    <t>BMW, Mercedes Cars, Volkswagen</t>
  </si>
  <si>
    <t>Jaguar, Porsche, Ferrari</t>
  </si>
  <si>
    <t>Scania, MAN, Paccar</t>
  </si>
  <si>
    <t>Automotive</t>
  </si>
  <si>
    <t>Tesla Gross Profit (in mln $)</t>
  </si>
  <si>
    <t>Revenue Automotive</t>
  </si>
  <si>
    <t>Total Energy and Other</t>
  </si>
  <si>
    <t>Y-o-Y %</t>
  </si>
  <si>
    <t>Gross Profit Energy &amp; Other</t>
  </si>
  <si>
    <t>Tesla Revenue Automotive (in mln $)</t>
  </si>
  <si>
    <t>GP%</t>
  </si>
  <si>
    <t>Tesla GP% Energy and Other (in mln $)</t>
  </si>
  <si>
    <t>SolarCity</t>
  </si>
  <si>
    <t>Total Energy and Other + SolarCity</t>
  </si>
  <si>
    <t>Cost of sales automotive</t>
  </si>
  <si>
    <t>Opex %</t>
  </si>
  <si>
    <t>GM</t>
  </si>
  <si>
    <t>Ford</t>
  </si>
  <si>
    <t>Fiat Chrysler</t>
  </si>
  <si>
    <t>BMW</t>
  </si>
  <si>
    <t>Volkswagen</t>
  </si>
  <si>
    <t>Jaguar</t>
  </si>
  <si>
    <t>Porsche</t>
  </si>
  <si>
    <t>Ferrari</t>
  </si>
  <si>
    <t>Scania</t>
  </si>
  <si>
    <t>MAN</t>
  </si>
  <si>
    <t>Paccar</t>
  </si>
  <si>
    <t>Adj. Average</t>
  </si>
  <si>
    <t>Opex as a % of revenue</t>
  </si>
  <si>
    <t>Tesla Opex (in mln $)</t>
  </si>
  <si>
    <t>Tesla PP&amp;E (in mln $)</t>
  </si>
  <si>
    <t>31Dec2014
Act</t>
  </si>
  <si>
    <t>31Dec2015
Act</t>
  </si>
  <si>
    <t>31Dec2016
Act</t>
  </si>
  <si>
    <t>30Jun2018
Act</t>
  </si>
  <si>
    <t>Tesla D&amp;A (in mln $)</t>
  </si>
  <si>
    <t>31Dec2017
Act</t>
  </si>
  <si>
    <t>Energy &amp; Other</t>
  </si>
  <si>
    <t>Property, Plant &amp; Equipment</t>
  </si>
  <si>
    <t>Opex comparables</t>
  </si>
  <si>
    <t>PP&amp;E comparables</t>
  </si>
  <si>
    <t>Net trade cycle</t>
  </si>
  <si>
    <t>Tesla Working capital (in mln $)</t>
  </si>
  <si>
    <t>Cost of sales Energy &amp; Other</t>
  </si>
  <si>
    <t>Revenue Energy &amp; Other</t>
  </si>
  <si>
    <t>Income Statement items</t>
  </si>
  <si>
    <t>Tesla Financing (in mln $)</t>
  </si>
  <si>
    <t>Tesla WACC calculation (in mln $)</t>
  </si>
  <si>
    <t>Cost of debt</t>
  </si>
  <si>
    <t>Tesla Cash Flow (in mln $)</t>
  </si>
  <si>
    <t>Tesla P&amp;L (in mln $)</t>
  </si>
  <si>
    <t>Balance Sheet</t>
  </si>
  <si>
    <t>($ in million)</t>
  </si>
  <si>
    <t>Balance Sheet --&gt;</t>
  </si>
  <si>
    <t>Net income</t>
  </si>
  <si>
    <t>Minority interest</t>
  </si>
  <si>
    <t>Tesla BS (in mln $)</t>
  </si>
  <si>
    <t>Tax rate</t>
  </si>
  <si>
    <t>Assumed growth after introduction:</t>
  </si>
  <si>
    <t>2 years</t>
  </si>
  <si>
    <t>onwards</t>
  </si>
  <si>
    <t>2024
Fcst</t>
  </si>
  <si>
    <t>2025
Fcst</t>
  </si>
  <si>
    <t>2026
Fcst</t>
  </si>
  <si>
    <t>2027
Fcst</t>
  </si>
  <si>
    <t>2028
Fcst</t>
  </si>
  <si>
    <t>Deliveries comparables</t>
  </si>
  <si>
    <t>Comparables - 2017</t>
  </si>
  <si>
    <t>2024Fcst</t>
  </si>
  <si>
    <t>2025Fcst</t>
  </si>
  <si>
    <t>2026Fcst</t>
  </si>
  <si>
    <t>2027Fcst</t>
  </si>
  <si>
    <t>2028Fcst</t>
  </si>
  <si>
    <t>Continuing value</t>
  </si>
  <si>
    <t>Bridge Charts --&gt;</t>
  </si>
  <si>
    <t>Revenue 2018</t>
  </si>
  <si>
    <t>Revenue 2019</t>
  </si>
  <si>
    <t>Revenue bridge</t>
  </si>
  <si>
    <t>Revenue 2020</t>
  </si>
  <si>
    <t>Cash Flow 2018</t>
  </si>
  <si>
    <t>Cash Flow 2019</t>
  </si>
  <si>
    <t>Working Capital</t>
  </si>
  <si>
    <t>Other</t>
  </si>
  <si>
    <t>Cash flow bridge</t>
  </si>
  <si>
    <t>Cash Flow 2027</t>
  </si>
  <si>
    <t>Cash Flow 2028</t>
  </si>
  <si>
    <t>Present value of CV</t>
  </si>
  <si>
    <t>31Dec2018
Fcst</t>
  </si>
  <si>
    <t>31Dec2019
Fcst</t>
  </si>
  <si>
    <t>31Dec2020
Fcst</t>
  </si>
  <si>
    <t>31Dec2021
Fcst</t>
  </si>
  <si>
    <t>31Dec2022
Fcst</t>
  </si>
  <si>
    <t>31Dec2023
Fcst</t>
  </si>
  <si>
    <t>31Dec2024
Fcst</t>
  </si>
  <si>
    <t>31Dec2025
Fcst</t>
  </si>
  <si>
    <t>31Dec2026
Fcst</t>
  </si>
  <si>
    <t>31Dec2027
Fcst</t>
  </si>
  <si>
    <t>31Dec2028
Fcst</t>
  </si>
  <si>
    <t>Revenue and Gross Profit automotive</t>
  </si>
  <si>
    <t>Revenue automotive</t>
  </si>
  <si>
    <t>Gross Profit automotive</t>
  </si>
  <si>
    <t>Working Capital comparables</t>
  </si>
  <si>
    <t>Other Charts --&gt;</t>
  </si>
  <si>
    <t>Types of vehicles</t>
  </si>
  <si>
    <t>Vehicle type</t>
  </si>
  <si>
    <t>Car</t>
  </si>
  <si>
    <t>Pickup</t>
  </si>
  <si>
    <t>Truck</t>
  </si>
  <si>
    <t>Revenue</t>
  </si>
  <si>
    <t>EBIT%</t>
  </si>
  <si>
    <t>Revenue by type of car</t>
  </si>
  <si>
    <t>Price - Volume - Mix analysis --&gt;</t>
  </si>
  <si>
    <t>Revenue 2017 autom.</t>
  </si>
  <si>
    <t>Revenue 2018 autom.</t>
  </si>
  <si>
    <t>Average price 2017 ($ 000's)</t>
  </si>
  <si>
    <t>Average price 2018 ($ 000's)</t>
  </si>
  <si>
    <t>Average price 2019 ($ 000's)</t>
  </si>
  <si>
    <t>Deliveries 2017</t>
  </si>
  <si>
    <t>Deliveries 2018</t>
  </si>
  <si>
    <t>Deliveries 2019</t>
  </si>
  <si>
    <t>Δ Volume</t>
  </si>
  <si>
    <t>Δ Price</t>
  </si>
  <si>
    <t>Δ Mix</t>
  </si>
  <si>
    <t>Price-Volume-Mix Analysis Automotive</t>
  </si>
  <si>
    <t>Revenue 2019 autom.</t>
  </si>
  <si>
    <t>Expenses bridge</t>
  </si>
  <si>
    <t>Δ Revenues</t>
  </si>
  <si>
    <t>Δ Taxes</t>
  </si>
  <si>
    <t>Δ Cost of
 sales</t>
  </si>
  <si>
    <t>Δ Operating 
expenses</t>
  </si>
  <si>
    <t>Δ Interest 
expenses</t>
  </si>
  <si>
    <t>Δ Minority 
interest</t>
  </si>
  <si>
    <t>Net Inc. FY17</t>
  </si>
  <si>
    <t>Net Inc. FY18</t>
  </si>
  <si>
    <t>Net Inc. FY19</t>
  </si>
  <si>
    <t>Net Income Bridge FY17-FY19</t>
  </si>
  <si>
    <t>Tesla Revenue Energy &amp; Other (in mln $)</t>
  </si>
  <si>
    <t>Tesla Cost of sales Energy &amp; Other (in mln $)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</si>
  <si>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</si>
  <si>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</si>
  <si>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</si>
  <si>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</si>
  <si>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</si>
  <si>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</si>
  <si>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</si>
  <si>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</si>
  <si>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</si>
  <si>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</si>
  <si>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</si>
  <si>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10-year treasury yield (Sep 27 2018)</t>
  </si>
  <si>
    <t>Company beta (Sep 27 2018)</t>
  </si>
  <si>
    <t>Tesla share price (Sep 27 2018)</t>
  </si>
  <si>
    <t>Bond Yield (Sep 19 2018)</t>
  </si>
  <si>
    <t>Bond Yield as of Sep. 19</t>
  </si>
  <si>
    <t>Beta (as of 27 Sep 2018)</t>
  </si>
  <si>
    <t>Current bond Yield as of 19th Sep</t>
  </si>
  <si>
    <t>Tesla Cost of sales (in mln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</si>
</sst>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\ _л_в_._-;\-* #,##0.00\ _л_в_._-;_-* &quot;-&quot;??\ _л_в_._-;_-@_-"/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0.0%"/>
    <numFmt numFmtId="168" formatCode="#,##0.0_);\(#,##0.0\)"/>
    <numFmt numFmtId="169" formatCode="_(* #,##0.0_);_(* \(#,##0.0\);_(* &quot;-&quot;?_);_(@_)"/>
    <numFmt numFmtId="170" formatCode="0.0"/>
    <numFmt numFmtId="171" formatCode="_(* #,##0.000_);_(* \(#,##0.000\);_(* &quot;-&quot;??_);_(@_)"/>
    <numFmt numFmtId="172" formatCode="_(* #,##0.0_);_(* \(#,##0.0\);_(* &quot;-&quot;?_);@_l"/>
    <numFmt numFmtId="173" formatCode="_(* #,##0.0_);_(* \(#,##0.0\);_(* &quot;-&quot;?_);@_)"/>
    <numFmt numFmtId="174" formatCode="_(* #,##0_);_(* \(#,##0\);_(* &quot;-&quot;?_);@_)"/>
    <numFmt numFmtId="175" formatCode="#,##0_);\(#,##0\)"/>
  </numFmts>
  <fonts count="38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rgb="FF0070C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9"/>
      <color theme="0"/>
      <name val="Arial"/>
      <family val="2"/>
      <charset val="204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i/>
      <sz val="8"/>
      <name val="Arial"/>
      <family val="2"/>
      <charset val="204"/>
    </font>
    <font>
      <sz val="10"/>
      <color rgb="FF002060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b/>
      <sz val="10"/>
      <color theme="0"/>
      <name val="Arial"/>
      <family val="2"/>
      <charset val="204"/>
    </font>
    <font>
      <b/>
      <i/>
      <sz val="9"/>
      <name val="Arial"/>
      <family val="2"/>
      <charset val="204"/>
    </font>
    <font>
      <i/>
      <sz val="8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i/>
      <sz val="9"/>
      <color rgb="FF00206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theme="0"/>
      </patternFill>
    </fill>
    <fill>
      <patternFill patternType="lightGray">
        <bgColor theme="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thin">
        <color rgb="FF00206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5">
    <xf numFmtId="0" fontId="0" fillId="0" borderId="0">
      <alignment vertical="top"/>
    </xf>
    <xf numFmtId="164" fontId="1" fillId="0" borderId="0">
      <alignment vertical="top"/>
    </xf>
    <xf numFmtId="9" fontId="1" fillId="0" borderId="0">
      <alignment vertical="top"/>
    </xf>
    <xf numFmtId="0" fontId="21" fillId="0" borderId="0" applyNumberFormat="0" applyFill="0" applyBorder="0" applyAlignment="0" applyProtection="0"/>
    <xf numFmtId="0" fontId="36" fillId="0" borderId="0" applyNumberFormat="0" applyFill="0" applyBorder="0" applyAlignment="0" applyProtection="0">
      <alignment vertical="top"/>
    </xf>
  </cellStyleXfs>
  <cellXfs count="226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6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7" fillId="2" borderId="0" xfId="0" applyFont="1" applyFill="1">
      <alignment vertical="top"/>
    </xf>
    <xf numFmtId="0" fontId="3" fillId="2" borderId="0" xfId="0" applyFont="1" applyFill="1">
      <alignment vertical="top"/>
    </xf>
    <xf numFmtId="0" fontId="8" fillId="5" borderId="0" xfId="0" applyFont="1" applyFill="1">
      <alignment vertical="top"/>
    </xf>
    <xf numFmtId="166" fontId="4" fillId="2" borderId="0" xfId="1" applyNumberFormat="1" applyFont="1" applyFill="1">
      <alignment vertical="top"/>
    </xf>
    <xf numFmtId="9" fontId="4" fillId="4" borderId="0" xfId="2" applyFont="1" applyFill="1">
      <alignment vertical="top"/>
    </xf>
    <xf numFmtId="165" fontId="4" fillId="2" borderId="0" xfId="1" applyNumberFormat="1" applyFont="1" applyFill="1">
      <alignment vertical="top"/>
    </xf>
    <xf numFmtId="167" fontId="4" fillId="2" borderId="0" xfId="2" applyNumberFormat="1" applyFont="1" applyFill="1">
      <alignment vertical="top"/>
    </xf>
    <xf numFmtId="0" fontId="5" fillId="2" borderId="0" xfId="0" applyFont="1" applyFill="1" applyAlignment="1"/>
    <xf numFmtId="0" fontId="0" fillId="2" borderId="0" xfId="0" applyFill="1" applyAlignment="1"/>
    <xf numFmtId="0" fontId="11" fillId="2" borderId="0" xfId="0" applyFont="1" applyFill="1" applyAlignment="1"/>
    <xf numFmtId="0" fontId="12" fillId="2" borderId="0" xfId="0" applyFont="1" applyFill="1" applyAlignment="1"/>
    <xf numFmtId="0" fontId="13" fillId="2" borderId="0" xfId="0" applyFont="1" applyFill="1" applyAlignment="1"/>
    <xf numFmtId="0" fontId="4" fillId="2" borderId="0" xfId="0" applyFont="1" applyFill="1" applyAlignment="1"/>
    <xf numFmtId="165" fontId="11" fillId="2" borderId="0" xfId="0" applyNumberFormat="1" applyFont="1" applyFill="1" applyAlignment="1"/>
    <xf numFmtId="0" fontId="11" fillId="2" borderId="0" xfId="0" applyFont="1" applyFill="1" applyBorder="1" applyAlignment="1"/>
    <xf numFmtId="0" fontId="0" fillId="2" borderId="0" xfId="0" applyFill="1" applyBorder="1" applyAlignment="1"/>
    <xf numFmtId="165" fontId="11" fillId="2" borderId="0" xfId="1" applyNumberFormat="1" applyFont="1" applyFill="1" applyBorder="1" applyAlignment="1"/>
    <xf numFmtId="0" fontId="10" fillId="2" borderId="0" xfId="0" applyFont="1" applyFill="1" applyAlignment="1"/>
    <xf numFmtId="10" fontId="11" fillId="2" borderId="0" xfId="0" applyNumberFormat="1" applyFont="1" applyFill="1" applyAlignment="1"/>
    <xf numFmtId="0" fontId="14" fillId="2" borderId="0" xfId="0" applyFont="1" applyFill="1" applyAlignment="1"/>
    <xf numFmtId="167" fontId="14" fillId="2" borderId="0" xfId="0" applyNumberFormat="1" applyFont="1" applyFill="1" applyAlignment="1"/>
    <xf numFmtId="0" fontId="14" fillId="2" borderId="1" xfId="0" applyFont="1" applyFill="1" applyBorder="1" applyAlignment="1"/>
    <xf numFmtId="171" fontId="0" fillId="2" borderId="0" xfId="0" applyNumberFormat="1" applyFill="1" applyAlignment="1"/>
    <xf numFmtId="9" fontId="4" fillId="2" borderId="0" xfId="0" applyNumberFormat="1" applyFont="1" applyFill="1">
      <alignment vertical="top"/>
    </xf>
    <xf numFmtId="0" fontId="15" fillId="2" borderId="0" xfId="0" applyFont="1" applyFill="1">
      <alignment vertical="top"/>
    </xf>
    <xf numFmtId="0" fontId="3" fillId="2" borderId="3" xfId="0" applyFont="1" applyFill="1" applyBorder="1" applyAlignment="1">
      <alignment horizontal="left" wrapText="1"/>
    </xf>
    <xf numFmtId="172" fontId="16" fillId="6" borderId="0" xfId="0" applyNumberFormat="1" applyFont="1" applyFill="1" applyAlignment="1"/>
    <xf numFmtId="173" fontId="3" fillId="2" borderId="5" xfId="0" applyNumberFormat="1" applyFont="1" applyFill="1" applyBorder="1" applyAlignment="1"/>
    <xf numFmtId="173" fontId="3" fillId="2" borderId="1" xfId="0" applyNumberFormat="1" applyFont="1" applyFill="1" applyBorder="1" applyAlignment="1"/>
    <xf numFmtId="172" fontId="11" fillId="2" borderId="0" xfId="0" applyNumberFormat="1" applyFont="1" applyFill="1" applyAlignment="1"/>
    <xf numFmtId="172" fontId="10" fillId="2" borderId="0" xfId="0" applyNumberFormat="1" applyFont="1" applyFill="1" applyAlignment="1"/>
    <xf numFmtId="173" fontId="8" fillId="5" borderId="2" xfId="0" applyNumberFormat="1" applyFont="1" applyFill="1" applyBorder="1" applyAlignment="1"/>
    <xf numFmtId="172" fontId="4" fillId="2" borderId="0" xfId="0" applyNumberFormat="1" applyFont="1" applyFill="1" applyAlignment="1"/>
    <xf numFmtId="167" fontId="11" fillId="2" borderId="0" xfId="0" applyNumberFormat="1" applyFont="1" applyFill="1" applyAlignment="1">
      <alignment horizontal="right"/>
    </xf>
    <xf numFmtId="167" fontId="11" fillId="2" borderId="0" xfId="0" applyNumberFormat="1" applyFont="1" applyFill="1" applyAlignment="1"/>
    <xf numFmtId="9" fontId="11" fillId="2" borderId="0" xfId="0" applyNumberFormat="1" applyFont="1" applyFill="1" applyAlignment="1"/>
    <xf numFmtId="165" fontId="14" fillId="2" borderId="0" xfId="1" applyNumberFormat="1" applyFont="1" applyFill="1" applyBorder="1" applyAlignment="1"/>
    <xf numFmtId="173" fontId="18" fillId="2" borderId="0" xfId="0" applyNumberFormat="1" applyFont="1" applyFill="1" applyAlignment="1"/>
    <xf numFmtId="173" fontId="6" fillId="2" borderId="0" xfId="0" applyNumberFormat="1" applyFont="1" applyFill="1" applyAlignment="1"/>
    <xf numFmtId="173" fontId="19" fillId="2" borderId="0" xfId="0" applyNumberFormat="1" applyFont="1" applyFill="1" applyBorder="1" applyAlignment="1"/>
    <xf numFmtId="9" fontId="20" fillId="7" borderId="6" xfId="0" applyNumberFormat="1" applyFont="1" applyFill="1" applyBorder="1" applyAlignment="1">
      <alignment horizontal="center"/>
    </xf>
    <xf numFmtId="174" fontId="6" fillId="8" borderId="0" xfId="0" applyNumberFormat="1" applyFont="1" applyFill="1" applyAlignment="1"/>
    <xf numFmtId="173" fontId="19" fillId="2" borderId="5" xfId="0" applyNumberFormat="1" applyFont="1" applyFill="1" applyBorder="1" applyAlignment="1"/>
    <xf numFmtId="174" fontId="6" fillId="2" borderId="0" xfId="0" applyNumberFormat="1" applyFont="1" applyFill="1" applyAlignment="1"/>
    <xf numFmtId="174" fontId="19" fillId="2" borderId="5" xfId="0" applyNumberFormat="1" applyFont="1" applyFill="1" applyBorder="1" applyAlignment="1"/>
    <xf numFmtId="173" fontId="6" fillId="2" borderId="0" xfId="0" quotePrefix="1" applyNumberFormat="1" applyFont="1" applyFill="1" applyAlignment="1"/>
    <xf numFmtId="173" fontId="19" fillId="2" borderId="1" xfId="0" applyNumberFormat="1" applyFont="1" applyFill="1" applyBorder="1" applyAlignment="1"/>
    <xf numFmtId="174" fontId="6" fillId="8" borderId="1" xfId="0" applyNumberFormat="1" applyFont="1" applyFill="1" applyBorder="1" applyAlignment="1"/>
    <xf numFmtId="164" fontId="11" fillId="2" borderId="0" xfId="0" applyNumberFormat="1" applyFont="1" applyFill="1" applyAlignment="1"/>
    <xf numFmtId="167" fontId="6" fillId="2" borderId="0" xfId="2" applyNumberFormat="1" applyFont="1" applyFill="1" applyAlignment="1"/>
    <xf numFmtId="173" fontId="8" fillId="5" borderId="0" xfId="0" applyNumberFormat="1" applyFont="1" applyFill="1" applyAlignment="1"/>
    <xf numFmtId="0" fontId="3" fillId="2" borderId="3" xfId="0" applyFont="1" applyFill="1" applyBorder="1" applyAlignment="1">
      <alignment horizontal="right" wrapText="1"/>
    </xf>
    <xf numFmtId="166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10" borderId="3" xfId="0" applyFont="1" applyFill="1" applyBorder="1" applyAlignment="1">
      <alignment horizontal="right" wrapText="1"/>
    </xf>
    <xf numFmtId="0" fontId="24" fillId="3" borderId="0" xfId="0" applyFont="1" applyFill="1" applyAlignment="1"/>
    <xf numFmtId="2" fontId="24" fillId="3" borderId="0" xfId="0" applyNumberFormat="1" applyFont="1" applyFill="1" applyAlignment="1"/>
    <xf numFmtId="0" fontId="25" fillId="3" borderId="0" xfId="0" applyFont="1" applyFill="1" applyAlignment="1"/>
    <xf numFmtId="0" fontId="16" fillId="3" borderId="0" xfId="0" applyFont="1" applyFill="1" applyAlignment="1"/>
    <xf numFmtId="0" fontId="26" fillId="3" borderId="0" xfId="0" applyFont="1" applyFill="1" applyAlignment="1"/>
    <xf numFmtId="174" fontId="4" fillId="2" borderId="0" xfId="0" applyNumberFormat="1" applyFont="1" applyFill="1" applyBorder="1" applyAlignment="1">
      <alignment horizontal="right" vertical="top"/>
    </xf>
    <xf numFmtId="174" fontId="4" fillId="10" borderId="0" xfId="0" applyNumberFormat="1" applyFont="1" applyFill="1" applyBorder="1" applyAlignment="1">
      <alignment horizontal="right" vertical="top"/>
    </xf>
    <xf numFmtId="174" fontId="4" fillId="2" borderId="0" xfId="0" applyNumberFormat="1" applyFont="1" applyFill="1" applyAlignment="1">
      <alignment horizontal="right" vertical="top"/>
    </xf>
    <xf numFmtId="174" fontId="4" fillId="10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 applyAlignment="1">
      <alignment horizontal="right" vertical="top"/>
    </xf>
    <xf numFmtId="174" fontId="3" fillId="10" borderId="1" xfId="0" applyNumberFormat="1" applyFont="1" applyFill="1" applyBorder="1" applyAlignment="1">
      <alignment horizontal="right" vertical="top"/>
    </xf>
    <xf numFmtId="174" fontId="3" fillId="2" borderId="2" xfId="0" applyNumberFormat="1" applyFont="1" applyFill="1" applyBorder="1" applyAlignment="1">
      <alignment horizontal="right" vertical="top"/>
    </xf>
    <xf numFmtId="174" fontId="3" fillId="10" borderId="2" xfId="0" applyNumberFormat="1" applyFont="1" applyFill="1" applyBorder="1" applyAlignment="1">
      <alignment horizontal="right" vertical="top"/>
    </xf>
    <xf numFmtId="9" fontId="15" fillId="3" borderId="0" xfId="2" applyFont="1" applyFill="1">
      <alignment vertical="top"/>
    </xf>
    <xf numFmtId="174" fontId="4" fillId="2" borderId="0" xfId="1" applyNumberFormat="1" applyFont="1" applyFill="1" applyAlignment="1">
      <alignment horizontal="right" vertical="top"/>
    </xf>
    <xf numFmtId="174" fontId="4" fillId="10" borderId="0" xfId="1" applyNumberFormat="1" applyFont="1" applyFill="1" applyAlignment="1">
      <alignment horizontal="right" vertical="top"/>
    </xf>
    <xf numFmtId="174" fontId="3" fillId="2" borderId="1" xfId="1" applyNumberFormat="1" applyFont="1" applyFill="1" applyBorder="1" applyAlignment="1">
      <alignment horizontal="right" vertical="top"/>
    </xf>
    <xf numFmtId="174" fontId="3" fillId="10" borderId="1" xfId="1" applyNumberFormat="1" applyFont="1" applyFill="1" applyBorder="1" applyAlignment="1">
      <alignment horizontal="right" vertical="top"/>
    </xf>
    <xf numFmtId="174" fontId="3" fillId="2" borderId="2" xfId="1" applyNumberFormat="1" applyFont="1" applyFill="1" applyBorder="1" applyAlignment="1">
      <alignment horizontal="right" vertical="top"/>
    </xf>
    <xf numFmtId="174" fontId="3" fillId="10" borderId="2" xfId="1" applyNumberFormat="1" applyFont="1" applyFill="1" applyBorder="1" applyAlignment="1">
      <alignment horizontal="right" vertical="top"/>
    </xf>
    <xf numFmtId="174" fontId="3" fillId="2" borderId="0" xfId="1" applyNumberFormat="1" applyFont="1" applyFill="1" applyAlignment="1">
      <alignment horizontal="right" vertical="top"/>
    </xf>
    <xf numFmtId="174" fontId="3" fillId="10" borderId="0" xfId="1" applyNumberFormat="1" applyFont="1" applyFill="1" applyAlignment="1">
      <alignment horizontal="right" vertical="top"/>
    </xf>
    <xf numFmtId="174" fontId="4" fillId="2" borderId="0" xfId="1" applyNumberFormat="1" applyFont="1" applyFill="1">
      <alignment vertical="top"/>
    </xf>
    <xf numFmtId="174" fontId="4" fillId="2" borderId="0" xfId="0" applyNumberFormat="1" applyFont="1" applyFill="1">
      <alignment vertical="top"/>
    </xf>
    <xf numFmtId="174" fontId="4" fillId="10" borderId="0" xfId="0" applyNumberFormat="1" applyFont="1" applyFill="1">
      <alignment vertical="top"/>
    </xf>
    <xf numFmtId="0" fontId="27" fillId="3" borderId="0" xfId="0" applyFont="1" applyFill="1">
      <alignment vertical="top"/>
    </xf>
    <xf numFmtId="0" fontId="15" fillId="3" borderId="0" xfId="0" applyFont="1" applyFill="1">
      <alignment vertical="top"/>
    </xf>
    <xf numFmtId="9" fontId="15" fillId="3" borderId="0" xfId="0" applyNumberFormat="1" applyFont="1" applyFill="1">
      <alignment vertical="top"/>
    </xf>
    <xf numFmtId="9" fontId="15" fillId="3" borderId="0" xfId="2" applyFont="1" applyFill="1" applyAlignment="1">
      <alignment horizontal="right" vertical="top"/>
    </xf>
    <xf numFmtId="0" fontId="15" fillId="3" borderId="0" xfId="0" applyFont="1" applyFill="1" applyAlignment="1">
      <alignment horizontal="right" vertical="top"/>
    </xf>
    <xf numFmtId="174" fontId="3" fillId="2" borderId="2" xfId="1" applyNumberFormat="1" applyFont="1" applyFill="1" applyBorder="1">
      <alignment vertical="top"/>
    </xf>
    <xf numFmtId="9" fontId="15" fillId="3" borderId="0" xfId="0" applyNumberFormat="1" applyFont="1" applyFill="1" applyAlignment="1">
      <alignment horizontal="right" vertical="top"/>
    </xf>
    <xf numFmtId="0" fontId="3" fillId="10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28" fillId="2" borderId="0" xfId="0" applyFont="1" applyFill="1">
      <alignment vertical="top"/>
    </xf>
    <xf numFmtId="0" fontId="29" fillId="2" borderId="0" xfId="0" applyFont="1" applyFill="1">
      <alignment vertical="top"/>
    </xf>
    <xf numFmtId="9" fontId="4" fillId="2" borderId="0" xfId="0" applyNumberFormat="1" applyFont="1" applyFill="1" applyAlignment="1">
      <alignment horizontal="left" vertical="top"/>
    </xf>
    <xf numFmtId="167" fontId="4" fillId="2" borderId="0" xfId="0" applyNumberFormat="1" applyFont="1" applyFill="1">
      <alignment vertical="top"/>
    </xf>
    <xf numFmtId="167" fontId="4" fillId="2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>
      <alignment vertical="top"/>
    </xf>
    <xf numFmtId="174" fontId="3" fillId="10" borderId="1" xfId="0" applyNumberFormat="1" applyFont="1" applyFill="1" applyBorder="1">
      <alignment vertical="top"/>
    </xf>
    <xf numFmtId="0" fontId="32" fillId="3" borderId="0" xfId="0" applyFont="1" applyFill="1">
      <alignment vertical="top"/>
    </xf>
    <xf numFmtId="1" fontId="4" fillId="2" borderId="0" xfId="0" applyNumberFormat="1" applyFont="1" applyFill="1">
      <alignment vertical="top"/>
    </xf>
    <xf numFmtId="9" fontId="4" fillId="3" borderId="0" xfId="2" applyFont="1" applyFill="1">
      <alignment vertical="top"/>
    </xf>
    <xf numFmtId="9" fontId="4" fillId="0" borderId="0" xfId="2" applyFont="1">
      <alignment vertical="top"/>
    </xf>
    <xf numFmtId="167" fontId="4" fillId="10" borderId="0" xfId="2" applyNumberFormat="1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9" fontId="4" fillId="3" borderId="0" xfId="0" applyNumberFormat="1" applyFont="1" applyFill="1" applyAlignment="1">
      <alignment horizontal="right" vertical="top"/>
    </xf>
    <xf numFmtId="9" fontId="3" fillId="2" borderId="1" xfId="0" applyNumberFormat="1" applyFont="1" applyFill="1" applyBorder="1">
      <alignment vertical="top"/>
    </xf>
    <xf numFmtId="0" fontId="3" fillId="2" borderId="4" xfId="0" applyFont="1" applyFill="1" applyBorder="1" applyAlignment="1"/>
    <xf numFmtId="0" fontId="15" fillId="3" borderId="0" xfId="0" applyFont="1" applyFill="1" applyAlignment="1"/>
    <xf numFmtId="167" fontId="15" fillId="3" borderId="0" xfId="2" applyNumberFormat="1" applyFont="1" applyFill="1">
      <alignment vertical="top"/>
    </xf>
    <xf numFmtId="167" fontId="15" fillId="3" borderId="0" xfId="0" applyNumberFormat="1" applyFont="1" applyFill="1" applyAlignment="1"/>
    <xf numFmtId="0" fontId="33" fillId="5" borderId="0" xfId="0" applyFont="1" applyFill="1" applyAlignment="1"/>
    <xf numFmtId="0" fontId="34" fillId="2" borderId="0" xfId="0" applyFont="1" applyFill="1" applyAlignment="1"/>
    <xf numFmtId="0" fontId="33" fillId="2" borderId="0" xfId="0" applyFont="1" applyFill="1" applyAlignment="1"/>
    <xf numFmtId="166" fontId="9" fillId="2" borderId="0" xfId="1" applyNumberFormat="1" applyFont="1" applyFill="1" applyAlignment="1"/>
    <xf numFmtId="166" fontId="11" fillId="2" borderId="0" xfId="1" applyNumberFormat="1" applyFont="1" applyFill="1" applyAlignment="1"/>
    <xf numFmtId="166" fontId="4" fillId="10" borderId="0" xfId="0" applyNumberFormat="1" applyFont="1" applyFill="1" applyAlignment="1">
      <alignment horizontal="right" vertical="top"/>
    </xf>
    <xf numFmtId="166" fontId="9" fillId="2" borderId="0" xfId="0" applyNumberFormat="1" applyFont="1" applyFill="1" applyAlignment="1"/>
    <xf numFmtId="166" fontId="3" fillId="2" borderId="4" xfId="0" applyNumberFormat="1" applyFont="1" applyFill="1" applyBorder="1" applyAlignment="1"/>
    <xf numFmtId="9" fontId="3" fillId="2" borderId="1" xfId="0" applyNumberFormat="1" applyFont="1" applyFill="1" applyBorder="1" applyAlignment="1">
      <alignment horizontal="right" vertical="top"/>
    </xf>
    <xf numFmtId="0" fontId="4" fillId="3" borderId="0" xfId="0" applyFont="1" applyFill="1">
      <alignment vertical="top"/>
    </xf>
    <xf numFmtId="165" fontId="15" fillId="3" borderId="0" xfId="1" applyNumberFormat="1" applyFont="1" applyFill="1">
      <alignment vertical="top"/>
    </xf>
    <xf numFmtId="168" fontId="4" fillId="10" borderId="0" xfId="1" applyNumberFormat="1" applyFont="1" applyFill="1">
      <alignment vertical="top"/>
    </xf>
    <xf numFmtId="175" fontId="4" fillId="2" borderId="0" xfId="0" applyNumberFormat="1" applyFont="1" applyFill="1">
      <alignment vertical="top"/>
    </xf>
    <xf numFmtId="175" fontId="4" fillId="10" borderId="0" xfId="1" applyNumberFormat="1" applyFont="1" applyFill="1">
      <alignment vertical="top"/>
    </xf>
    <xf numFmtId="165" fontId="4" fillId="0" borderId="0" xfId="1" applyNumberFormat="1" applyFont="1">
      <alignment vertical="top"/>
    </xf>
    <xf numFmtId="164" fontId="4" fillId="10" borderId="0" xfId="1" applyFont="1" applyFill="1">
      <alignment vertical="top"/>
    </xf>
    <xf numFmtId="164" fontId="3" fillId="10" borderId="1" xfId="1" applyFont="1" applyFill="1" applyBorder="1">
      <alignment vertical="top"/>
    </xf>
    <xf numFmtId="165" fontId="4" fillId="3" borderId="0" xfId="1" applyNumberFormat="1" applyFont="1" applyFill="1">
      <alignment vertical="top"/>
    </xf>
    <xf numFmtId="165" fontId="4" fillId="2" borderId="0" xfId="0" applyNumberFormat="1" applyFont="1" applyFill="1" applyAlignment="1">
      <alignment horizontal="right" vertical="top"/>
    </xf>
    <xf numFmtId="164" fontId="4" fillId="10" borderId="0" xfId="0" applyNumberFormat="1" applyFont="1" applyFill="1">
      <alignment vertical="top"/>
    </xf>
    <xf numFmtId="0" fontId="4" fillId="3" borderId="0" xfId="0" applyFont="1" applyFill="1" applyAlignment="1"/>
    <xf numFmtId="165" fontId="3" fillId="2" borderId="1" xfId="1" applyNumberFormat="1" applyFont="1" applyFill="1" applyBorder="1">
      <alignment vertical="top"/>
    </xf>
    <xf numFmtId="9" fontId="8" fillId="5" borderId="0" xfId="0" applyNumberFormat="1" applyFont="1" applyFill="1" applyAlignment="1"/>
    <xf numFmtId="165" fontId="11" fillId="10" borderId="0" xfId="1" applyNumberFormat="1" applyFont="1" applyFill="1" applyBorder="1" applyAlignment="1"/>
    <xf numFmtId="165" fontId="11" fillId="10" borderId="0" xfId="0" applyNumberFormat="1" applyFont="1" applyFill="1" applyAlignment="1"/>
    <xf numFmtId="167" fontId="11" fillId="10" borderId="0" xfId="0" applyNumberFormat="1" applyFont="1" applyFill="1" applyAlignment="1">
      <alignment horizontal="right"/>
    </xf>
    <xf numFmtId="167" fontId="11" fillId="10" borderId="0" xfId="0" applyNumberFormat="1" applyFont="1" applyFill="1" applyAlignment="1"/>
    <xf numFmtId="0" fontId="11" fillId="10" borderId="0" xfId="0" applyFont="1" applyFill="1" applyAlignment="1"/>
    <xf numFmtId="164" fontId="11" fillId="10" borderId="0" xfId="0" applyNumberFormat="1" applyFont="1" applyFill="1" applyAlignment="1"/>
    <xf numFmtId="174" fontId="6" fillId="10" borderId="0" xfId="0" applyNumberFormat="1" applyFont="1" applyFill="1" applyAlignment="1"/>
    <xf numFmtId="173" fontId="6" fillId="10" borderId="0" xfId="0" applyNumberFormat="1" applyFont="1" applyFill="1" applyAlignment="1"/>
    <xf numFmtId="167" fontId="6" fillId="10" borderId="0" xfId="1" applyNumberFormat="1" applyFont="1" applyFill="1" applyAlignment="1"/>
    <xf numFmtId="174" fontId="23" fillId="10" borderId="1" xfId="0" applyNumberFormat="1" applyFont="1" applyFill="1" applyBorder="1" applyAlignment="1"/>
    <xf numFmtId="165" fontId="11" fillId="2" borderId="0" xfId="1" applyNumberFormat="1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173" fontId="3" fillId="2" borderId="5" xfId="0" applyNumberFormat="1" applyFont="1" applyFill="1" applyBorder="1" applyAlignment="1">
      <alignment horizontal="right"/>
    </xf>
    <xf numFmtId="173" fontId="3" fillId="2" borderId="1" xfId="0" applyNumberFormat="1" applyFont="1" applyFill="1" applyBorder="1" applyAlignment="1">
      <alignment horizontal="right"/>
    </xf>
    <xf numFmtId="165" fontId="17" fillId="5" borderId="2" xfId="0" applyNumberFormat="1" applyFont="1" applyFill="1" applyBorder="1" applyAlignment="1">
      <alignment horizontal="right"/>
    </xf>
    <xf numFmtId="165" fontId="8" fillId="5" borderId="2" xfId="0" applyNumberFormat="1" applyFont="1" applyFill="1" applyBorder="1" applyAlignment="1">
      <alignment horizontal="right"/>
    </xf>
    <xf numFmtId="165" fontId="4" fillId="2" borderId="0" xfId="0" applyNumberFormat="1" applyFont="1" applyFill="1" applyAlignment="1">
      <alignment horizontal="right"/>
    </xf>
    <xf numFmtId="166" fontId="11" fillId="2" borderId="0" xfId="1" applyNumberFormat="1" applyFont="1" applyFill="1" applyBorder="1" applyAlignment="1"/>
    <xf numFmtId="166" fontId="4" fillId="10" borderId="0" xfId="1" applyNumberFormat="1" applyFont="1" applyFill="1">
      <alignment vertical="top"/>
    </xf>
    <xf numFmtId="166" fontId="14" fillId="2" borderId="1" xfId="1" applyNumberFormat="1" applyFont="1" applyFill="1" applyBorder="1" applyAlignment="1"/>
    <xf numFmtId="166" fontId="3" fillId="10" borderId="1" xfId="1" applyNumberFormat="1" applyFont="1" applyFill="1" applyBorder="1">
      <alignment vertical="top"/>
    </xf>
    <xf numFmtId="166" fontId="14" fillId="2" borderId="1" xfId="0" applyNumberFormat="1" applyFont="1" applyFill="1" applyBorder="1" applyAlignment="1"/>
    <xf numFmtId="166" fontId="11" fillId="10" borderId="0" xfId="1" applyNumberFormat="1" applyFont="1" applyFill="1" applyBorder="1" applyAlignment="1"/>
    <xf numFmtId="174" fontId="4" fillId="2" borderId="0" xfId="0" applyNumberFormat="1" applyFont="1" applyFill="1" applyBorder="1" applyAlignment="1">
      <alignment horizontal="right" vertical="center"/>
    </xf>
    <xf numFmtId="0" fontId="15" fillId="6" borderId="0" xfId="0" applyFont="1" applyFill="1" applyAlignment="1"/>
    <xf numFmtId="0" fontId="32" fillId="6" borderId="0" xfId="0" applyFont="1" applyFill="1" applyAlignment="1"/>
    <xf numFmtId="166" fontId="4" fillId="10" borderId="0" xfId="1" applyNumberFormat="1" applyFont="1" applyFill="1" applyAlignment="1">
      <alignment horizontal="right" vertical="top"/>
    </xf>
    <xf numFmtId="166" fontId="4" fillId="2" borderId="0" xfId="0" applyNumberFormat="1" applyFont="1" applyFill="1" applyAlignment="1">
      <alignment horizontal="right" vertical="top"/>
    </xf>
    <xf numFmtId="173" fontId="4" fillId="2" borderId="0" xfId="0" applyNumberFormat="1" applyFont="1" applyFill="1" applyAlignment="1">
      <alignment horizontal="right" vertical="top"/>
    </xf>
    <xf numFmtId="175" fontId="4" fillId="2" borderId="0" xfId="1" applyNumberFormat="1" applyFont="1" applyFill="1">
      <alignment vertical="top"/>
    </xf>
    <xf numFmtId="166" fontId="3" fillId="2" borderId="1" xfId="1" applyNumberFormat="1" applyFont="1" applyFill="1" applyBorder="1">
      <alignment vertical="top"/>
    </xf>
    <xf numFmtId="170" fontId="4" fillId="2" borderId="0" xfId="0" applyNumberFormat="1" applyFont="1" applyFill="1">
      <alignment vertical="top"/>
    </xf>
    <xf numFmtId="169" fontId="4" fillId="2" borderId="0" xfId="0" applyNumberFormat="1" applyFont="1" applyFill="1">
      <alignment vertical="top"/>
    </xf>
    <xf numFmtId="1" fontId="15" fillId="6" borderId="0" xfId="0" applyNumberFormat="1" applyFont="1" applyFill="1" applyAlignment="1"/>
    <xf numFmtId="166" fontId="15" fillId="6" borderId="0" xfId="0" applyNumberFormat="1" applyFont="1" applyFill="1" applyAlignment="1"/>
    <xf numFmtId="174" fontId="15" fillId="2" borderId="0" xfId="0" applyNumberFormat="1" applyFont="1" applyFill="1">
      <alignment vertical="top"/>
    </xf>
    <xf numFmtId="166" fontId="3" fillId="2" borderId="4" xfId="0" applyNumberFormat="1" applyFont="1" applyFill="1" applyBorder="1" applyAlignment="1">
      <alignment horizontal="right"/>
    </xf>
    <xf numFmtId="166" fontId="11" fillId="2" borderId="0" xfId="1" applyNumberFormat="1" applyFont="1" applyFill="1" applyBorder="1" applyAlignment="1">
      <alignment horizontal="right"/>
    </xf>
    <xf numFmtId="166" fontId="3" fillId="2" borderId="5" xfId="0" applyNumberFormat="1" applyFont="1" applyFill="1" applyBorder="1" applyAlignment="1">
      <alignment horizontal="right"/>
    </xf>
    <xf numFmtId="166" fontId="3" fillId="2" borderId="5" xfId="0" applyNumberFormat="1" applyFont="1" applyFill="1" applyBorder="1" applyAlignment="1"/>
    <xf numFmtId="166" fontId="3" fillId="10" borderId="5" xfId="0" applyNumberFormat="1" applyFont="1" applyFill="1" applyBorder="1" applyAlignment="1"/>
    <xf numFmtId="166" fontId="3" fillId="2" borderId="1" xfId="0" applyNumberFormat="1" applyFont="1" applyFill="1" applyBorder="1" applyAlignment="1">
      <alignment horizontal="right"/>
    </xf>
    <xf numFmtId="166" fontId="3" fillId="2" borderId="1" xfId="0" applyNumberFormat="1" applyFont="1" applyFill="1" applyBorder="1" applyAlignment="1"/>
    <xf numFmtId="166" fontId="3" fillId="10" borderId="1" xfId="0" applyNumberFormat="1" applyFont="1" applyFill="1" applyBorder="1" applyAlignment="1"/>
    <xf numFmtId="166" fontId="4" fillId="2" borderId="0" xfId="0" applyNumberFormat="1" applyFont="1" applyFill="1" applyAlignment="1">
      <alignment horizontal="right"/>
    </xf>
    <xf numFmtId="166" fontId="4" fillId="2" borderId="0" xfId="0" applyNumberFormat="1" applyFont="1" applyFill="1" applyAlignment="1"/>
    <xf numFmtId="166" fontId="4" fillId="10" borderId="0" xfId="0" applyNumberFormat="1" applyFont="1" applyFill="1" applyAlignment="1"/>
    <xf numFmtId="166" fontId="8" fillId="5" borderId="2" xfId="0" applyNumberFormat="1" applyFont="1" applyFill="1" applyBorder="1" applyAlignment="1">
      <alignment horizontal="right"/>
    </xf>
    <xf numFmtId="166" fontId="17" fillId="5" borderId="2" xfId="0" applyNumberFormat="1" applyFont="1" applyFill="1" applyBorder="1" applyAlignment="1">
      <alignment horizontal="right"/>
    </xf>
    <xf numFmtId="166" fontId="8" fillId="5" borderId="2" xfId="0" applyNumberFormat="1" applyFont="1" applyFill="1" applyBorder="1" applyAlignment="1"/>
    <xf numFmtId="0" fontId="35" fillId="2" borderId="0" xfId="0" applyFont="1" applyFill="1">
      <alignment vertical="top"/>
    </xf>
    <xf numFmtId="167" fontId="35" fillId="2" borderId="0" xfId="2" applyNumberFormat="1" applyFont="1" applyFill="1">
      <alignment vertical="top"/>
    </xf>
    <xf numFmtId="167" fontId="35" fillId="4" borderId="0" xfId="1" applyNumberFormat="1" applyFont="1" applyFill="1">
      <alignment vertical="top"/>
    </xf>
    <xf numFmtId="167" fontId="35" fillId="10" borderId="0" xfId="1" applyNumberFormat="1" applyFont="1" applyFill="1">
      <alignment vertical="top"/>
    </xf>
    <xf numFmtId="165" fontId="14" fillId="10" borderId="0" xfId="1" applyNumberFormat="1" applyFont="1" applyFill="1" applyBorder="1" applyAlignment="1">
      <alignment horizontal="right"/>
    </xf>
    <xf numFmtId="165" fontId="11" fillId="10" borderId="0" xfId="0" applyNumberFormat="1" applyFont="1" applyFill="1" applyAlignment="1">
      <alignment horizontal="right"/>
    </xf>
    <xf numFmtId="165" fontId="11" fillId="10" borderId="0" xfId="1" applyNumberFormat="1" applyFont="1" applyFill="1" applyBorder="1" applyAlignment="1">
      <alignment horizontal="right"/>
    </xf>
    <xf numFmtId="166" fontId="4" fillId="4" borderId="0" xfId="1" applyNumberFormat="1" applyFont="1" applyFill="1">
      <alignment vertical="top"/>
    </xf>
    <xf numFmtId="166" fontId="4" fillId="4" borderId="0" xfId="1" applyNumberFormat="1" applyFont="1" applyFill="1" applyBorder="1">
      <alignment vertical="top"/>
    </xf>
    <xf numFmtId="166" fontId="4" fillId="10" borderId="0" xfId="1" applyNumberFormat="1" applyFont="1" applyFill="1" applyBorder="1">
      <alignment vertical="top"/>
    </xf>
    <xf numFmtId="166" fontId="3" fillId="2" borderId="0" xfId="0" applyNumberFormat="1" applyFont="1" applyFill="1">
      <alignment vertical="top"/>
    </xf>
    <xf numFmtId="166" fontId="3" fillId="4" borderId="0" xfId="1" applyNumberFormat="1" applyFont="1" applyFill="1">
      <alignment vertical="top"/>
    </xf>
    <xf numFmtId="166" fontId="3" fillId="10" borderId="0" xfId="1" applyNumberFormat="1" applyFont="1" applyFill="1">
      <alignment vertical="top"/>
    </xf>
    <xf numFmtId="43" fontId="11" fillId="2" borderId="0" xfId="0" applyNumberFormat="1" applyFont="1" applyFill="1" applyAlignment="1"/>
    <xf numFmtId="1" fontId="4" fillId="2" borderId="0" xfId="0" applyNumberFormat="1" applyFont="1" applyFill="1" applyAlignment="1">
      <alignment horizontal="right"/>
    </xf>
    <xf numFmtId="9" fontId="11" fillId="10" borderId="0" xfId="0" applyNumberFormat="1" applyFont="1" applyFill="1" applyAlignment="1"/>
    <xf numFmtId="167" fontId="3" fillId="2" borderId="4" xfId="0" applyNumberFormat="1" applyFont="1" applyFill="1" applyBorder="1" applyAlignment="1"/>
    <xf numFmtId="2" fontId="4" fillId="3" borderId="0" xfId="0" applyNumberFormat="1" applyFont="1" applyFill="1" applyAlignment="1">
      <alignment horizontal="right" vertical="top"/>
    </xf>
    <xf numFmtId="2" fontId="4" fillId="2" borderId="0" xfId="0" applyNumberFormat="1" applyFont="1" applyFill="1">
      <alignment vertical="top"/>
    </xf>
    <xf numFmtId="2" fontId="3" fillId="2" borderId="1" xfId="0" applyNumberFormat="1" applyFont="1" applyFill="1" applyBorder="1" applyAlignment="1">
      <alignment horizontal="right" vertical="top"/>
    </xf>
    <xf numFmtId="0" fontId="36" fillId="2" borderId="0" xfId="4" applyFill="1">
      <alignment vertical="top"/>
    </xf>
    <xf numFmtId="172" fontId="24" fillId="6" borderId="0" xfId="0" applyNumberFormat="1" applyFont="1" applyFill="1" applyAlignment="1"/>
    <xf numFmtId="9" fontId="35" fillId="2" borderId="0" xfId="2" applyFont="1" applyFill="1">
      <alignment vertical="top"/>
    </xf>
    <xf numFmtId="166" fontId="4" fillId="10" borderId="0" xfId="0" applyNumberFormat="1" applyFont="1" applyFill="1">
      <alignment vertical="top"/>
    </xf>
    <xf numFmtId="167" fontId="35" fillId="2" borderId="0" xfId="0" applyNumberFormat="1" applyFont="1" applyFill="1">
      <alignment vertical="top"/>
    </xf>
    <xf numFmtId="167" fontId="35" fillId="10" borderId="0" xfId="0" applyNumberFormat="1" applyFont="1" applyFill="1">
      <alignment vertical="top"/>
    </xf>
    <xf numFmtId="0" fontId="14" fillId="2" borderId="0" xfId="0" applyFont="1" applyFill="1" applyBorder="1" applyAlignment="1"/>
    <xf numFmtId="0" fontId="11" fillId="2" borderId="0" xfId="0" applyFont="1" applyFill="1" applyBorder="1" applyAlignment="1">
      <alignment wrapText="1"/>
    </xf>
    <xf numFmtId="0" fontId="37" fillId="2" borderId="0" xfId="0" applyFont="1" applyFill="1">
      <alignment vertical="top"/>
    </xf>
    <xf numFmtId="9" fontId="35" fillId="10" borderId="0" xfId="0" applyNumberFormat="1" applyFont="1" applyFill="1">
      <alignment vertical="top"/>
    </xf>
    <xf numFmtId="2" fontId="24" fillId="3" borderId="0" xfId="0" applyNumberFormat="1" applyFont="1" applyFill="1" applyAlignment="1">
      <alignment horizontal="right"/>
    </xf>
    <xf numFmtId="0" fontId="8" fillId="5" borderId="0" xfId="0" applyFont="1" applyFill="1" applyAlignment="1">
      <alignment horizontal="center" vertical="top"/>
    </xf>
    <xf numFmtId="0" fontId="22" fillId="9" borderId="0" xfId="3" applyNumberFormat="1" applyFont="1" applyFill="1" applyBorder="1" applyAlignment="1">
      <alignment horizontal="center"/>
    </xf>
  </cellXfs>
  <cellStyles count="5">
    <cellStyle name="Comma" xfId="1" builtinId="3"/>
    <cellStyle name="Hyperlink" xfId="4" builtinId="8"/>
    <cellStyle name="Normal" xfId="0" builtinId="0"/>
    <cellStyle name="Normal_Project Accel Valuation v56" xfId="3" xr:uid="{00000000-0005-0000-0000-000002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Tesla vehicle</a:t>
            </a:r>
            <a:r>
              <a:rPr lang="en-US" sz="1400" b="1" baseline="0">
                <a:solidFill>
                  <a:srgbClr val="002060"/>
                </a:solidFill>
              </a:rPr>
              <a:t> deliveries 2014-2027 (actuals and forecasts)</a:t>
            </a:r>
            <a:endParaRPr lang="en-US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0621780083541838E-2"/>
          <c:y val="2.0921471574044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9941694014521E-2"/>
          <c:y val="0.11001056524035922"/>
          <c:w val="0.89789168805756225"/>
          <c:h val="0.7392804405788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Deliveries!$B$5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Deliveries!$C$5:$S$5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1764</c:v>
                </c:pt>
                <c:pt idx="4">
                  <c:v>26620</c:v>
                </c:pt>
                <c:pt idx="5">
                  <c:v>104000</c:v>
                </c:pt>
                <c:pt idx="6">
                  <c:v>130620</c:v>
                </c:pt>
                <c:pt idx="7">
                  <c:v>260000</c:v>
                </c:pt>
                <c:pt idx="8">
                  <c:v>416000</c:v>
                </c:pt>
                <c:pt idx="9">
                  <c:v>457600.00000000006</c:v>
                </c:pt>
                <c:pt idx="10">
                  <c:v>503360.00000000012</c:v>
                </c:pt>
                <c:pt idx="11">
                  <c:v>528528.00000000012</c:v>
                </c:pt>
                <c:pt idx="12">
                  <c:v>554954.40000000014</c:v>
                </c:pt>
                <c:pt idx="13">
                  <c:v>566053.48800000013</c:v>
                </c:pt>
                <c:pt idx="14">
                  <c:v>577374.55776000011</c:v>
                </c:pt>
                <c:pt idx="15">
                  <c:v>588922.04891520017</c:v>
                </c:pt>
                <c:pt idx="16">
                  <c:v>600700.48989350419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4DB6-9889-2037335EE607}"/>
            </c:ext>
          </c:extLst>
        </c:ser>
        <c:ser>
          <c:idx val="1"/>
          <c:order val="1"/>
          <c:tx>
            <c:strRef>
              <c:f>Deliveries!$B$6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Deliveries!$C$6:$S$6</c:f>
              <c:numCache>
                <c:formatCode>_(* #\ ##0_);_(* \(#\ ##0\);_(* "-"?_);@_)</c:formatCode>
                <c:ptCount val="17"/>
                <c:pt idx="0">
                  <c:v>33600</c:v>
                </c:pt>
                <c:pt idx="1">
                  <c:v>50580</c:v>
                </c:pt>
                <c:pt idx="2">
                  <c:v>76230</c:v>
                </c:pt>
                <c:pt idx="3">
                  <c:v>101312</c:v>
                </c:pt>
                <c:pt idx="4">
                  <c:v>44100</c:v>
                </c:pt>
                <c:pt idx="5">
                  <c:v>55900</c:v>
                </c:pt>
                <c:pt idx="6">
                  <c:v>100000</c:v>
                </c:pt>
                <c:pt idx="7">
                  <c:v>102000</c:v>
                </c:pt>
                <c:pt idx="8">
                  <c:v>104040</c:v>
                </c:pt>
                <c:pt idx="9">
                  <c:v>106120.8</c:v>
                </c:pt>
                <c:pt idx="10">
                  <c:v>108243.216</c:v>
                </c:pt>
                <c:pt idx="11">
                  <c:v>110408.08032000001</c:v>
                </c:pt>
                <c:pt idx="12">
                  <c:v>112616.24192640001</c:v>
                </c:pt>
                <c:pt idx="13">
                  <c:v>114868.56676492801</c:v>
                </c:pt>
                <c:pt idx="14">
                  <c:v>117165.93810022657</c:v>
                </c:pt>
                <c:pt idx="15">
                  <c:v>119509.25686223111</c:v>
                </c:pt>
                <c:pt idx="16">
                  <c:v>121899.44199947573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0-4DB6-9889-2037335EE607}"/>
            </c:ext>
          </c:extLst>
        </c:ser>
        <c:ser>
          <c:idx val="2"/>
          <c:order val="2"/>
          <c:tx>
            <c:strRef>
              <c:f>Deliveries!$B$7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Deliveries!$C$7:$S$7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1764</c:v>
                </c:pt>
                <c:pt idx="8">
                  <c:v>130620</c:v>
                </c:pt>
                <c:pt idx="9">
                  <c:v>260000</c:v>
                </c:pt>
                <c:pt idx="10">
                  <c:v>416000</c:v>
                </c:pt>
                <c:pt idx="11">
                  <c:v>457600.00000000006</c:v>
                </c:pt>
                <c:pt idx="12">
                  <c:v>503360.00000000012</c:v>
                </c:pt>
                <c:pt idx="13">
                  <c:v>528528.00000000012</c:v>
                </c:pt>
                <c:pt idx="14">
                  <c:v>554954.40000000014</c:v>
                </c:pt>
                <c:pt idx="15">
                  <c:v>566053.48800000013</c:v>
                </c:pt>
                <c:pt idx="16">
                  <c:v>577374.55776000011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0-4DB6-9889-2037335EE607}"/>
            </c:ext>
          </c:extLst>
        </c:ser>
        <c:ser>
          <c:idx val="3"/>
          <c:order val="3"/>
          <c:tx>
            <c:strRef>
              <c:f>Deliveries!$B$8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Deliveries!$C$8:$S$8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1650.0000000000002</c:v>
                </c:pt>
                <c:pt idx="12">
                  <c:v>1815.0000000000005</c:v>
                </c:pt>
                <c:pt idx="13">
                  <c:v>1905.7500000000005</c:v>
                </c:pt>
                <c:pt idx="14">
                  <c:v>2001.0375000000006</c:v>
                </c:pt>
                <c:pt idx="15">
                  <c:v>2041.0582500000007</c:v>
                </c:pt>
                <c:pt idx="16">
                  <c:v>2081.8794150000008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0-4DB6-9889-2037335EE607}"/>
            </c:ext>
          </c:extLst>
        </c:ser>
        <c:ser>
          <c:idx val="4"/>
          <c:order val="4"/>
          <c:tx>
            <c:strRef>
              <c:f>Deliveries!$B$9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Deliveries!$C$9:$S$9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0-4DB6-9889-2037335EE607}"/>
            </c:ext>
          </c:extLst>
        </c:ser>
        <c:ser>
          <c:idx val="5"/>
          <c:order val="5"/>
          <c:tx>
            <c:strRef>
              <c:f>Deliveries!$B$10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10-4DB6-9889-2037335EE6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10-4DB6-9889-2037335EE607}"/>
                </c:ext>
              </c:extLst>
            </c:dLbl>
            <c:dLbl>
              <c:idx val="6"/>
              <c:layout>
                <c:manualLayout>
                  <c:x val="-8.4058328966294317E-17"/>
                  <c:y val="-1.32065504490227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10-4DB6-9889-2037335EE60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Deliveries!$C$10:$S$10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0-4DB6-9889-2037335E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1046368"/>
        <c:axId val="601044072"/>
      </c:barChart>
      <c:catAx>
        <c:axId val="6010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4072"/>
        <c:crosses val="autoZero"/>
        <c:auto val="1"/>
        <c:lblAlgn val="ctr"/>
        <c:lblOffset val="100"/>
        <c:noMultiLvlLbl val="0"/>
      </c:catAx>
      <c:valAx>
        <c:axId val="60104407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636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 and Gross Profit automotive</a:t>
            </a:r>
          </a:p>
        </c:rich>
      </c:tx>
      <c:layout>
        <c:manualLayout>
          <c:xMode val="edge"/>
          <c:yMode val="edge"/>
          <c:x val="1.8189188329924437E-2"/>
          <c:y val="2.2779043280182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39833547051577E-2"/>
          <c:y val="0.11548974943052394"/>
          <c:w val="0.89667412031100424"/>
          <c:h val="0.67086315235652494"/>
        </c:manualLayout>
      </c:layout>
      <c:areaChart>
        <c:grouping val="standard"/>
        <c:varyColors val="0"/>
        <c:ser>
          <c:idx val="0"/>
          <c:order val="0"/>
          <c:tx>
            <c:strRef>
              <c:f>'Revenue &amp; GP autom'!$B$4</c:f>
              <c:strCache>
                <c:ptCount val="1"/>
                <c:pt idx="0">
                  <c:v>Revenue automotive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autom'!$C$4:$S$4</c:f>
              <c:numCache>
                <c:formatCode>_(* #\ ##0_);_(* \(#\ ##0\);_(* "-"?_);@_)</c:formatCode>
                <c:ptCount val="15"/>
                <c:pt idx="0">
                  <c:v>3007.0120000000002</c:v>
                </c:pt>
                <c:pt idx="1">
                  <c:v>3740.973</c:v>
                </c:pt>
                <c:pt idx="2">
                  <c:v>6350.7659999999996</c:v>
                </c:pt>
                <c:pt idx="3">
                  <c:v>9641.2999999999993</c:v>
                </c:pt>
                <c:pt idx="4">
                  <c:v>14236.04</c:v>
                </c:pt>
                <c:pt idx="5">
                  <c:v>19998.95</c:v>
                </c:pt>
                <c:pt idx="6">
                  <c:v>38090.130952380954</c:v>
                </c:pt>
                <c:pt idx="7">
                  <c:v>51425.813083900233</c:v>
                </c:pt>
                <c:pt idx="8">
                  <c:v>67263.070334240372</c:v>
                </c:pt>
                <c:pt idx="9">
                  <c:v>72174.618855664419</c:v>
                </c:pt>
                <c:pt idx="10">
                  <c:v>77509.315378990868</c:v>
                </c:pt>
                <c:pt idx="11">
                  <c:v>80389.920968883598</c:v>
                </c:pt>
                <c:pt idx="12">
                  <c:v>83394.659634689859</c:v>
                </c:pt>
                <c:pt idx="13">
                  <c:v>85062.552827383639</c:v>
                </c:pt>
                <c:pt idx="14">
                  <c:v>86763.803883931323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8-45C8-9C4E-140E5D1152B1}"/>
            </c:ext>
          </c:extLst>
        </c:ser>
        <c:ser>
          <c:idx val="1"/>
          <c:order val="1"/>
          <c:tx>
            <c:strRef>
              <c:f>'Revenue &amp; GP autom'!$B$5</c:f>
              <c:strCache>
                <c:ptCount val="1"/>
                <c:pt idx="0">
                  <c:v>Gross Profit automotive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autom'!$C$5:$S$5</c:f>
              <c:numCache>
                <c:formatCode>_(* #\ ##0_);_(* \(#\ ##0\);_(* "-"?_);@_)</c:formatCode>
                <c:ptCount val="15"/>
                <c:pt idx="0">
                  <c:v>861.26300000000003</c:v>
                </c:pt>
                <c:pt idx="1">
                  <c:v>917.67100000000005</c:v>
                </c:pt>
                <c:pt idx="2">
                  <c:v>1600.6849999999999</c:v>
                </c:pt>
                <c:pt idx="3">
                  <c:v>2208.596</c:v>
                </c:pt>
                <c:pt idx="4">
                  <c:v>2711.0202547520225</c:v>
                </c:pt>
                <c:pt idx="5">
                  <c:v>3095.1669636444458</c:v>
                </c:pt>
                <c:pt idx="6">
                  <c:v>6066.2463188036818</c:v>
                </c:pt>
                <c:pt idx="7">
                  <c:v>8451.7560444566952</c:v>
                </c:pt>
                <c:pt idx="8">
                  <c:v>11289.414938441347</c:v>
                </c:pt>
                <c:pt idx="9">
                  <c:v>12141.916319818894</c:v>
                </c:pt>
                <c:pt idx="10">
                  <c:v>13070.213908266798</c:v>
                </c:pt>
                <c:pt idx="11">
                  <c:v>13580.36870364188</c:v>
                </c:pt>
                <c:pt idx="12">
                  <c:v>14113.164120784952</c:v>
                </c:pt>
                <c:pt idx="13">
                  <c:v>14395.427403200651</c:v>
                </c:pt>
                <c:pt idx="14">
                  <c:v>14683.335951264664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2664"/>
        <c:axId val="435013320"/>
      </c:areaChart>
      <c:lineChart>
        <c:grouping val="standard"/>
        <c:varyColors val="0"/>
        <c:ser>
          <c:idx val="2"/>
          <c:order val="2"/>
          <c:tx>
            <c:strRef>
              <c:f>'Revenue &amp; GP autom'!$B$6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autom'!$C$6:$S$6</c:f>
              <c:numCache>
                <c:formatCode>0%</c:formatCode>
                <c:ptCount val="15"/>
                <c:pt idx="0">
                  <c:v>0.28641821183287597</c:v>
                </c:pt>
                <c:pt idx="1">
                  <c:v>0.24530275946926108</c:v>
                </c:pt>
                <c:pt idx="2">
                  <c:v>0.25204597366679865</c:v>
                </c:pt>
                <c:pt idx="3">
                  <c:v>0.2290765768101812</c:v>
                </c:pt>
                <c:pt idx="4">
                  <c:v>0.19043359352404338</c:v>
                </c:pt>
                <c:pt idx="5">
                  <c:v>0.15476647342207694</c:v>
                </c:pt>
                <c:pt idx="6">
                  <c:v>0.15926031670480487</c:v>
                </c:pt>
                <c:pt idx="7">
                  <c:v>0.16434851561156294</c:v>
                </c:pt>
                <c:pt idx="8">
                  <c:v>0.16783972070175412</c:v>
                </c:pt>
                <c:pt idx="9">
                  <c:v>0.16822972552304613</c:v>
                </c:pt>
                <c:pt idx="10">
                  <c:v>0.16862765261644305</c:v>
                </c:pt>
                <c:pt idx="11">
                  <c:v>0.1689312359057849</c:v>
                </c:pt>
                <c:pt idx="12">
                  <c:v>0.16923342792701163</c:v>
                </c:pt>
                <c:pt idx="13">
                  <c:v>0.16923342792701165</c:v>
                </c:pt>
                <c:pt idx="14">
                  <c:v>0.16923342792701163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41440"/>
        <c:axId val="614241112"/>
      </c:lineChart>
      <c:catAx>
        <c:axId val="43501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3320"/>
        <c:crosses val="autoZero"/>
        <c:auto val="1"/>
        <c:lblAlgn val="ctr"/>
        <c:lblOffset val="100"/>
        <c:noMultiLvlLbl val="0"/>
      </c:catAx>
      <c:valAx>
        <c:axId val="4350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2664"/>
        <c:crosses val="autoZero"/>
        <c:crossBetween val="between"/>
      </c:valAx>
      <c:valAx>
        <c:axId val="6142411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1440"/>
        <c:crosses val="max"/>
        <c:crossBetween val="between"/>
      </c:valAx>
      <c:catAx>
        <c:axId val="61424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241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Working Capital development (2018-2028)</a:t>
            </a:r>
          </a:p>
        </c:rich>
      </c:tx>
      <c:layout>
        <c:manualLayout>
          <c:xMode val="edge"/>
          <c:yMode val="edge"/>
          <c:x val="2.3804024496937887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52213288804621E-2"/>
          <c:y val="0.11560170394036209"/>
          <c:w val="0.92260769688498956"/>
          <c:h val="0.7398971095066792"/>
        </c:manualLayout>
      </c:layout>
      <c:lineChart>
        <c:grouping val="stacked"/>
        <c:varyColors val="0"/>
        <c:ser>
          <c:idx val="0"/>
          <c:order val="0"/>
          <c:tx>
            <c:strRef>
              <c:f>'Working capital'!$B$5</c:f>
              <c:strCache>
                <c:ptCount val="1"/>
                <c:pt idx="0">
                  <c:v>Trade receivables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capital'!$I$5:$S$5</c:f>
              <c:numCache>
                <c:formatCode>#\ ##0_);\(#\ ##0\)</c:formatCode>
                <c:ptCount val="1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BD-4570-A0C3-AD4E7E71C308}"/>
            </c:ext>
          </c:extLst>
        </c:ser>
        <c:ser>
          <c:idx val="1"/>
          <c:order val="1"/>
          <c:tx>
            <c:strRef>
              <c:f>'Working capital'!$B$6</c:f>
              <c:strCache>
                <c:ptCount val="1"/>
                <c:pt idx="0">
                  <c:v>Inventory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capital'!$I$6:$S$6</c:f>
              <c:numCache>
                <c:formatCode>#\ ##0_);\(#\ ##0\)</c:formatCode>
                <c:ptCount val="1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3BD-4570-A0C3-AD4E7E71C308}"/>
            </c:ext>
          </c:extLst>
        </c:ser>
        <c:ser>
          <c:idx val="2"/>
          <c:order val="2"/>
          <c:tx>
            <c:strRef>
              <c:f>'Working capital'!$B$7</c:f>
              <c:strCache>
                <c:ptCount val="1"/>
                <c:pt idx="0">
                  <c:v>Trade payables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capital'!$I$7:$S$7</c:f>
              <c:numCache>
                <c:formatCode>#\ ##0_);\(#\ ##0\)</c:formatCode>
                <c:ptCount val="1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3BD-4570-A0C3-AD4E7E71C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996184"/>
        <c:axId val="427997496"/>
      </c:lineChart>
      <c:catAx>
        <c:axId val="42799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7496"/>
        <c:crosses val="autoZero"/>
        <c:auto val="1"/>
        <c:lblAlgn val="ctr"/>
        <c:lblOffset val="100"/>
        <c:noMultiLvlLbl val="0"/>
      </c:catAx>
      <c:valAx>
        <c:axId val="42799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</a:t>
                </a:r>
                <a:r>
                  <a:rPr lang="en-US" baseline="0"/>
                  <a:t> million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\ ##0_);\(#\ 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</a:t>
            </a:r>
            <a:r>
              <a:rPr lang="en-US" b="1" baseline="0">
                <a:solidFill>
                  <a:srgbClr val="002060"/>
                </a:solidFill>
              </a:rPr>
              <a:t> from different t</a:t>
            </a:r>
            <a:r>
              <a:rPr lang="en-US" b="1">
                <a:solidFill>
                  <a:srgbClr val="002060"/>
                </a:solidFill>
              </a:rPr>
              <a:t>ypes of vehicles sold:</a:t>
            </a:r>
            <a:r>
              <a:rPr lang="en-US" b="1" baseline="0">
                <a:solidFill>
                  <a:srgbClr val="002060"/>
                </a:solidFill>
              </a:rPr>
              <a:t> 2018 - 2028</a:t>
            </a:r>
            <a:endParaRPr lang="en-US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2.6386962552011076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040364117909397E-2"/>
          <c:y val="0.12679738562091503"/>
          <c:w val="0.81597186052132586"/>
          <c:h val="0.752872986464927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'Revenue by type of car'!$B$5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by type of car'!$I$4:$S$4</c:f>
              <c:strCache>
                <c:ptCount val="11"/>
                <c:pt idx="0">
                  <c:v>2018
Fcst</c:v>
                </c:pt>
                <c:pt idx="1">
                  <c:v>2019
Fcst</c:v>
                </c:pt>
                <c:pt idx="2">
                  <c:v>2020
Fcst</c:v>
                </c:pt>
                <c:pt idx="3">
                  <c:v>2021
Fcst</c:v>
                </c:pt>
                <c:pt idx="4">
                  <c:v>2022
Fcst</c:v>
                </c:pt>
                <c:pt idx="5">
                  <c:v>2023
Fcst</c:v>
                </c:pt>
                <c:pt idx="6">
                  <c:v>2024
Fcst</c:v>
                </c:pt>
                <c:pt idx="7">
                  <c:v>2025
Fcst</c:v>
                </c:pt>
                <c:pt idx="8">
                  <c:v>2026
Fcst</c:v>
                </c:pt>
                <c:pt idx="9">
                  <c:v>2027
Fcst</c:v>
                </c:pt>
                <c:pt idx="10">
                  <c:v>2028
Fcst</c:v>
                </c:pt>
              </c:strCache>
            </c:strRef>
          </c:cat>
          <c:val>
            <c:numRef>
              <c:f>'Revenue by type of car'!$I$5:$S$5</c:f>
              <c:numCache>
                <c:formatCode>_(* #\ ##0_);_(* \(#\ ##0\);_(* "-"?_);@_)</c:formatCode>
                <c:ptCount val="11"/>
                <c:pt idx="0">
                  <c:v>5486.04</c:v>
                </c:pt>
                <c:pt idx="1">
                  <c:v>10920</c:v>
                </c:pt>
                <c:pt idx="2">
                  <c:v>17472</c:v>
                </c:pt>
                <c:pt idx="3">
                  <c:v>19219.200000000004</c:v>
                </c:pt>
                <c:pt idx="4">
                  <c:v>21141.120000000003</c:v>
                </c:pt>
                <c:pt idx="5">
                  <c:v>22198.176000000003</c:v>
                </c:pt>
                <c:pt idx="6">
                  <c:v>23308.084800000008</c:v>
                </c:pt>
                <c:pt idx="7">
                  <c:v>23774.246496000003</c:v>
                </c:pt>
                <c:pt idx="8">
                  <c:v>24249.731425920007</c:v>
                </c:pt>
                <c:pt idx="9">
                  <c:v>24734.726054438408</c:v>
                </c:pt>
                <c:pt idx="10">
                  <c:v>25229.420575527176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B-4B2F-88EA-096539302D83}"/>
            </c:ext>
          </c:extLst>
        </c:ser>
        <c:ser>
          <c:idx val="1"/>
          <c:order val="1"/>
          <c:tx>
            <c:strRef>
              <c:f>'Revenue by type of car'!$B$6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by type of car'!$I$4:$S$4</c:f>
              <c:strCache>
                <c:ptCount val="11"/>
                <c:pt idx="0">
                  <c:v>2018
Fcst</c:v>
                </c:pt>
                <c:pt idx="1">
                  <c:v>2019
Fcst</c:v>
                </c:pt>
                <c:pt idx="2">
                  <c:v>2020
Fcst</c:v>
                </c:pt>
                <c:pt idx="3">
                  <c:v>2021
Fcst</c:v>
                </c:pt>
                <c:pt idx="4">
                  <c:v>2022
Fcst</c:v>
                </c:pt>
                <c:pt idx="5">
                  <c:v>2023
Fcst</c:v>
                </c:pt>
                <c:pt idx="6">
                  <c:v>2024
Fcst</c:v>
                </c:pt>
                <c:pt idx="7">
                  <c:v>2025
Fcst</c:v>
                </c:pt>
                <c:pt idx="8">
                  <c:v>2026
Fcst</c:v>
                </c:pt>
                <c:pt idx="9">
                  <c:v>2027
Fcst</c:v>
                </c:pt>
                <c:pt idx="10">
                  <c:v>2028
Fcst</c:v>
                </c:pt>
              </c:strCache>
            </c:strRef>
          </c:cat>
          <c:val>
            <c:numRef>
              <c:f>'Revenue by type of car'!$I$6:$S$6</c:f>
              <c:numCache>
                <c:formatCode>_(* #\ ##0_);_(* \(#\ ##0\);_(* "-"?_);@_)</c:formatCode>
                <c:ptCount val="11"/>
                <c:pt idx="0">
                  <c:v>8750</c:v>
                </c:pt>
                <c:pt idx="1">
                  <c:v>8925</c:v>
                </c:pt>
                <c:pt idx="2">
                  <c:v>9103.5</c:v>
                </c:pt>
                <c:pt idx="3">
                  <c:v>9285.57</c:v>
                </c:pt>
                <c:pt idx="4">
                  <c:v>9471.2813999999998</c:v>
                </c:pt>
                <c:pt idx="5">
                  <c:v>9660.7070280000007</c:v>
                </c:pt>
                <c:pt idx="6">
                  <c:v>9853.9211685600021</c:v>
                </c:pt>
                <c:pt idx="7">
                  <c:v>10050.9995919312</c:v>
                </c:pt>
                <c:pt idx="8">
                  <c:v>10252.019583769825</c:v>
                </c:pt>
                <c:pt idx="9">
                  <c:v>10457.059975445223</c:v>
                </c:pt>
                <c:pt idx="10">
                  <c:v>10666.201174954127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B-4B2F-88EA-096539302D83}"/>
            </c:ext>
          </c:extLst>
        </c:ser>
        <c:ser>
          <c:idx val="2"/>
          <c:order val="2"/>
          <c:tx>
            <c:strRef>
              <c:f>'Revenue by type of car'!$B$7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74B-4B2F-88EA-096539302D8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74B-4B2F-88EA-096539302D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by type of car'!$I$4:$S$4</c:f>
              <c:strCache>
                <c:ptCount val="11"/>
                <c:pt idx="0">
                  <c:v>2018
Fcst</c:v>
                </c:pt>
                <c:pt idx="1">
                  <c:v>2019
Fcst</c:v>
                </c:pt>
                <c:pt idx="2">
                  <c:v>2020
Fcst</c:v>
                </c:pt>
                <c:pt idx="3">
                  <c:v>2021
Fcst</c:v>
                </c:pt>
                <c:pt idx="4">
                  <c:v>2022
Fcst</c:v>
                </c:pt>
                <c:pt idx="5">
                  <c:v>2023
Fcst</c:v>
                </c:pt>
                <c:pt idx="6">
                  <c:v>2024
Fcst</c:v>
                </c:pt>
                <c:pt idx="7">
                  <c:v>2025
Fcst</c:v>
                </c:pt>
                <c:pt idx="8">
                  <c:v>2026
Fcst</c:v>
                </c:pt>
                <c:pt idx="9">
                  <c:v>2027
Fcst</c:v>
                </c:pt>
                <c:pt idx="10">
                  <c:v>2028
Fcst</c:v>
                </c:pt>
              </c:strCache>
            </c:strRef>
          </c:cat>
          <c:val>
            <c:numRef>
              <c:f>'Revenue by type of car'!$I$7:$S$7</c:f>
              <c:numCache>
                <c:formatCode>_(* #\ ##0_);_(* \(#\ ##0\);_(* "-"?_);@_)</c:formatCode>
                <c:ptCount val="11"/>
                <c:pt idx="0">
                  <c:v>0</c:v>
                </c:pt>
                <c:pt idx="1">
                  <c:v>88.2</c:v>
                </c:pt>
                <c:pt idx="2">
                  <c:v>6531</c:v>
                </c:pt>
                <c:pt idx="3">
                  <c:v>13000</c:v>
                </c:pt>
                <c:pt idx="4">
                  <c:v>20800</c:v>
                </c:pt>
                <c:pt idx="5">
                  <c:v>22880.000000000004</c:v>
                </c:pt>
                <c:pt idx="6">
                  <c:v>25168.000000000007</c:v>
                </c:pt>
                <c:pt idx="7">
                  <c:v>26426.400000000009</c:v>
                </c:pt>
                <c:pt idx="8">
                  <c:v>27747.720000000008</c:v>
                </c:pt>
                <c:pt idx="9">
                  <c:v>28302.674400000007</c:v>
                </c:pt>
                <c:pt idx="10">
                  <c:v>28868.727888000005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B-4B2F-88EA-096539302D83}"/>
            </c:ext>
          </c:extLst>
        </c:ser>
        <c:ser>
          <c:idx val="3"/>
          <c:order val="3"/>
          <c:tx>
            <c:strRef>
              <c:f>'Revenue by type of car'!$B$8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strRef>
              <c:f>'Revenue by type of car'!$I$4:$S$4</c:f>
              <c:strCache>
                <c:ptCount val="11"/>
                <c:pt idx="0">
                  <c:v>2018
Fcst</c:v>
                </c:pt>
                <c:pt idx="1">
                  <c:v>2019
Fcst</c:v>
                </c:pt>
                <c:pt idx="2">
                  <c:v>2020
Fcst</c:v>
                </c:pt>
                <c:pt idx="3">
                  <c:v>2021
Fcst</c:v>
                </c:pt>
                <c:pt idx="4">
                  <c:v>2022
Fcst</c:v>
                </c:pt>
                <c:pt idx="5">
                  <c:v>2023
Fcst</c:v>
                </c:pt>
                <c:pt idx="6">
                  <c:v>2024
Fcst</c:v>
                </c:pt>
                <c:pt idx="7">
                  <c:v>2025
Fcst</c:v>
                </c:pt>
                <c:pt idx="8">
                  <c:v>2026
Fcst</c:v>
                </c:pt>
                <c:pt idx="9">
                  <c:v>2027
Fcst</c:v>
                </c:pt>
                <c:pt idx="10">
                  <c:v>2028
Fcst</c:v>
                </c:pt>
              </c:strCache>
            </c:strRef>
          </c:cat>
          <c:val>
            <c:numRef>
              <c:f>'Revenue by type of car'!$I$8:$S$8</c:f>
              <c:numCache>
                <c:formatCode>_(* #\ ##0_);_(* \(#\ ##0\);_(* "-"?_);@_)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115</c:v>
                </c:pt>
                <c:pt idx="3">
                  <c:v>230</c:v>
                </c:pt>
                <c:pt idx="4">
                  <c:v>345</c:v>
                </c:pt>
                <c:pt idx="5">
                  <c:v>379.50000000000006</c:v>
                </c:pt>
                <c:pt idx="6">
                  <c:v>417.4500000000001</c:v>
                </c:pt>
                <c:pt idx="7">
                  <c:v>438.3225000000001</c:v>
                </c:pt>
                <c:pt idx="8">
                  <c:v>460.23862500000013</c:v>
                </c:pt>
                <c:pt idx="9">
                  <c:v>469.44339750000017</c:v>
                </c:pt>
                <c:pt idx="10">
                  <c:v>478.83226545000019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B-4B2F-88EA-096539302D83}"/>
            </c:ext>
          </c:extLst>
        </c:ser>
        <c:ser>
          <c:idx val="4"/>
          <c:order val="4"/>
          <c:tx>
            <c:strRef>
              <c:f>'Revenue by type of car'!$B$9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DE-4EC1-966D-E5710818D85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DE-4EC1-966D-E5710818D85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DE-4EC1-966D-E5710818D8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by type of car'!$I$4:$S$4</c:f>
              <c:strCache>
                <c:ptCount val="11"/>
                <c:pt idx="0">
                  <c:v>2018
Fcst</c:v>
                </c:pt>
                <c:pt idx="1">
                  <c:v>2019
Fcst</c:v>
                </c:pt>
                <c:pt idx="2">
                  <c:v>2020
Fcst</c:v>
                </c:pt>
                <c:pt idx="3">
                  <c:v>2021
Fcst</c:v>
                </c:pt>
                <c:pt idx="4">
                  <c:v>2022
Fcst</c:v>
                </c:pt>
                <c:pt idx="5">
                  <c:v>2023
Fcst</c:v>
                </c:pt>
                <c:pt idx="6">
                  <c:v>2024
Fcst</c:v>
                </c:pt>
                <c:pt idx="7">
                  <c:v>2025
Fcst</c:v>
                </c:pt>
                <c:pt idx="8">
                  <c:v>2026
Fcst</c:v>
                </c:pt>
                <c:pt idx="9">
                  <c:v>2027
Fcst</c:v>
                </c:pt>
                <c:pt idx="10">
                  <c:v>2028
Fcst</c:v>
                </c:pt>
              </c:strCache>
            </c:strRef>
          </c:cat>
          <c:val>
            <c:numRef>
              <c:f>'Revenue by type of car'!$I$9:$S$9</c:f>
              <c:numCache>
                <c:formatCode>_(* #\ ##0_);_(* \(#\ ##0\);_(* "-"?_);@_)</c:formatCode>
                <c:ptCount val="11"/>
                <c:pt idx="0">
                  <c:v>0</c:v>
                </c:pt>
                <c:pt idx="1">
                  <c:v>15.75</c:v>
                </c:pt>
                <c:pt idx="2">
                  <c:v>1166.25</c:v>
                </c:pt>
                <c:pt idx="3">
                  <c:v>2321.4285714285716</c:v>
                </c:pt>
                <c:pt idx="4">
                  <c:v>3714.2857142857151</c:v>
                </c:pt>
                <c:pt idx="5">
                  <c:v>4085.7142857142867</c:v>
                </c:pt>
                <c:pt idx="6">
                  <c:v>4494.2857142857165</c:v>
                </c:pt>
                <c:pt idx="7">
                  <c:v>4719.0000000000018</c:v>
                </c:pt>
                <c:pt idx="8">
                  <c:v>4954.9500000000025</c:v>
                </c:pt>
                <c:pt idx="9">
                  <c:v>5054.0490000000027</c:v>
                </c:pt>
                <c:pt idx="10">
                  <c:v>5155.1299800000024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B-4B2F-88EA-096539302D83}"/>
            </c:ext>
          </c:extLst>
        </c:ser>
        <c:ser>
          <c:idx val="5"/>
          <c:order val="5"/>
          <c:tx>
            <c:strRef>
              <c:f>'Revenue by type of car'!$B$10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74B-4B2F-88EA-096539302D8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74B-4B2F-88EA-096539302D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by type of car'!$I$4:$S$4</c:f>
              <c:strCache>
                <c:ptCount val="11"/>
                <c:pt idx="0">
                  <c:v>2018
Fcst</c:v>
                </c:pt>
                <c:pt idx="1">
                  <c:v>2019
Fcst</c:v>
                </c:pt>
                <c:pt idx="2">
                  <c:v>2020
Fcst</c:v>
                </c:pt>
                <c:pt idx="3">
                  <c:v>2021
Fcst</c:v>
                </c:pt>
                <c:pt idx="4">
                  <c:v>2022
Fcst</c:v>
                </c:pt>
                <c:pt idx="5">
                  <c:v>2023
Fcst</c:v>
                </c:pt>
                <c:pt idx="6">
                  <c:v>2024
Fcst</c:v>
                </c:pt>
                <c:pt idx="7">
                  <c:v>2025
Fcst</c:v>
                </c:pt>
                <c:pt idx="8">
                  <c:v>2026
Fcst</c:v>
                </c:pt>
                <c:pt idx="9">
                  <c:v>2027
Fcst</c:v>
                </c:pt>
                <c:pt idx="10">
                  <c:v>2028
Fcst</c:v>
                </c:pt>
              </c:strCache>
            </c:strRef>
          </c:cat>
          <c:val>
            <c:numRef>
              <c:f>'Revenue by type of car'!$I$10:$S$10</c:f>
              <c:numCache>
                <c:formatCode>_(* #\ ##0_);_(* \(#\ ##0\);_(* "-"?_);@_)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3702.3809523809527</c:v>
                </c:pt>
                <c:pt idx="3">
                  <c:v>7369.6145124716568</c:v>
                </c:pt>
                <c:pt idx="4">
                  <c:v>11791.38321995465</c:v>
                </c:pt>
                <c:pt idx="5">
                  <c:v>12970.521541950116</c:v>
                </c:pt>
                <c:pt idx="6">
                  <c:v>14267.573696145129</c:v>
                </c:pt>
                <c:pt idx="7">
                  <c:v>14980.952380952387</c:v>
                </c:pt>
                <c:pt idx="8">
                  <c:v>15730.000000000009</c:v>
                </c:pt>
                <c:pt idx="9">
                  <c:v>16044.600000000009</c:v>
                </c:pt>
                <c:pt idx="10">
                  <c:v>16365.492000000009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B-4B2F-88EA-096539302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4243080"/>
        <c:axId val="614247016"/>
      </c:barChart>
      <c:catAx>
        <c:axId val="61424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7016"/>
        <c:crosses val="autoZero"/>
        <c:auto val="1"/>
        <c:lblAlgn val="ctr"/>
        <c:lblOffset val="100"/>
        <c:noMultiLvlLbl val="0"/>
      </c:catAx>
      <c:valAx>
        <c:axId val="61424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in million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3080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</a:t>
            </a:r>
            <a:r>
              <a:rPr lang="en-US" b="1" baseline="0">
                <a:solidFill>
                  <a:srgbClr val="002060"/>
                </a:solidFill>
              </a:rPr>
              <a:t> from different t</a:t>
            </a:r>
            <a:r>
              <a:rPr lang="en-US" b="1">
                <a:solidFill>
                  <a:srgbClr val="002060"/>
                </a:solidFill>
              </a:rPr>
              <a:t>ypes of vehicles sold:</a:t>
            </a:r>
            <a:r>
              <a:rPr lang="en-US" b="1" baseline="0">
                <a:solidFill>
                  <a:srgbClr val="002060"/>
                </a:solidFill>
              </a:rPr>
              <a:t> 2018 - 2028</a:t>
            </a:r>
            <a:endParaRPr lang="en-US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2.6386962552011076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'Types of vehicles'!$B$14</c:f>
              <c:strCache>
                <c:ptCount val="1"/>
                <c:pt idx="0">
                  <c:v>Car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cat>
            <c:strRef>
              <c:f>'Types of vehicles'!$I$13:$S$13</c:f>
              <c:strCache>
                <c:ptCount val="11"/>
                <c:pt idx="0">
                  <c:v>2018
Fcst</c:v>
                </c:pt>
                <c:pt idx="1">
                  <c:v>2019
Fcst</c:v>
                </c:pt>
                <c:pt idx="2">
                  <c:v>2020
Fcst</c:v>
                </c:pt>
                <c:pt idx="3">
                  <c:v>2021
Fcst</c:v>
                </c:pt>
                <c:pt idx="4">
                  <c:v>2022
Fcst</c:v>
                </c:pt>
                <c:pt idx="5">
                  <c:v>2023
Fcst</c:v>
                </c:pt>
                <c:pt idx="6">
                  <c:v>2024
Fcst</c:v>
                </c:pt>
                <c:pt idx="7">
                  <c:v>2025
Fcst</c:v>
                </c:pt>
                <c:pt idx="8">
                  <c:v>2026
Fcst</c:v>
                </c:pt>
                <c:pt idx="9">
                  <c:v>2027
Fcst</c:v>
                </c:pt>
                <c:pt idx="10">
                  <c:v>2028
Fcst</c:v>
                </c:pt>
              </c:strCache>
            </c:strRef>
          </c:cat>
          <c:val>
            <c:numRef>
              <c:f>'Types of vehicles'!$I$14:$S$14</c:f>
              <c:numCache>
                <c:formatCode>_(* #\ ##0_);_(* \(#\ ##0\);_(* "-"?_);@_)</c:formatCode>
                <c:ptCount val="11"/>
                <c:pt idx="0">
                  <c:v>14236.04</c:v>
                </c:pt>
                <c:pt idx="1">
                  <c:v>19933.2</c:v>
                </c:pt>
                <c:pt idx="2">
                  <c:v>33221.5</c:v>
                </c:pt>
                <c:pt idx="3">
                  <c:v>41734.770000000004</c:v>
                </c:pt>
                <c:pt idx="4">
                  <c:v>51757.401400000002</c:v>
                </c:pt>
                <c:pt idx="5">
                  <c:v>55118.383028000011</c:v>
                </c:pt>
                <c:pt idx="6">
                  <c:v>58747.455968560018</c:v>
                </c:pt>
                <c:pt idx="7">
                  <c:v>60689.968587931216</c:v>
                </c:pt>
                <c:pt idx="8">
                  <c:v>62709.70963468984</c:v>
                </c:pt>
                <c:pt idx="9">
                  <c:v>63963.903827383634</c:v>
                </c:pt>
                <c:pt idx="10">
                  <c:v>65243.181903931305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3-4B07-8B65-A759A9F3A214}"/>
            </c:ext>
          </c:extLst>
        </c:ser>
        <c:ser>
          <c:idx val="1"/>
          <c:order val="1"/>
          <c:tx>
            <c:strRef>
              <c:f>'Types of vehicles'!$B$15</c:f>
              <c:strCache>
                <c:ptCount val="1"/>
                <c:pt idx="0">
                  <c:v>Pickup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'Types of vehicles'!$I$13:$S$13</c:f>
              <c:strCache>
                <c:ptCount val="11"/>
                <c:pt idx="0">
                  <c:v>2018
Fcst</c:v>
                </c:pt>
                <c:pt idx="1">
                  <c:v>2019
Fcst</c:v>
                </c:pt>
                <c:pt idx="2">
                  <c:v>2020
Fcst</c:v>
                </c:pt>
                <c:pt idx="3">
                  <c:v>2021
Fcst</c:v>
                </c:pt>
                <c:pt idx="4">
                  <c:v>2022
Fcst</c:v>
                </c:pt>
                <c:pt idx="5">
                  <c:v>2023
Fcst</c:v>
                </c:pt>
                <c:pt idx="6">
                  <c:v>2024
Fcst</c:v>
                </c:pt>
                <c:pt idx="7">
                  <c:v>2025
Fcst</c:v>
                </c:pt>
                <c:pt idx="8">
                  <c:v>2026
Fcst</c:v>
                </c:pt>
                <c:pt idx="9">
                  <c:v>2027
Fcst</c:v>
                </c:pt>
                <c:pt idx="10">
                  <c:v>2028
Fcst</c:v>
                </c:pt>
              </c:strCache>
            </c:strRef>
          </c:cat>
          <c:val>
            <c:numRef>
              <c:f>'Types of vehicles'!$I$15:$S$15</c:f>
              <c:numCache>
                <c:formatCode>_(* #\ ##0_);_(* \(#\ ##0\);_(* "-"?_);@_)</c:formatCode>
                <c:ptCount val="11"/>
                <c:pt idx="0">
                  <c:v>0</c:v>
                </c:pt>
                <c:pt idx="1">
                  <c:v>15.75</c:v>
                </c:pt>
                <c:pt idx="2">
                  <c:v>1166.25</c:v>
                </c:pt>
                <c:pt idx="3">
                  <c:v>2321.4285714285716</c:v>
                </c:pt>
                <c:pt idx="4">
                  <c:v>3714.2857142857151</c:v>
                </c:pt>
                <c:pt idx="5">
                  <c:v>4085.7142857142867</c:v>
                </c:pt>
                <c:pt idx="6">
                  <c:v>4494.2857142857165</c:v>
                </c:pt>
                <c:pt idx="7">
                  <c:v>4719.0000000000018</c:v>
                </c:pt>
                <c:pt idx="8">
                  <c:v>4954.9500000000025</c:v>
                </c:pt>
                <c:pt idx="9">
                  <c:v>5054.0490000000027</c:v>
                </c:pt>
                <c:pt idx="10">
                  <c:v>5155.1299800000024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33-4B07-8B65-A759A9F3A214}"/>
            </c:ext>
          </c:extLst>
        </c:ser>
        <c:ser>
          <c:idx val="2"/>
          <c:order val="2"/>
          <c:tx>
            <c:strRef>
              <c:f>'Types of vehicles'!$B$16</c:f>
              <c:strCache>
                <c:ptCount val="1"/>
                <c:pt idx="0">
                  <c:v>Truck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'Types of vehicles'!$I$13:$S$13</c:f>
              <c:strCache>
                <c:ptCount val="11"/>
                <c:pt idx="0">
                  <c:v>2018
Fcst</c:v>
                </c:pt>
                <c:pt idx="1">
                  <c:v>2019
Fcst</c:v>
                </c:pt>
                <c:pt idx="2">
                  <c:v>2020
Fcst</c:v>
                </c:pt>
                <c:pt idx="3">
                  <c:v>2021
Fcst</c:v>
                </c:pt>
                <c:pt idx="4">
                  <c:v>2022
Fcst</c:v>
                </c:pt>
                <c:pt idx="5">
                  <c:v>2023
Fcst</c:v>
                </c:pt>
                <c:pt idx="6">
                  <c:v>2024
Fcst</c:v>
                </c:pt>
                <c:pt idx="7">
                  <c:v>2025
Fcst</c:v>
                </c:pt>
                <c:pt idx="8">
                  <c:v>2026
Fcst</c:v>
                </c:pt>
                <c:pt idx="9">
                  <c:v>2027
Fcst</c:v>
                </c:pt>
                <c:pt idx="10">
                  <c:v>2028
Fcst</c:v>
                </c:pt>
              </c:strCache>
            </c:strRef>
          </c:cat>
          <c:val>
            <c:numRef>
              <c:f>'Types of vehicles'!$I$16:$S$16</c:f>
              <c:numCache>
                <c:formatCode>_(* #\ ##0_);_(* \(#\ ##0\);_(* "-"?_);@_)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3702.3809523809527</c:v>
                </c:pt>
                <c:pt idx="3">
                  <c:v>7369.6145124716568</c:v>
                </c:pt>
                <c:pt idx="4">
                  <c:v>11791.38321995465</c:v>
                </c:pt>
                <c:pt idx="5">
                  <c:v>12970.521541950116</c:v>
                </c:pt>
                <c:pt idx="6">
                  <c:v>14267.573696145129</c:v>
                </c:pt>
                <c:pt idx="7">
                  <c:v>14980.952380952387</c:v>
                </c:pt>
                <c:pt idx="8">
                  <c:v>15730.000000000009</c:v>
                </c:pt>
                <c:pt idx="9">
                  <c:v>16044.600000000009</c:v>
                </c:pt>
                <c:pt idx="10">
                  <c:v>16365.492000000009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33-4B07-8B65-A759A9F3A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243080"/>
        <c:axId val="614247016"/>
      </c:areaChart>
      <c:catAx>
        <c:axId val="61424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7016"/>
        <c:crosses val="autoZero"/>
        <c:auto val="1"/>
        <c:lblAlgn val="ctr"/>
        <c:lblOffset val="100"/>
        <c:noMultiLvlLbl val="0"/>
      </c:catAx>
      <c:valAx>
        <c:axId val="61424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in million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3080"/>
        <c:crosses val="autoZero"/>
        <c:crossBetween val="midCat"/>
        <c:majorUnit val="2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>
                <a:solidFill>
                  <a:srgbClr val="002060"/>
                </a:solidFill>
              </a:rPr>
              <a:t>Tesla</a:t>
            </a:r>
            <a:r>
              <a:rPr lang="en-US" sz="1000" b="1" baseline="0">
                <a:solidFill>
                  <a:srgbClr val="002060"/>
                </a:solidFill>
              </a:rPr>
              <a:t> profitability: 2018-2028</a:t>
            </a:r>
            <a:endParaRPr lang="en-US" sz="10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4057017543859644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428378401712948E-2"/>
          <c:y val="0.17824074074074073"/>
          <c:w val="0.86747964584196713"/>
          <c:h val="0.588878317293671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Profitability!$B$5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Profitability!$C$4:$S$4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Profitability!$C$5:$S$5</c:f>
              <c:numCache>
                <c:formatCode>_(* #\ ##0_);_(* \(#\ ##0\);_(* "-"??_);_(@_)</c:formatCode>
                <c:ptCount val="15"/>
                <c:pt idx="0">
                  <c:v>3198.3560000000002</c:v>
                </c:pt>
                <c:pt idx="1">
                  <c:v>4046.0250000000001</c:v>
                </c:pt>
                <c:pt idx="2">
                  <c:v>7000.1319999999996</c:v>
                </c:pt>
                <c:pt idx="3">
                  <c:v>11758.751</c:v>
                </c:pt>
                <c:pt idx="4">
                  <c:v>17988.216</c:v>
                </c:pt>
                <c:pt idx="5">
                  <c:v>23056.672880000002</c:v>
                </c:pt>
                <c:pt idx="6">
                  <c:v>41514.780577980957</c:v>
                </c:pt>
                <c:pt idx="7">
                  <c:v>55124.434679548234</c:v>
                </c:pt>
                <c:pt idx="8">
                  <c:v>71183.609225627253</c:v>
                </c:pt>
                <c:pt idx="9">
                  <c:v>76330.390080534518</c:v>
                </c:pt>
                <c:pt idx="10">
                  <c:v>81914.432877353174</c:v>
                </c:pt>
                <c:pt idx="11">
                  <c:v>85059.345517147638</c:v>
                </c:pt>
                <c:pt idx="12">
                  <c:v>88344.249655849737</c:v>
                </c:pt>
                <c:pt idx="13">
                  <c:v>90309.118249813109</c:v>
                </c:pt>
                <c:pt idx="14">
                  <c:v>92325.163231706567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0-4766-AE82-D6428E53E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439181288"/>
        <c:axId val="614219792"/>
      </c:barChart>
      <c:lineChart>
        <c:grouping val="standard"/>
        <c:varyColors val="0"/>
        <c:ser>
          <c:idx val="1"/>
          <c:order val="1"/>
          <c:tx>
            <c:strRef>
              <c:f>Profitability!$B$6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4"/>
              <c:layout>
                <c:manualLayout>
                  <c:x val="-1.7817982456140351E-2"/>
                  <c:y val="9.259259259259217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F1-4978-90E2-423C850A09AC}"/>
                </c:ext>
              </c:extLst>
            </c:dLbl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Profitability!$C$6:$S$6</c:f>
              <c:numCache>
                <c:formatCode>0.0%</c:formatCode>
                <c:ptCount val="15"/>
                <c:pt idx="0">
                  <c:v>0.27566380978227573</c:v>
                </c:pt>
                <c:pt idx="1">
                  <c:v>0.22824945471172328</c:v>
                </c:pt>
                <c:pt idx="2">
                  <c:v>0.22846097759299391</c:v>
                </c:pt>
                <c:pt idx="3">
                  <c:v>0.18900706376042839</c:v>
                </c:pt>
                <c:pt idx="4">
                  <c:v>0.17219564975687915</c:v>
                </c:pt>
                <c:pt idx="5">
                  <c:v>0.15368543568256249</c:v>
                </c:pt>
                <c:pt idx="6">
                  <c:v>0.15821717044057299</c:v>
                </c:pt>
                <c:pt idx="7">
                  <c:v>0.16315866595464171</c:v>
                </c:pt>
                <c:pt idx="8">
                  <c:v>0.16667073554755835</c:v>
                </c:pt>
                <c:pt idx="9">
                  <c:v>0.16705291890552015</c:v>
                </c:pt>
                <c:pt idx="10">
                  <c:v>0.1674438735575999</c:v>
                </c:pt>
                <c:pt idx="11">
                  <c:v>0.16770615870465166</c:v>
                </c:pt>
                <c:pt idx="12">
                  <c:v>0.16796620059890155</c:v>
                </c:pt>
                <c:pt idx="13">
                  <c:v>0.1679193924830629</c:v>
                </c:pt>
                <c:pt idx="14">
                  <c:v>0.16787096572465604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D90-4766-AE82-D6428E53EC50}"/>
            </c:ext>
          </c:extLst>
        </c:ser>
        <c:ser>
          <c:idx val="2"/>
          <c:order val="2"/>
          <c:tx>
            <c:strRef>
              <c:f>Profitability!$B$7</c:f>
              <c:strCache>
                <c:ptCount val="1"/>
                <c:pt idx="0">
                  <c:v>EBIT%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4"/>
              <c:layout>
                <c:manualLayout>
                  <c:x val="-1.5076754385965114E-2"/>
                  <c:y val="1.8226888305628463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223684210526315E-2"/>
                      <c:h val="5.645851560221638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9F1-4978-90E2-423C850A09AC}"/>
                </c:ext>
              </c:extLst>
            </c:dLbl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Profitability!$C$7:$S$7</c:f>
              <c:numCache>
                <c:formatCode>0.0%</c:formatCode>
                <c:ptCount val="15"/>
                <c:pt idx="0">
                  <c:v>-5.8370300241749079E-2</c:v>
                </c:pt>
                <c:pt idx="1">
                  <c:v>-0.17711927138364195</c:v>
                </c:pt>
                <c:pt idx="2">
                  <c:v>-9.5332488015940367E-2</c:v>
                </c:pt>
                <c:pt idx="3">
                  <c:v>-0.13879756446921945</c:v>
                </c:pt>
                <c:pt idx="4">
                  <c:v>-0.11104239458027236</c:v>
                </c:pt>
                <c:pt idx="5">
                  <c:v>2.8767539418611564E-2</c:v>
                </c:pt>
                <c:pt idx="6">
                  <c:v>3.3299274176622047E-2</c:v>
                </c:pt>
                <c:pt idx="7">
                  <c:v>3.8240769690690797E-2</c:v>
                </c:pt>
                <c:pt idx="8">
                  <c:v>4.1752839283607408E-2</c:v>
                </c:pt>
                <c:pt idx="9">
                  <c:v>4.2135022641569229E-2</c:v>
                </c:pt>
                <c:pt idx="10">
                  <c:v>4.252597729364898E-2</c:v>
                </c:pt>
                <c:pt idx="11">
                  <c:v>4.278826244070074E-2</c:v>
                </c:pt>
                <c:pt idx="12">
                  <c:v>4.3048304334950611E-2</c:v>
                </c:pt>
                <c:pt idx="13">
                  <c:v>4.3001496219111979E-2</c:v>
                </c:pt>
                <c:pt idx="14">
                  <c:v>4.295306946070513E-2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D90-4766-AE82-D6428E53E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35208"/>
        <c:axId val="614236192"/>
      </c:lineChart>
      <c:catAx>
        <c:axId val="439181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19792"/>
        <c:crosses val="autoZero"/>
        <c:auto val="1"/>
        <c:lblAlgn val="ctr"/>
        <c:lblOffset val="100"/>
        <c:noMultiLvlLbl val="0"/>
      </c:catAx>
      <c:valAx>
        <c:axId val="614219792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\ ##0_);_(* \(#\ 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9181288"/>
        <c:crosses val="autoZero"/>
        <c:crossBetween val="between"/>
        <c:majorUnit val="20000"/>
      </c:valAx>
      <c:valAx>
        <c:axId val="614236192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35208"/>
        <c:crosses val="max"/>
        <c:crossBetween val="between"/>
        <c:majorUnit val="0.1"/>
      </c:valAx>
      <c:catAx>
        <c:axId val="614235208"/>
        <c:scaling>
          <c:orientation val="minMax"/>
        </c:scaling>
        <c:delete val="1"/>
        <c:axPos val="b"/>
        <c:majorTickMark val="out"/>
        <c:minorTickMark val="none"/>
        <c:tickLblPos val="nextTo"/>
        <c:crossAx val="614236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Tesla: Revenue bridge 2018-2019</cx:v>
        </cx:txData>
      </cx:tx>
      <cx:txPr>
        <a:bodyPr vertOverflow="overflow" horzOverflow="overflow" wrap="square" lIns="0" tIns="0" rIns="0" bIns="0"/>
        <a:lstStyle/>
        <a:p>
          <a:pPr algn="ctr" rtl="0">
            <a:defRPr sz="800" b="0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Tesla: Revenue bridge 2018-2019</a:t>
          </a:r>
        </a:p>
      </cx:txPr>
    </cx:title>
    <cx:plotArea>
      <cx:plotAreaRegion>
        <cx:series layoutId="waterfall" uniqueId="{6DEB2625-9DBE-4B1B-97AC-B30528C36DCF}">
          <cx:dataPt idx="0">
            <cx:spPr>
              <a:solidFill>
                <a:srgbClr val="5B9BD5">
                  <a:lumMod val="50000"/>
                </a:srgbClr>
              </a:solidFill>
            </cx:spPr>
          </cx:dataPt>
          <cx:dataPt idx="7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7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txData>
              <cx:v>$ in million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$ in million</a:t>
              </a:r>
            </a:p>
          </cx:txPr>
        </cx:title>
        <cx:majorGridlines>
          <cx:spPr>
            <a:ln>
              <a:solidFill>
                <a:schemeClr val="accent1">
                  <a:alpha val="1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Tesla: Revenue bridge 2019-2020</cx:v>
        </cx:txData>
      </cx:tx>
      <cx:txPr>
        <a:bodyPr vertOverflow="overflow" horzOverflow="overflow" wrap="square" lIns="0" tIns="0" rIns="0" bIns="0"/>
        <a:lstStyle/>
        <a:p>
          <a:pPr algn="ctr" rtl="0">
            <a:defRPr sz="800" b="0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Tesla: Revenue bridge 2019-2020</a:t>
          </a:r>
        </a:p>
      </cx:txPr>
    </cx:title>
    <cx:plotArea>
      <cx:plotAreaRegion>
        <cx:series layoutId="waterfall" uniqueId="{6DEB2625-9DBE-4B1B-97AC-B30528C36DCF}">
          <cx:dataPt idx="0">
            <cx:spPr>
              <a:solidFill>
                <a:srgbClr val="5B9BD5">
                  <a:lumMod val="50000"/>
                </a:srgbClr>
              </a:solidFill>
            </cx:spPr>
          </cx:dataPt>
          <cx:dataPt idx="7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7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txData>
              <cx:v>$ in million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$ in million</a:t>
              </a:r>
            </a:p>
          </cx:txPr>
        </cx:title>
        <cx:majorGridlines>
          <cx:spPr>
            <a:ln>
              <a:solidFill>
                <a:schemeClr val="accent1">
                  <a:alpha val="1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txData>
          <cx:v>Tesla: Cash flow bridge 2018-2019</cx:v>
        </cx:txData>
      </cx:tx>
      <cx:txPr>
        <a:bodyPr vertOverflow="overflow" horzOverflow="overflow" wrap="square" lIns="0" tIns="0" rIns="0" bIns="0"/>
        <a:lstStyle/>
        <a:p>
          <a:pPr algn="ctr" rtl="0">
            <a:defRPr sz="800" b="0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Tesla: Cash flow bridge 2018-2019</a:t>
          </a:r>
        </a:p>
      </cx:txPr>
    </cx:title>
    <cx:plotArea>
      <cx:plotAreaRegion>
        <cx:series layoutId="waterfall" uniqueId="{6DEB2625-9DBE-4B1B-97AC-B30528C36DCF}">
          <cx:dataPt idx="0">
            <cx:spPr>
              <a:solidFill>
                <a:srgbClr val="002060"/>
              </a:solidFill>
            </cx:spPr>
          </cx:dataPt>
          <cx:dataPt idx="2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5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6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6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txData>
              <cx:v>$ in million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$ in million</a:t>
              </a:r>
            </a:p>
          </cx:txPr>
        </cx:title>
        <cx:majorGridlines>
          <cx:spPr>
            <a:ln>
              <a:solidFill>
                <a:schemeClr val="accent1">
                  <a:alpha val="1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txData>
          <cx:v>Tesla: Cash flow bridge 2027-2028</cx:v>
        </cx:txData>
      </cx:tx>
      <cx:txPr>
        <a:bodyPr vertOverflow="overflow" horzOverflow="overflow" wrap="square" lIns="0" tIns="0" rIns="0" bIns="0"/>
        <a:lstStyle/>
        <a:p>
          <a:pPr algn="ctr" rtl="0">
            <a:defRPr sz="800" b="0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Tesla: Cash flow bridge 2027-2028</a:t>
          </a:r>
        </a:p>
      </cx:txPr>
    </cx:title>
    <cx:plotArea>
      <cx:plotAreaRegion>
        <cx:series layoutId="waterfall" uniqueId="{6DEB2625-9DBE-4B1B-97AC-B30528C36DCF}">
          <cx:dataPt idx="0">
            <cx:spPr>
              <a:solidFill>
                <a:srgbClr val="002060"/>
              </a:solidFill>
            </cx:spPr>
          </cx:dataPt>
          <cx:dataPt idx="3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4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6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6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txData>
              <cx:v>$ in million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$ in million</a:t>
              </a:r>
            </a:p>
          </cx:txPr>
        </cx:title>
        <cx:majorGridlines>
          <cx:spPr>
            <a:ln>
              <a:solidFill>
                <a:schemeClr val="accent1">
                  <a:alpha val="1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title pos="t" align="ctr" overlay="0">
      <cx:tx>
        <cx:txData>
          <cx:v>Tesla: Cash flow bridge 2018-2019</cx:v>
        </cx:txData>
      </cx:tx>
      <cx:txPr>
        <a:bodyPr vertOverflow="overflow" horzOverflow="overflow" wrap="square" lIns="0" tIns="0" rIns="0" bIns="0"/>
        <a:lstStyle/>
        <a:p>
          <a:pPr algn="ctr" rtl="0">
            <a:defRPr sz="800" b="0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Tesla: Cash flow bridge 2018-2019</a:t>
          </a:r>
        </a:p>
      </cx:txPr>
    </cx:title>
    <cx:plotArea>
      <cx:plotAreaRegion>
        <cx:series layoutId="waterfall" uniqueId="{6DEB2625-9DBE-4B1B-97AC-B30528C36DCF}">
          <cx:dataPt idx="0">
            <cx:spPr>
              <a:solidFill>
                <a:srgbClr val="002060"/>
              </a:solidFill>
            </cx:spPr>
          </cx:dataPt>
          <cx:dataPt idx="2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5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6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6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txData>
              <cx:v>$ in million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$ in million</a:t>
              </a:r>
            </a:p>
          </cx:txPr>
        </cx:title>
        <cx:majorGridlines>
          <cx:spPr>
            <a:ln>
              <a:solidFill>
                <a:schemeClr val="accent1">
                  <a:alpha val="1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_xlchart.v1.11</cx:f>
      </cx:numDim>
    </cx:data>
  </cx:chartData>
  <cx:chart>
    <cx:title pos="t" align="ctr" overlay="0">
      <cx:tx>
        <cx:txData>
          <cx:v>Tesla Inc. - Net Income bridge FY17-FY19</cx:v>
        </cx:txData>
      </cx:tx>
      <cx:txPr>
        <a:bodyPr vertOverflow="overflow" horzOverflow="overflow" wrap="square" lIns="0" tIns="0" rIns="0" bIns="0"/>
        <a:lstStyle/>
        <a:p>
          <a:pPr algn="ctr" rtl="0">
            <a:defRPr sz="800" b="0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Tesla Inc. - Net Income bridge FY17-FY19</a:t>
          </a:r>
        </a:p>
      </cx:txPr>
    </cx:title>
    <cx:plotArea>
      <cx:plotAreaRegion>
        <cx:series layoutId="waterfall" uniqueId="{CB559398-49B7-4531-BCA7-5A242B7AD24B}">
          <cx:dataPt idx="0">
            <cx:spPr>
              <a:solidFill>
                <a:srgbClr val="002060"/>
              </a:solidFill>
            </cx:spPr>
          </cx:dataPt>
          <cx:dataPt idx="2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3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4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5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6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7">
            <cx:spPr>
              <a:solidFill>
                <a:srgbClr val="002060"/>
              </a:solidFill>
            </cx:spPr>
          </cx:dataPt>
          <cx:dataPt idx="9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10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11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12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13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subtotals>
              <cx:idx val="0"/>
              <cx:idx val="7"/>
              <cx:idx val="13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bg-BG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$   </a:t>
                </a:r>
                <a:r>
                  <a:rPr lang="en-GB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in million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>
          <cx:spPr>
            <a:ln>
              <a:solidFill>
                <a:schemeClr val="bg1">
                  <a:lumMod val="50000"/>
                  <a:alpha val="1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_xlchart.v1.13</cx:f>
      </cx:numDim>
    </cx:data>
  </cx:chartData>
  <cx:chart>
    <cx:title pos="t" align="ctr" overlay="0">
      <cx:tx>
        <cx:txData>
          <cx:v>Automotive revenue: Price - Volume - Mix Analysis 2017-2018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Automotive revenue: Price - Volume - Mix Analysis 2017-2018</a:t>
          </a:r>
        </a:p>
      </cx:txPr>
    </cx:title>
    <cx:plotArea>
      <cx:plotAreaRegion>
        <cx:series layoutId="waterfall" uniqueId="{8B76356B-CFB7-4987-B7BD-3584810D5857}">
          <cx:dataPt idx="0">
            <cx:spPr>
              <a:solidFill>
                <a:srgbClr val="002060"/>
              </a:solidFill>
            </cx:spPr>
          </cx:dataPt>
          <cx:dataPt idx="1">
            <cx:spPr>
              <a:solidFill>
                <a:srgbClr val="0070C0"/>
              </a:solidFill>
            </cx:spPr>
          </cx:dataPt>
          <cx:dataPt idx="2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3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4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4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800"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GB" sz="8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$ in million</a:t>
                </a:r>
                <a:endParaRPr lang="en-US" sz="8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x:rich>
          </cx:tx>
        </cx:title>
        <cx:majorGridlines>
          <cx:spPr>
            <a:ln>
              <a:solidFill>
                <a:schemeClr val="accent1">
                  <a:alpha val="2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_xlchart.v1.15</cx:f>
      </cx:numDim>
    </cx:data>
  </cx:chartData>
  <cx:chart>
    <cx:title pos="t" align="ctr" overlay="0">
      <cx:tx>
        <cx:txData>
          <cx:v>Automotive revenue: Price - Volume - Mix Analysis 2018-2019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8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Automotive revenue: Price - Volume - Mix Analysis 2018-2019</a:t>
          </a:r>
        </a:p>
      </cx:txPr>
    </cx:title>
    <cx:plotArea>
      <cx:plotAreaRegion>
        <cx:series layoutId="waterfall" uniqueId="{8B76356B-CFB7-4987-B7BD-3584810D5857}">
          <cx:dataPt idx="0">
            <cx:spPr>
              <a:solidFill>
                <a:srgbClr val="002060"/>
              </a:solidFill>
            </cx:spPr>
          </cx:dataPt>
          <cx:dataPt idx="1">
            <cx:spPr>
              <a:solidFill>
                <a:srgbClr val="0070C0"/>
              </a:solidFill>
            </cx:spPr>
          </cx:dataPt>
          <cx:dataPt idx="2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3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4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4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800"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GB" sz="8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$ in million</a:t>
                </a:r>
                <a:endParaRPr lang="en-US" sz="8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x:rich>
          </cx:tx>
        </cx:title>
        <cx:majorGridlines>
          <cx:spPr>
            <a:ln>
              <a:solidFill>
                <a:schemeClr val="accent1">
                  <a:alpha val="2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11</xdr:row>
      <xdr:rowOff>83820</xdr:rowOff>
    </xdr:from>
    <xdr:to>
      <xdr:col>20</xdr:col>
      <xdr:colOff>243840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95A947-05F3-4885-903C-1AE9E4EF8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17</xdr:row>
      <xdr:rowOff>106680</xdr:rowOff>
    </xdr:from>
    <xdr:to>
      <xdr:col>13</xdr:col>
      <xdr:colOff>510540</xdr:colOff>
      <xdr:row>36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F8E367-D47A-4F2E-9106-04911915F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678180</xdr:colOff>
      <xdr:row>9</xdr:row>
      <xdr:rowOff>95250</xdr:rowOff>
    </xdr:from>
    <xdr:to>
      <xdr:col>19</xdr:col>
      <xdr:colOff>38100</xdr:colOff>
      <xdr:row>28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61EE65-1412-4D60-8323-47891ED9B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0</xdr:row>
      <xdr:rowOff>190500</xdr:rowOff>
    </xdr:from>
    <xdr:to>
      <xdr:col>16</xdr:col>
      <xdr:colOff>167640</xdr:colOff>
      <xdr:row>15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DFBB898-9EAB-4BBF-9976-B65A8C7A97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1350" y="190500"/>
              <a:ext cx="8248650" cy="2105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274320</xdr:colOff>
      <xdr:row>16</xdr:row>
      <xdr:rowOff>121920</xdr:rowOff>
    </xdr:from>
    <xdr:to>
      <xdr:col>16</xdr:col>
      <xdr:colOff>167640</xdr:colOff>
      <xdr:row>31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1E5AB44-9AFF-4BC3-96EA-857236955B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1350" y="2466975"/>
              <a:ext cx="8248650" cy="2095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22</xdr:col>
      <xdr:colOff>160020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0652E-16B4-4864-83D3-1071C576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114300</xdr:rowOff>
    </xdr:from>
    <xdr:to>
      <xdr:col>18</xdr:col>
      <xdr:colOff>480060</xdr:colOff>
      <xdr:row>30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0157E-8EE3-4C14-9D4C-293C73545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83820</xdr:rowOff>
    </xdr:from>
    <xdr:to>
      <xdr:col>15</xdr:col>
      <xdr:colOff>312420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D85D3-C473-437B-94C8-400469FC7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0</xdr:row>
      <xdr:rowOff>118110</xdr:rowOff>
    </xdr:from>
    <xdr:to>
      <xdr:col>19</xdr:col>
      <xdr:colOff>160020</xdr:colOff>
      <xdr:row>19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93BF9DD-E731-40F8-B1D8-0D741C4064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05100" y="120015"/>
              <a:ext cx="10039350" cy="2705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358140</xdr:colOff>
      <xdr:row>19</xdr:row>
      <xdr:rowOff>125730</xdr:rowOff>
    </xdr:from>
    <xdr:to>
      <xdr:col>19</xdr:col>
      <xdr:colOff>160020</xdr:colOff>
      <xdr:row>38</xdr:row>
      <xdr:rowOff>118110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BD75E2B-AC51-44A0-8536-CFA4CA42C3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05100" y="2901315"/>
              <a:ext cx="10039350" cy="2705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0</xdr:row>
      <xdr:rowOff>118110</xdr:rowOff>
    </xdr:from>
    <xdr:to>
      <xdr:col>19</xdr:col>
      <xdr:colOff>160020</xdr:colOff>
      <xdr:row>18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DDEC695-FB3E-4392-9714-331EA9A7D0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05100" y="120015"/>
              <a:ext cx="10039350" cy="2562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358140</xdr:colOff>
      <xdr:row>18</xdr:row>
      <xdr:rowOff>125730</xdr:rowOff>
    </xdr:from>
    <xdr:to>
      <xdr:col>19</xdr:col>
      <xdr:colOff>160020</xdr:colOff>
      <xdr:row>36</xdr:row>
      <xdr:rowOff>118110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EC51C3A-4C7C-46BA-8021-8E87E4F9F6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05100" y="2758440"/>
              <a:ext cx="10039350" cy="2562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0</xdr:row>
      <xdr:rowOff>118110</xdr:rowOff>
    </xdr:from>
    <xdr:to>
      <xdr:col>19</xdr:col>
      <xdr:colOff>160020</xdr:colOff>
      <xdr:row>18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0E6463F-098B-484A-A1F7-F0324042EF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05100" y="120015"/>
              <a:ext cx="10039350" cy="2562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15240</xdr:rowOff>
    </xdr:from>
    <xdr:to>
      <xdr:col>19</xdr:col>
      <xdr:colOff>152400</xdr:colOff>
      <xdr:row>15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5B4F957-2118-4556-B26B-D80786E0DD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62250" y="514350"/>
              <a:ext cx="9972675" cy="2724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1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8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9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0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1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2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3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4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11" t="s">
        <v>196</v>
      </c>
      <c r="C9" s="101"/>
    </row>
    <row r="10" spans="2:3" ht="50.4" x14ac:dyDescent="0.25">
      <c r="B10" s="11" t="s">
        <v>197</v>
      </c>
      <c r="C10" s="101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07D8-2EE7-44FE-8CF5-9BBCEA245865}">
  <dimension ref="I1:K1"/>
  <sheetViews>
    <sheetView workbookViewId="0"/>
  </sheetViews>
  <sheetFormatPr defaultColWidth="9.109375" defaultRowHeight="11.4" outlineLevelCol="1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9.109375" style="8"/>
    <col min="8" max="8" width="11.44140625" style="8" bestFit="1" customWidth="1"/>
    <col min="9" max="10" width="10.33203125" style="8" hidden="1" customWidth="1" outlineLevel="1"/>
    <col min="11" max="11" width="10.33203125" style="8" bestFit="1" customWidth="1" collapsed="1"/>
    <col min="12" max="12" width="10.33203125" style="8" bestFit="1" customWidth="1"/>
    <col min="13" max="17" width="10.44140625" style="8" bestFit="1" customWidth="1"/>
    <col min="18" max="16384" width="9.109375" style="8"/>
  </cols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35C4-A3CF-4014-9C0F-0FC78BC8706D}">
  <dimension ref="A1:F19"/>
  <sheetViews>
    <sheetView workbookViewId="0">
      <selection activeCell="D1" sqref="D1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274</v>
      </c>
    </row>
    <row r="2" spans="1:6" ht="15.6" x14ac:dyDescent="0.25">
      <c r="A2" s="1"/>
      <c r="B2" s="2"/>
    </row>
    <row r="3" spans="1:6" x14ac:dyDescent="0.25">
      <c r="B3" s="221" t="s">
        <v>200</v>
      </c>
    </row>
    <row r="5" spans="1:6" x14ac:dyDescent="0.25">
      <c r="F5" s="8" t="s">
        <v>202</v>
      </c>
    </row>
    <row r="6" spans="1:6" ht="12" x14ac:dyDescent="0.25">
      <c r="B6" s="36" t="s">
        <v>172</v>
      </c>
      <c r="C6" s="62" t="s">
        <v>199</v>
      </c>
      <c r="D6" s="62" t="s">
        <v>235</v>
      </c>
    </row>
    <row r="7" spans="1:6" x14ac:dyDescent="0.25">
      <c r="B7" s="8" t="s">
        <v>224</v>
      </c>
      <c r="C7" s="14">
        <v>9600340</v>
      </c>
      <c r="D7" s="14">
        <v>9600340</v>
      </c>
    </row>
    <row r="8" spans="1:6" x14ac:dyDescent="0.25">
      <c r="B8" s="8" t="s">
        <v>225</v>
      </c>
      <c r="C8" s="14">
        <f>(119+373+1566+1582+2967)*1000</f>
        <v>6607000</v>
      </c>
      <c r="D8" s="14">
        <f>(119+373+1566+1582+2967)*1000</f>
        <v>6607000</v>
      </c>
    </row>
    <row r="9" spans="1:6" x14ac:dyDescent="0.25">
      <c r="B9" s="8" t="s">
        <v>226</v>
      </c>
      <c r="C9" s="14">
        <v>4740000</v>
      </c>
      <c r="D9" s="14">
        <v>4740000</v>
      </c>
    </row>
    <row r="10" spans="1:6" x14ac:dyDescent="0.25">
      <c r="B10" s="8" t="s">
        <v>227</v>
      </c>
      <c r="C10" s="14">
        <v>2460000</v>
      </c>
      <c r="D10" s="14">
        <v>2460000</v>
      </c>
    </row>
    <row r="11" spans="1:6" x14ac:dyDescent="0.25">
      <c r="B11" s="8" t="s">
        <v>228</v>
      </c>
      <c r="C11" s="14">
        <v>10700000</v>
      </c>
      <c r="D11" s="14">
        <v>10700000</v>
      </c>
    </row>
    <row r="12" spans="1:6" x14ac:dyDescent="0.25">
      <c r="B12" s="129" t="s">
        <v>229</v>
      </c>
      <c r="C12" s="210" t="s">
        <v>65</v>
      </c>
      <c r="D12" s="210" t="s">
        <v>65</v>
      </c>
    </row>
    <row r="13" spans="1:6" x14ac:dyDescent="0.25">
      <c r="B13" s="129" t="s">
        <v>230</v>
      </c>
      <c r="C13" s="210" t="s">
        <v>65</v>
      </c>
      <c r="D13" s="210" t="s">
        <v>65</v>
      </c>
    </row>
    <row r="14" spans="1:6" x14ac:dyDescent="0.25">
      <c r="B14" s="129" t="s">
        <v>231</v>
      </c>
      <c r="C14" s="210" t="s">
        <v>65</v>
      </c>
      <c r="D14" s="210" t="s">
        <v>65</v>
      </c>
    </row>
    <row r="15" spans="1:6" x14ac:dyDescent="0.25">
      <c r="B15" s="129" t="s">
        <v>232</v>
      </c>
      <c r="C15" s="210" t="s">
        <v>65</v>
      </c>
      <c r="D15" s="210" t="s">
        <v>65</v>
      </c>
    </row>
    <row r="16" spans="1:6" x14ac:dyDescent="0.25">
      <c r="B16" s="129" t="s">
        <v>233</v>
      </c>
      <c r="C16" s="210" t="s">
        <v>65</v>
      </c>
      <c r="D16" s="210" t="s">
        <v>65</v>
      </c>
    </row>
    <row r="17" spans="2:4" x14ac:dyDescent="0.25">
      <c r="B17" s="129" t="s">
        <v>234</v>
      </c>
      <c r="C17" s="210" t="s">
        <v>65</v>
      </c>
      <c r="D17" s="210" t="s">
        <v>65</v>
      </c>
    </row>
    <row r="18" spans="2:4" ht="12" x14ac:dyDescent="0.25">
      <c r="B18" s="9" t="s">
        <v>199</v>
      </c>
      <c r="C18" s="212" t="s">
        <v>65</v>
      </c>
      <c r="D18" s="173">
        <f>AVERAGE(D7:D17)</f>
        <v>6821468</v>
      </c>
    </row>
    <row r="19" spans="2:4" x14ac:dyDescent="0.25">
      <c r="C19" s="211"/>
      <c r="D19" s="21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3312-7F7F-4DE3-86D6-6BD35A28CEEA}">
  <dimension ref="A1:T44"/>
  <sheetViews>
    <sheetView workbookViewId="0">
      <selection activeCell="J21" sqref="J21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20" width="15.109375" style="8" customWidth="1"/>
    <col min="21" max="16384" width="9.109375" style="8"/>
  </cols>
  <sheetData>
    <row r="1" spans="1:20" ht="15.6" x14ac:dyDescent="0.25">
      <c r="A1" s="1"/>
      <c r="B1" s="2" t="s">
        <v>213</v>
      </c>
      <c r="T1" s="8" t="s">
        <v>76</v>
      </c>
    </row>
    <row r="2" spans="1:20" ht="15.6" x14ac:dyDescent="0.25">
      <c r="A2" s="1"/>
      <c r="B2" s="2"/>
    </row>
    <row r="3" spans="1:20" ht="12" x14ac:dyDescent="0.25">
      <c r="C3" s="224" t="s">
        <v>217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</row>
    <row r="4" spans="1:20" ht="24" x14ac:dyDescent="0.25">
      <c r="B4" s="36" t="s">
        <v>172</v>
      </c>
      <c r="C4" s="6" t="s">
        <v>45</v>
      </c>
      <c r="D4" s="6" t="s">
        <v>46</v>
      </c>
      <c r="E4" s="6" t="s">
        <v>47</v>
      </c>
      <c r="F4" s="6" t="s">
        <v>165</v>
      </c>
      <c r="G4" s="6" t="s">
        <v>173</v>
      </c>
      <c r="H4" s="98" t="s">
        <v>184</v>
      </c>
      <c r="I4" s="98" t="s">
        <v>183</v>
      </c>
      <c r="J4" s="98" t="s">
        <v>185</v>
      </c>
      <c r="K4" s="98" t="s">
        <v>186</v>
      </c>
      <c r="L4" s="98" t="s">
        <v>187</v>
      </c>
      <c r="M4" s="98" t="s">
        <v>188</v>
      </c>
      <c r="N4" s="98" t="s">
        <v>189</v>
      </c>
      <c r="O4" s="98" t="s">
        <v>269</v>
      </c>
      <c r="P4" s="98" t="s">
        <v>270</v>
      </c>
      <c r="Q4" s="98" t="s">
        <v>271</v>
      </c>
      <c r="R4" s="98" t="s">
        <v>272</v>
      </c>
      <c r="S4" s="98" t="s">
        <v>273</v>
      </c>
      <c r="T4" s="62" t="s">
        <v>179</v>
      </c>
    </row>
    <row r="5" spans="1:20" ht="13.2" customHeight="1" x14ac:dyDescent="0.25">
      <c r="B5" s="8" t="s">
        <v>175</v>
      </c>
      <c r="C5" s="89"/>
      <c r="D5" s="89"/>
      <c r="E5" s="89"/>
      <c r="F5" s="166" t="s">
        <v>65</v>
      </c>
      <c r="G5" s="166" t="s">
        <v>65</v>
      </c>
      <c r="H5" s="90">
        <f>($T5*Deliveries!H5)/1000000</f>
        <v>4368</v>
      </c>
      <c r="I5" s="90">
        <f>($T5*Deliveries!I5)*I14/1000000</f>
        <v>5486.04</v>
      </c>
      <c r="J5" s="90">
        <f>($T5*Deliveries!J5)*J14/1000000</f>
        <v>10920</v>
      </c>
      <c r="K5" s="90">
        <f>($T5*Deliveries!K5)*K14/1000000</f>
        <v>17472</v>
      </c>
      <c r="L5" s="90">
        <f>($T5*Deliveries!L5)*L14/1000000</f>
        <v>19219.200000000004</v>
      </c>
      <c r="M5" s="90">
        <f>($T5*Deliveries!M5)*M14/1000000</f>
        <v>21141.120000000003</v>
      </c>
      <c r="N5" s="90">
        <f>($T5*Deliveries!N5)*N14/1000000</f>
        <v>22198.176000000003</v>
      </c>
      <c r="O5" s="90">
        <f>($T5*Deliveries!O5)*O14/1000000</f>
        <v>23308.084800000008</v>
      </c>
      <c r="P5" s="90">
        <f>($T5*Deliveries!P5)*P14/1000000</f>
        <v>23774.246496000003</v>
      </c>
      <c r="Q5" s="90">
        <f>($T5*Deliveries!Q5)*Q14/1000000</f>
        <v>24249.731425920007</v>
      </c>
      <c r="R5" s="90">
        <f>($T5*Deliveries!R5)*R14/1000000</f>
        <v>24734.726054438408</v>
      </c>
      <c r="S5" s="90">
        <f>($T5*Deliveries!S5)*S14/1000000</f>
        <v>25229.420575527176</v>
      </c>
      <c r="T5" s="88">
        <v>42000</v>
      </c>
    </row>
    <row r="6" spans="1:20" x14ac:dyDescent="0.25">
      <c r="B6" s="8" t="s">
        <v>181</v>
      </c>
      <c r="C6" s="89">
        <f>'P&amp;L Input'!C4/1000</f>
        <v>3007.0120000000002</v>
      </c>
      <c r="D6" s="89">
        <f>'P&amp;L Input'!D4/1000</f>
        <v>3740.973</v>
      </c>
      <c r="E6" s="89">
        <f>'P&amp;L Input'!E4/1000</f>
        <v>6350.7659999999996</v>
      </c>
      <c r="F6" s="166" t="s">
        <v>65</v>
      </c>
      <c r="G6" s="166" t="s">
        <v>65</v>
      </c>
      <c r="H6" s="90">
        <f>($T6*Deliveries!H6)/1000000</f>
        <v>4891.25</v>
      </c>
      <c r="I6" s="90">
        <f>($T6*Deliveries!I6)*I15/1000000</f>
        <v>8750</v>
      </c>
      <c r="J6" s="90">
        <f>($T6*Deliveries!J6)*J15/1000000</f>
        <v>8925</v>
      </c>
      <c r="K6" s="90">
        <f>($T6*Deliveries!K6)*K15/1000000</f>
        <v>9103.5</v>
      </c>
      <c r="L6" s="90">
        <f>($T6*Deliveries!L6)*L15/1000000</f>
        <v>9285.57</v>
      </c>
      <c r="M6" s="90">
        <f>($T6*Deliveries!M6)*M15/1000000</f>
        <v>9471.2813999999998</v>
      </c>
      <c r="N6" s="90">
        <f>($T6*Deliveries!N6)*N15/1000000</f>
        <v>9660.7070280000007</v>
      </c>
      <c r="O6" s="90">
        <f>($T6*Deliveries!O6)*O15/1000000</f>
        <v>9853.9211685600021</v>
      </c>
      <c r="P6" s="90">
        <f>($T6*Deliveries!P6)*P15/1000000</f>
        <v>10050.9995919312</v>
      </c>
      <c r="Q6" s="90">
        <f>($T6*Deliveries!Q6)*Q15/1000000</f>
        <v>10252.019583769825</v>
      </c>
      <c r="R6" s="90">
        <f>($T6*Deliveries!R6)*R15/1000000</f>
        <v>10457.059975445223</v>
      </c>
      <c r="S6" s="90">
        <f>($T6*Deliveries!S6)*S15/1000000</f>
        <v>10666.201174954127</v>
      </c>
      <c r="T6" s="88">
        <f>(84000+91000)/2</f>
        <v>87500</v>
      </c>
    </row>
    <row r="7" spans="1:20" x14ac:dyDescent="0.25">
      <c r="B7" s="8" t="s">
        <v>176</v>
      </c>
      <c r="C7" s="89">
        <f>($T7*Deliveries!C7)/1000000</f>
        <v>0</v>
      </c>
      <c r="D7" s="89">
        <f>($T7*Deliveries!D7)/1000000</f>
        <v>0</v>
      </c>
      <c r="E7" s="89">
        <f>($T7*Deliveries!E7)/1000000</f>
        <v>0</v>
      </c>
      <c r="F7" s="89">
        <f>($T7*Deliveries!F7)/1000000</f>
        <v>0</v>
      </c>
      <c r="G7" s="89">
        <f>($T7*Deliveries!G7)/1000000</f>
        <v>0</v>
      </c>
      <c r="H7" s="90">
        <f>($T7*Deliveries!H7)/1000000</f>
        <v>0</v>
      </c>
      <c r="I7" s="90">
        <f>($T7*Deliveries!I7)*I16/1000000</f>
        <v>0</v>
      </c>
      <c r="J7" s="90">
        <f>($T7*Deliveries!J7)*J16/1000000</f>
        <v>88.2</v>
      </c>
      <c r="K7" s="90">
        <f>($T7*Deliveries!K7)*K16/1000000</f>
        <v>6531</v>
      </c>
      <c r="L7" s="90">
        <f>($T7*Deliveries!L7)*L16/1000000</f>
        <v>13000</v>
      </c>
      <c r="M7" s="90">
        <f>($T7*Deliveries!M7)*M16/1000000</f>
        <v>20800</v>
      </c>
      <c r="N7" s="90">
        <f>($T7*Deliveries!N7)*N16/1000000</f>
        <v>22880.000000000004</v>
      </c>
      <c r="O7" s="90">
        <f>($T7*Deliveries!O7)*O16/1000000</f>
        <v>25168.000000000007</v>
      </c>
      <c r="P7" s="90">
        <f>($T7*Deliveries!P7)*P16/1000000</f>
        <v>26426.400000000009</v>
      </c>
      <c r="Q7" s="90">
        <f>($T7*Deliveries!Q7)*Q16/1000000</f>
        <v>27747.720000000008</v>
      </c>
      <c r="R7" s="90">
        <f>($T7*Deliveries!R7)*R16/1000000</f>
        <v>28302.674400000007</v>
      </c>
      <c r="S7" s="90">
        <f>($T7*Deliveries!S7)*S16/1000000</f>
        <v>28868.727888000005</v>
      </c>
      <c r="T7" s="88">
        <v>50000</v>
      </c>
    </row>
    <row r="8" spans="1:20" x14ac:dyDescent="0.25">
      <c r="B8" s="8" t="s">
        <v>178</v>
      </c>
      <c r="C8" s="89">
        <f>($T8*Deliveries!C8)/1000000</f>
        <v>0</v>
      </c>
      <c r="D8" s="89">
        <f>($T8*Deliveries!D8)/1000000</f>
        <v>0</v>
      </c>
      <c r="E8" s="89">
        <f>($T8*Deliveries!E8)/1000000</f>
        <v>0</v>
      </c>
      <c r="F8" s="89">
        <f>($T8*Deliveries!F8)/1000000</f>
        <v>0</v>
      </c>
      <c r="G8" s="89">
        <f>($T8*Deliveries!G8)/1000000</f>
        <v>0</v>
      </c>
      <c r="H8" s="90">
        <f>($T8*Deliveries!H8)/1000000</f>
        <v>0</v>
      </c>
      <c r="I8" s="90">
        <f>($T8*Deliveries!I8)*I17/1000000</f>
        <v>0</v>
      </c>
      <c r="J8" s="90">
        <f>($T8*Deliveries!J8)*J17/1000000</f>
        <v>0</v>
      </c>
      <c r="K8" s="90">
        <f>($T8*Deliveries!K8)*K17/1000000</f>
        <v>115</v>
      </c>
      <c r="L8" s="90">
        <f>($T8*Deliveries!L8)*L17/1000000</f>
        <v>230</v>
      </c>
      <c r="M8" s="90">
        <f>($T8*Deliveries!M8)*M17/1000000</f>
        <v>345</v>
      </c>
      <c r="N8" s="90">
        <f>($T8*Deliveries!N8)*N17/1000000</f>
        <v>379.50000000000006</v>
      </c>
      <c r="O8" s="90">
        <f>($T8*Deliveries!O8)*O17/1000000</f>
        <v>417.4500000000001</v>
      </c>
      <c r="P8" s="90">
        <f>($T8*Deliveries!P8)*P17/1000000</f>
        <v>438.3225000000001</v>
      </c>
      <c r="Q8" s="90">
        <f>($T8*Deliveries!Q8)*Q17/1000000</f>
        <v>460.23862500000013</v>
      </c>
      <c r="R8" s="90">
        <f>($T8*Deliveries!R8)*R17/1000000</f>
        <v>469.44339750000017</v>
      </c>
      <c r="S8" s="90">
        <f>($T8*Deliveries!S8)*S17/1000000</f>
        <v>478.83226545000019</v>
      </c>
      <c r="T8" s="88">
        <v>230000</v>
      </c>
    </row>
    <row r="9" spans="1:20" x14ac:dyDescent="0.25">
      <c r="B9" s="8" t="s">
        <v>177</v>
      </c>
      <c r="C9" s="89">
        <f>($T9*Deliveries!C9)/1000000</f>
        <v>0</v>
      </c>
      <c r="D9" s="89">
        <f>($T9*Deliveries!D9)/1000000</f>
        <v>0</v>
      </c>
      <c r="E9" s="89">
        <f>($T9*Deliveries!E9)/1000000</f>
        <v>0</v>
      </c>
      <c r="F9" s="89">
        <f>($T9*Deliveries!F9)/1000000</f>
        <v>0</v>
      </c>
      <c r="G9" s="89">
        <f>($T9*Deliveries!G9)/1000000</f>
        <v>0</v>
      </c>
      <c r="H9" s="90">
        <f>($T9*Deliveries!H9)/1000000</f>
        <v>0</v>
      </c>
      <c r="I9" s="90">
        <f>($T9*Deliveries!I9)*I18/1000000</f>
        <v>0</v>
      </c>
      <c r="J9" s="90">
        <f>($T9*Deliveries!J9)*J18/1000000</f>
        <v>15.75</v>
      </c>
      <c r="K9" s="90">
        <f>($T9*Deliveries!K9)*K18/1000000</f>
        <v>1166.25</v>
      </c>
      <c r="L9" s="90">
        <f>($T9*Deliveries!L9)*L18/1000000</f>
        <v>2321.4285714285716</v>
      </c>
      <c r="M9" s="90">
        <f>($T9*Deliveries!M9)*M18/1000000</f>
        <v>3714.2857142857151</v>
      </c>
      <c r="N9" s="90">
        <f>($T9*Deliveries!N9)*N18/1000000</f>
        <v>4085.7142857142867</v>
      </c>
      <c r="O9" s="90">
        <f>($T9*Deliveries!O9)*O18/1000000</f>
        <v>4494.2857142857165</v>
      </c>
      <c r="P9" s="90">
        <f>($T9*Deliveries!P9)*P18/1000000</f>
        <v>4719.0000000000018</v>
      </c>
      <c r="Q9" s="90">
        <f>($T9*Deliveries!Q9)*Q18/1000000</f>
        <v>4954.9500000000025</v>
      </c>
      <c r="R9" s="90">
        <f>($T9*Deliveries!R9)*R18/1000000</f>
        <v>5054.0490000000027</v>
      </c>
      <c r="S9" s="90">
        <f>($T9*Deliveries!S9)*S18/1000000</f>
        <v>5155.1299800000024</v>
      </c>
      <c r="T9" s="88">
        <v>63000</v>
      </c>
    </row>
    <row r="10" spans="1:20" x14ac:dyDescent="0.25">
      <c r="B10" s="8" t="s">
        <v>174</v>
      </c>
      <c r="C10" s="89">
        <f>($T10*Deliveries!C10)/1000000</f>
        <v>0</v>
      </c>
      <c r="D10" s="89">
        <f>($T10*Deliveries!D10)/1000000</f>
        <v>0</v>
      </c>
      <c r="E10" s="89">
        <f>($T10*Deliveries!E10)/1000000</f>
        <v>0</v>
      </c>
      <c r="F10" s="89">
        <f>($T10*Deliveries!F10)/1000000</f>
        <v>0</v>
      </c>
      <c r="G10" s="89">
        <f>($T10*Deliveries!G10)/1000000</f>
        <v>0</v>
      </c>
      <c r="H10" s="90">
        <f>($T10*Deliveries!H10)/1000000</f>
        <v>0</v>
      </c>
      <c r="I10" s="90">
        <f>($T10*Deliveries!I10)*I19/1000000</f>
        <v>0</v>
      </c>
      <c r="J10" s="90">
        <f>($T10*Deliveries!J10)*J19/1000000</f>
        <v>50</v>
      </c>
      <c r="K10" s="90">
        <f>($T10*Deliveries!K10)*K19/1000000</f>
        <v>3702.3809523809527</v>
      </c>
      <c r="L10" s="90">
        <f>($T10*Deliveries!L10)*L19/1000000</f>
        <v>7369.6145124716568</v>
      </c>
      <c r="M10" s="90">
        <f>($T10*Deliveries!M10)*M19/1000000</f>
        <v>11791.38321995465</v>
      </c>
      <c r="N10" s="90">
        <f>($T10*Deliveries!N10)*N19/1000000</f>
        <v>12970.521541950116</v>
      </c>
      <c r="O10" s="90">
        <f>($T10*Deliveries!O10)*O19/1000000</f>
        <v>14267.573696145129</v>
      </c>
      <c r="P10" s="90">
        <f>($T10*Deliveries!P10)*P19/1000000</f>
        <v>14980.952380952387</v>
      </c>
      <c r="Q10" s="90">
        <f>($T10*Deliveries!Q10)*Q19/1000000</f>
        <v>15730.000000000009</v>
      </c>
      <c r="R10" s="90">
        <f>($T10*Deliveries!R10)*R19/1000000</f>
        <v>16044.600000000009</v>
      </c>
      <c r="S10" s="90">
        <f>($T10*Deliveries!S10)*S19/1000000</f>
        <v>16365.492000000009</v>
      </c>
      <c r="T10" s="88">
        <v>200000</v>
      </c>
    </row>
    <row r="11" spans="1:20" ht="12.6" thickBot="1" x14ac:dyDescent="0.3">
      <c r="B11" s="116" t="s">
        <v>69</v>
      </c>
      <c r="C11" s="127">
        <f>SUM(C5:C10)</f>
        <v>3007.0120000000002</v>
      </c>
      <c r="D11" s="127">
        <f t="shared" ref="D11:N11" si="0">SUM(D5:D10)</f>
        <v>3740.973</v>
      </c>
      <c r="E11" s="127">
        <f t="shared" si="0"/>
        <v>6350.7659999999996</v>
      </c>
      <c r="F11" s="127">
        <f>'P&amp;L Input'!F4/1000</f>
        <v>9641.2999999999993</v>
      </c>
      <c r="G11" s="127">
        <f>'P&amp;L Input'!G4/1000</f>
        <v>6092.9979999999996</v>
      </c>
      <c r="H11" s="127">
        <f t="shared" si="0"/>
        <v>9259.25</v>
      </c>
      <c r="I11" s="127">
        <f t="shared" si="0"/>
        <v>14236.04</v>
      </c>
      <c r="J11" s="127">
        <f t="shared" si="0"/>
        <v>19998.95</v>
      </c>
      <c r="K11" s="127">
        <f t="shared" si="0"/>
        <v>38090.130952380954</v>
      </c>
      <c r="L11" s="127">
        <f t="shared" si="0"/>
        <v>51425.813083900233</v>
      </c>
      <c r="M11" s="127">
        <f t="shared" si="0"/>
        <v>67263.070334240372</v>
      </c>
      <c r="N11" s="127">
        <f t="shared" si="0"/>
        <v>72174.618855664419</v>
      </c>
      <c r="O11" s="127">
        <f t="shared" ref="O11:S11" si="1">SUM(O5:O10)</f>
        <v>77509.315378990868</v>
      </c>
      <c r="P11" s="127">
        <f t="shared" si="1"/>
        <v>80389.920968883598</v>
      </c>
      <c r="Q11" s="127">
        <f t="shared" si="1"/>
        <v>83394.659634689859</v>
      </c>
      <c r="R11" s="127">
        <f t="shared" si="1"/>
        <v>85062.552827383639</v>
      </c>
      <c r="S11" s="127">
        <f t="shared" si="1"/>
        <v>86763.803883931323</v>
      </c>
      <c r="T11" s="96"/>
    </row>
    <row r="12" spans="1:20" ht="3" customHeight="1" x14ac:dyDescent="0.25"/>
    <row r="13" spans="1:20" x14ac:dyDescent="0.25">
      <c r="B13" s="91" t="s">
        <v>75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35"/>
    </row>
    <row r="14" spans="1:20" x14ac:dyDescent="0.25">
      <c r="B14" s="92" t="s">
        <v>175</v>
      </c>
      <c r="C14" s="95"/>
      <c r="D14" s="95"/>
      <c r="E14" s="95"/>
      <c r="F14" s="95"/>
      <c r="G14" s="92"/>
      <c r="H14" s="92"/>
      <c r="I14" s="94">
        <f>CHOOSE(Drivers!$C$3,'Revenue automotive'!I22,'Revenue automotive'!I30,'Revenue automotive'!I38)</f>
        <v>1</v>
      </c>
      <c r="J14" s="94">
        <f>CHOOSE(Drivers!$C$3,'Revenue automotive'!J22,'Revenue automotive'!J30,'Revenue automotive'!J38)</f>
        <v>1</v>
      </c>
      <c r="K14" s="94">
        <f>CHOOSE(Drivers!$C$3,'Revenue automotive'!K22,'Revenue automotive'!K30,'Revenue automotive'!K38)</f>
        <v>1</v>
      </c>
      <c r="L14" s="94">
        <f>CHOOSE(Drivers!$C$3,'Revenue automotive'!L22,'Revenue automotive'!L30,'Revenue automotive'!L38)</f>
        <v>1</v>
      </c>
      <c r="M14" s="94">
        <f>CHOOSE(Drivers!$C$3,'Revenue automotive'!M22,'Revenue automotive'!M30,'Revenue automotive'!M38)</f>
        <v>1</v>
      </c>
      <c r="N14" s="94">
        <f>CHOOSE(Drivers!$C$3,'Revenue automotive'!N22,'Revenue automotive'!N30,'Revenue automotive'!N38)</f>
        <v>1</v>
      </c>
      <c r="O14" s="94">
        <f>CHOOSE(Drivers!$C$3,'Revenue automotive'!O22,'Revenue automotive'!O30,'Revenue automotive'!O38)</f>
        <v>1</v>
      </c>
      <c r="P14" s="94">
        <f>CHOOSE(Drivers!$C$3,'Revenue automotive'!P22,'Revenue automotive'!P30,'Revenue automotive'!P38)</f>
        <v>1</v>
      </c>
      <c r="Q14" s="94">
        <f>CHOOSE(Drivers!$C$3,'Revenue automotive'!Q22,'Revenue automotive'!Q30,'Revenue automotive'!Q38)</f>
        <v>1</v>
      </c>
      <c r="R14" s="94">
        <f>CHOOSE(Drivers!$C$3,'Revenue automotive'!R22,'Revenue automotive'!R30,'Revenue automotive'!R38)</f>
        <v>1</v>
      </c>
      <c r="S14" s="94">
        <f>CHOOSE(Drivers!$C$3,'Revenue automotive'!S22,'Revenue automotive'!S30,'Revenue automotive'!S38)</f>
        <v>1</v>
      </c>
      <c r="T14" s="35"/>
    </row>
    <row r="15" spans="1:20" x14ac:dyDescent="0.25">
      <c r="B15" s="92" t="s">
        <v>181</v>
      </c>
      <c r="C15" s="95"/>
      <c r="D15" s="79"/>
      <c r="E15" s="79"/>
      <c r="F15" s="79"/>
      <c r="G15" s="92"/>
      <c r="H15" s="92"/>
      <c r="I15" s="94">
        <f>CHOOSE(Drivers!$C$3,'Revenue automotive'!I23,'Revenue automotive'!I31,'Revenue automotive'!I39)</f>
        <v>1</v>
      </c>
      <c r="J15" s="94">
        <f>CHOOSE(Drivers!$C$3,'Revenue automotive'!J23,'Revenue automotive'!J31,'Revenue automotive'!J39)</f>
        <v>1</v>
      </c>
      <c r="K15" s="94">
        <f>CHOOSE(Drivers!$C$3,'Revenue automotive'!K23,'Revenue automotive'!K31,'Revenue automotive'!K39)</f>
        <v>1</v>
      </c>
      <c r="L15" s="94">
        <f>CHOOSE(Drivers!$C$3,'Revenue automotive'!L23,'Revenue automotive'!L31,'Revenue automotive'!L39)</f>
        <v>1</v>
      </c>
      <c r="M15" s="94">
        <f>CHOOSE(Drivers!$C$3,'Revenue automotive'!M23,'Revenue automotive'!M31,'Revenue automotive'!M39)</f>
        <v>1</v>
      </c>
      <c r="N15" s="94">
        <f>CHOOSE(Drivers!$C$3,'Revenue automotive'!N23,'Revenue automotive'!N31,'Revenue automotive'!N39)</f>
        <v>1</v>
      </c>
      <c r="O15" s="94">
        <f>CHOOSE(Drivers!$C$3,'Revenue automotive'!O23,'Revenue automotive'!O31,'Revenue automotive'!O39)</f>
        <v>1</v>
      </c>
      <c r="P15" s="94">
        <f>CHOOSE(Drivers!$C$3,'Revenue automotive'!P23,'Revenue automotive'!P31,'Revenue automotive'!P39)</f>
        <v>1</v>
      </c>
      <c r="Q15" s="94">
        <f>CHOOSE(Drivers!$C$3,'Revenue automotive'!Q23,'Revenue automotive'!Q31,'Revenue automotive'!Q39)</f>
        <v>1</v>
      </c>
      <c r="R15" s="94">
        <f>CHOOSE(Drivers!$C$3,'Revenue automotive'!R23,'Revenue automotive'!R31,'Revenue automotive'!R39)</f>
        <v>1</v>
      </c>
      <c r="S15" s="94">
        <f>CHOOSE(Drivers!$C$3,'Revenue automotive'!S23,'Revenue automotive'!S31,'Revenue automotive'!S39)</f>
        <v>1</v>
      </c>
      <c r="T15" s="35"/>
    </row>
    <row r="16" spans="1:20" x14ac:dyDescent="0.25">
      <c r="B16" s="92" t="s">
        <v>176</v>
      </c>
      <c r="C16" s="95"/>
      <c r="D16" s="95"/>
      <c r="E16" s="95"/>
      <c r="F16" s="95"/>
      <c r="G16" s="92"/>
      <c r="H16" s="92"/>
      <c r="I16" s="94">
        <f>CHOOSE(Drivers!$C$3,'Revenue automotive'!I24,'Revenue automotive'!I32,'Revenue automotive'!I40)</f>
        <v>1</v>
      </c>
      <c r="J16" s="94">
        <f>CHOOSE(Drivers!$C$3,'Revenue automotive'!J24,'Revenue automotive'!J32,'Revenue automotive'!J40)</f>
        <v>1</v>
      </c>
      <c r="K16" s="94">
        <f>CHOOSE(Drivers!$C$3,'Revenue automotive'!K24,'Revenue automotive'!K32,'Revenue automotive'!K40)</f>
        <v>1</v>
      </c>
      <c r="L16" s="94">
        <f>CHOOSE(Drivers!$C$3,'Revenue automotive'!L24,'Revenue automotive'!L32,'Revenue automotive'!L40)</f>
        <v>1</v>
      </c>
      <c r="M16" s="94">
        <f>CHOOSE(Drivers!$C$3,'Revenue automotive'!M24,'Revenue automotive'!M32,'Revenue automotive'!M40)</f>
        <v>1</v>
      </c>
      <c r="N16" s="94">
        <f>CHOOSE(Drivers!$C$3,'Revenue automotive'!N24,'Revenue automotive'!N32,'Revenue automotive'!N40)</f>
        <v>1</v>
      </c>
      <c r="O16" s="94">
        <f>CHOOSE(Drivers!$C$3,'Revenue automotive'!O24,'Revenue automotive'!O32,'Revenue automotive'!O40)</f>
        <v>1</v>
      </c>
      <c r="P16" s="94">
        <f>CHOOSE(Drivers!$C$3,'Revenue automotive'!P24,'Revenue automotive'!P32,'Revenue automotive'!P40)</f>
        <v>1</v>
      </c>
      <c r="Q16" s="94">
        <f>CHOOSE(Drivers!$C$3,'Revenue automotive'!Q24,'Revenue automotive'!Q32,'Revenue automotive'!Q40)</f>
        <v>1</v>
      </c>
      <c r="R16" s="94">
        <f>CHOOSE(Drivers!$C$3,'Revenue automotive'!R24,'Revenue automotive'!R32,'Revenue automotive'!R40)</f>
        <v>1</v>
      </c>
      <c r="S16" s="94">
        <f>CHOOSE(Drivers!$C$3,'Revenue automotive'!S24,'Revenue automotive'!S32,'Revenue automotive'!S40)</f>
        <v>1</v>
      </c>
      <c r="T16" s="35"/>
    </row>
    <row r="17" spans="2:20" x14ac:dyDescent="0.25">
      <c r="B17" s="92" t="s">
        <v>178</v>
      </c>
      <c r="C17" s="95"/>
      <c r="D17" s="95"/>
      <c r="E17" s="95"/>
      <c r="F17" s="95"/>
      <c r="G17" s="92"/>
      <c r="H17" s="92"/>
      <c r="I17" s="94">
        <f>CHOOSE(Drivers!$C$3,'Revenue automotive'!I25,'Revenue automotive'!I33,'Revenue automotive'!I41)</f>
        <v>1</v>
      </c>
      <c r="J17" s="94">
        <f>CHOOSE(Drivers!$C$3,'Revenue automotive'!J25,'Revenue automotive'!J33,'Revenue automotive'!J41)</f>
        <v>1</v>
      </c>
      <c r="K17" s="94">
        <f>CHOOSE(Drivers!$C$3,'Revenue automotive'!K25,'Revenue automotive'!K33,'Revenue automotive'!K41)</f>
        <v>1</v>
      </c>
      <c r="L17" s="94">
        <f>CHOOSE(Drivers!$C$3,'Revenue automotive'!L25,'Revenue automotive'!L33,'Revenue automotive'!L41)</f>
        <v>1</v>
      </c>
      <c r="M17" s="94">
        <f>CHOOSE(Drivers!$C$3,'Revenue automotive'!M25,'Revenue automotive'!M33,'Revenue automotive'!M41)</f>
        <v>1</v>
      </c>
      <c r="N17" s="94">
        <f>CHOOSE(Drivers!$C$3,'Revenue automotive'!N25,'Revenue automotive'!N33,'Revenue automotive'!N41)</f>
        <v>1</v>
      </c>
      <c r="O17" s="94">
        <f>CHOOSE(Drivers!$C$3,'Revenue automotive'!O25,'Revenue automotive'!O33,'Revenue automotive'!O41)</f>
        <v>1</v>
      </c>
      <c r="P17" s="94">
        <f>CHOOSE(Drivers!$C$3,'Revenue automotive'!P25,'Revenue automotive'!P33,'Revenue automotive'!P41)</f>
        <v>1</v>
      </c>
      <c r="Q17" s="94">
        <f>CHOOSE(Drivers!$C$3,'Revenue automotive'!Q25,'Revenue automotive'!Q33,'Revenue automotive'!Q41)</f>
        <v>1</v>
      </c>
      <c r="R17" s="94">
        <f>CHOOSE(Drivers!$C$3,'Revenue automotive'!R25,'Revenue automotive'!R33,'Revenue automotive'!R41)</f>
        <v>1</v>
      </c>
      <c r="S17" s="94">
        <f>CHOOSE(Drivers!$C$3,'Revenue automotive'!S25,'Revenue automotive'!S33,'Revenue automotive'!S41)</f>
        <v>1</v>
      </c>
      <c r="T17" s="178"/>
    </row>
    <row r="18" spans="2:20" x14ac:dyDescent="0.25">
      <c r="B18" s="92" t="s">
        <v>177</v>
      </c>
      <c r="C18" s="95"/>
      <c r="D18" s="95"/>
      <c r="E18" s="95"/>
      <c r="F18" s="95"/>
      <c r="G18" s="92"/>
      <c r="H18" s="92"/>
      <c r="I18" s="94">
        <f>CHOOSE(Drivers!$C$3,'Revenue automotive'!I26,'Revenue automotive'!I34,'Revenue automotive'!I42)</f>
        <v>1</v>
      </c>
      <c r="J18" s="94">
        <f>CHOOSE(Drivers!$C$3,'Revenue automotive'!J26,'Revenue automotive'!J34,'Revenue automotive'!J42)</f>
        <v>1</v>
      </c>
      <c r="K18" s="94">
        <f>CHOOSE(Drivers!$C$3,'Revenue automotive'!K26,'Revenue automotive'!K34,'Revenue automotive'!K42)</f>
        <v>1</v>
      </c>
      <c r="L18" s="94">
        <f>CHOOSE(Drivers!$C$3,'Revenue automotive'!L26,'Revenue automotive'!L34,'Revenue automotive'!L42)</f>
        <v>1</v>
      </c>
      <c r="M18" s="94">
        <f>CHOOSE(Drivers!$C$3,'Revenue automotive'!M26,'Revenue automotive'!M34,'Revenue automotive'!M42)</f>
        <v>1</v>
      </c>
      <c r="N18" s="94">
        <f>CHOOSE(Drivers!$C$3,'Revenue automotive'!N26,'Revenue automotive'!N34,'Revenue automotive'!N42)</f>
        <v>1</v>
      </c>
      <c r="O18" s="94">
        <f>CHOOSE(Drivers!$C$3,'Revenue automotive'!O26,'Revenue automotive'!O34,'Revenue automotive'!O42)</f>
        <v>1</v>
      </c>
      <c r="P18" s="94">
        <f>CHOOSE(Drivers!$C$3,'Revenue automotive'!P26,'Revenue automotive'!P34,'Revenue automotive'!P42)</f>
        <v>1</v>
      </c>
      <c r="Q18" s="94">
        <f>CHOOSE(Drivers!$C$3,'Revenue automotive'!Q26,'Revenue automotive'!Q34,'Revenue automotive'!Q42)</f>
        <v>1</v>
      </c>
      <c r="R18" s="94">
        <f>CHOOSE(Drivers!$C$3,'Revenue automotive'!R26,'Revenue automotive'!R34,'Revenue automotive'!R42)</f>
        <v>1</v>
      </c>
      <c r="S18" s="94">
        <f>CHOOSE(Drivers!$C$3,'Revenue automotive'!S26,'Revenue automotive'!S34,'Revenue automotive'!S42)</f>
        <v>1</v>
      </c>
      <c r="T18" s="35"/>
    </row>
    <row r="19" spans="2:20" x14ac:dyDescent="0.25">
      <c r="B19" s="92" t="s">
        <v>174</v>
      </c>
      <c r="C19" s="95"/>
      <c r="D19" s="95"/>
      <c r="E19" s="95"/>
      <c r="F19" s="95"/>
      <c r="G19" s="92"/>
      <c r="H19" s="92"/>
      <c r="I19" s="94">
        <f>CHOOSE(Drivers!$C$3,'Revenue automotive'!I27,'Revenue automotive'!I35,'Revenue automotive'!I43)</f>
        <v>1</v>
      </c>
      <c r="J19" s="94">
        <f>CHOOSE(Drivers!$C$3,'Revenue automotive'!J27,'Revenue automotive'!J35,'Revenue automotive'!J43)</f>
        <v>1</v>
      </c>
      <c r="K19" s="94">
        <f>CHOOSE(Drivers!$C$3,'Revenue automotive'!K27,'Revenue automotive'!K35,'Revenue automotive'!K43)</f>
        <v>1</v>
      </c>
      <c r="L19" s="94">
        <f>CHOOSE(Drivers!$C$3,'Revenue automotive'!L27,'Revenue automotive'!L35,'Revenue automotive'!L43)</f>
        <v>1</v>
      </c>
      <c r="M19" s="94">
        <f>CHOOSE(Drivers!$C$3,'Revenue automotive'!M27,'Revenue automotive'!M35,'Revenue automotive'!M43)</f>
        <v>1</v>
      </c>
      <c r="N19" s="94">
        <f>CHOOSE(Drivers!$C$3,'Revenue automotive'!N27,'Revenue automotive'!N35,'Revenue automotive'!N43)</f>
        <v>1</v>
      </c>
      <c r="O19" s="94">
        <f>CHOOSE(Drivers!$C$3,'Revenue automotive'!O27,'Revenue automotive'!O35,'Revenue automotive'!O43)</f>
        <v>1</v>
      </c>
      <c r="P19" s="94">
        <f>CHOOSE(Drivers!$C$3,'Revenue automotive'!P27,'Revenue automotive'!P35,'Revenue automotive'!P43)</f>
        <v>1</v>
      </c>
      <c r="Q19" s="94">
        <f>CHOOSE(Drivers!$C$3,'Revenue automotive'!Q27,'Revenue automotive'!Q35,'Revenue automotive'!Q43)</f>
        <v>1</v>
      </c>
      <c r="R19" s="94">
        <f>CHOOSE(Drivers!$C$3,'Revenue automotive'!R27,'Revenue automotive'!R35,'Revenue automotive'!R43)</f>
        <v>1</v>
      </c>
      <c r="S19" s="94">
        <f>CHOOSE(Drivers!$C$3,'Revenue automotive'!S27,'Revenue automotive'!S35,'Revenue automotive'!S43)</f>
        <v>1</v>
      </c>
      <c r="T19" s="35"/>
    </row>
    <row r="20" spans="2:20" x14ac:dyDescent="0.25">
      <c r="B20" s="92"/>
      <c r="C20" s="95"/>
      <c r="D20" s="95"/>
      <c r="E20" s="95"/>
      <c r="F20" s="95"/>
      <c r="G20" s="92"/>
      <c r="H20" s="92"/>
      <c r="I20" s="95"/>
      <c r="J20" s="95"/>
      <c r="K20" s="93"/>
      <c r="L20" s="93"/>
      <c r="M20" s="93"/>
      <c r="N20" s="93"/>
      <c r="O20" s="93"/>
      <c r="P20" s="93"/>
      <c r="Q20" s="93"/>
      <c r="R20" s="93"/>
      <c r="S20" s="93"/>
      <c r="T20" s="35"/>
    </row>
    <row r="21" spans="2:20" x14ac:dyDescent="0.25">
      <c r="B21" s="91" t="s">
        <v>71</v>
      </c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35"/>
    </row>
    <row r="22" spans="2:20" x14ac:dyDescent="0.25">
      <c r="B22" s="92" t="s">
        <v>175</v>
      </c>
      <c r="C22" s="95"/>
      <c r="D22" s="95"/>
      <c r="E22" s="95"/>
      <c r="F22" s="95"/>
      <c r="G22" s="92"/>
      <c r="H22" s="92"/>
      <c r="I22" s="94">
        <v>1.02</v>
      </c>
      <c r="J22" s="94">
        <v>1.02</v>
      </c>
      <c r="K22" s="94">
        <v>1.02</v>
      </c>
      <c r="L22" s="94">
        <v>1.02</v>
      </c>
      <c r="M22" s="94">
        <v>1.02</v>
      </c>
      <c r="N22" s="94">
        <v>1.02</v>
      </c>
      <c r="O22" s="94">
        <v>1.02</v>
      </c>
      <c r="P22" s="94">
        <v>1.02</v>
      </c>
      <c r="Q22" s="94">
        <v>1.02</v>
      </c>
      <c r="R22" s="94">
        <v>1.02</v>
      </c>
      <c r="S22" s="94">
        <v>1.02</v>
      </c>
      <c r="T22" s="35"/>
    </row>
    <row r="23" spans="2:20" x14ac:dyDescent="0.25">
      <c r="B23" s="92" t="s">
        <v>181</v>
      </c>
      <c r="C23" s="95"/>
      <c r="D23" s="79"/>
      <c r="E23" s="79"/>
      <c r="F23" s="79"/>
      <c r="G23" s="92"/>
      <c r="H23" s="92"/>
      <c r="I23" s="94">
        <v>1.02</v>
      </c>
      <c r="J23" s="94">
        <v>1.02</v>
      </c>
      <c r="K23" s="94">
        <v>1.02</v>
      </c>
      <c r="L23" s="94">
        <v>1.02</v>
      </c>
      <c r="M23" s="94">
        <v>1.02</v>
      </c>
      <c r="N23" s="94">
        <v>1.02</v>
      </c>
      <c r="O23" s="94">
        <v>1.02</v>
      </c>
      <c r="P23" s="94">
        <v>1.02</v>
      </c>
      <c r="Q23" s="94">
        <v>1.02</v>
      </c>
      <c r="R23" s="94">
        <v>1.02</v>
      </c>
      <c r="S23" s="94">
        <v>1.02</v>
      </c>
      <c r="T23" s="35"/>
    </row>
    <row r="24" spans="2:20" x14ac:dyDescent="0.25">
      <c r="B24" s="92" t="s">
        <v>176</v>
      </c>
      <c r="C24" s="95"/>
      <c r="D24" s="95"/>
      <c r="E24" s="95"/>
      <c r="F24" s="95"/>
      <c r="G24" s="92"/>
      <c r="H24" s="92"/>
      <c r="I24" s="94">
        <v>1.02</v>
      </c>
      <c r="J24" s="94">
        <v>1.02</v>
      </c>
      <c r="K24" s="94">
        <v>1.02</v>
      </c>
      <c r="L24" s="94">
        <v>1.02</v>
      </c>
      <c r="M24" s="94">
        <v>1.02</v>
      </c>
      <c r="N24" s="94">
        <v>1.02</v>
      </c>
      <c r="O24" s="94">
        <v>1.02</v>
      </c>
      <c r="P24" s="94">
        <v>1.02</v>
      </c>
      <c r="Q24" s="94">
        <v>1.02</v>
      </c>
      <c r="R24" s="94">
        <v>1.02</v>
      </c>
      <c r="S24" s="94">
        <v>1.02</v>
      </c>
      <c r="T24" s="35"/>
    </row>
    <row r="25" spans="2:20" x14ac:dyDescent="0.25">
      <c r="B25" s="92" t="s">
        <v>178</v>
      </c>
      <c r="C25" s="95"/>
      <c r="D25" s="95"/>
      <c r="E25" s="95"/>
      <c r="F25" s="95"/>
      <c r="G25" s="92"/>
      <c r="H25" s="92"/>
      <c r="I25" s="94">
        <v>1.02</v>
      </c>
      <c r="J25" s="94">
        <v>1.02</v>
      </c>
      <c r="K25" s="94">
        <v>1.02</v>
      </c>
      <c r="L25" s="94">
        <v>1.02</v>
      </c>
      <c r="M25" s="94">
        <v>1.02</v>
      </c>
      <c r="N25" s="94">
        <v>1.02</v>
      </c>
      <c r="O25" s="94">
        <v>1.02</v>
      </c>
      <c r="P25" s="94">
        <v>1.02</v>
      </c>
      <c r="Q25" s="94">
        <v>1.02</v>
      </c>
      <c r="R25" s="94">
        <v>1.02</v>
      </c>
      <c r="S25" s="94">
        <v>1.02</v>
      </c>
      <c r="T25" s="35"/>
    </row>
    <row r="26" spans="2:20" x14ac:dyDescent="0.25">
      <c r="B26" s="92" t="s">
        <v>177</v>
      </c>
      <c r="C26" s="95"/>
      <c r="D26" s="95"/>
      <c r="E26" s="95"/>
      <c r="F26" s="95"/>
      <c r="G26" s="92"/>
      <c r="H26" s="92"/>
      <c r="I26" s="94">
        <v>1.02</v>
      </c>
      <c r="J26" s="94">
        <v>1.02</v>
      </c>
      <c r="K26" s="94">
        <v>1.02</v>
      </c>
      <c r="L26" s="94">
        <v>1.02</v>
      </c>
      <c r="M26" s="94">
        <v>1.02</v>
      </c>
      <c r="N26" s="94">
        <v>1.02</v>
      </c>
      <c r="O26" s="94">
        <v>1.02</v>
      </c>
      <c r="P26" s="94">
        <v>1.02</v>
      </c>
      <c r="Q26" s="94">
        <v>1.02</v>
      </c>
      <c r="R26" s="94">
        <v>1.02</v>
      </c>
      <c r="S26" s="94">
        <v>1.02</v>
      </c>
      <c r="T26" s="35"/>
    </row>
    <row r="27" spans="2:20" x14ac:dyDescent="0.25">
      <c r="B27" s="92" t="s">
        <v>174</v>
      </c>
      <c r="C27" s="95"/>
      <c r="D27" s="95"/>
      <c r="E27" s="95"/>
      <c r="F27" s="95"/>
      <c r="G27" s="92"/>
      <c r="H27" s="92"/>
      <c r="I27" s="94">
        <v>1.02</v>
      </c>
      <c r="J27" s="94">
        <v>1.02</v>
      </c>
      <c r="K27" s="94">
        <v>1.02</v>
      </c>
      <c r="L27" s="94">
        <v>1.02</v>
      </c>
      <c r="M27" s="94">
        <v>1.02</v>
      </c>
      <c r="N27" s="94">
        <v>1.02</v>
      </c>
      <c r="O27" s="94">
        <v>1.02</v>
      </c>
      <c r="P27" s="94">
        <v>1.02</v>
      </c>
      <c r="Q27" s="94">
        <v>1.02</v>
      </c>
      <c r="R27" s="94">
        <v>1.02</v>
      </c>
      <c r="S27" s="94">
        <v>1.02</v>
      </c>
      <c r="T27" s="35"/>
    </row>
    <row r="28" spans="2:20" x14ac:dyDescent="0.25">
      <c r="B28" s="92"/>
      <c r="C28" s="95"/>
      <c r="D28" s="95"/>
      <c r="E28" s="95"/>
      <c r="F28" s="95"/>
      <c r="G28" s="92"/>
      <c r="H28" s="92"/>
      <c r="I28" s="95"/>
      <c r="J28" s="95"/>
      <c r="K28" s="93"/>
      <c r="L28" s="93"/>
      <c r="M28" s="93"/>
      <c r="N28" s="93"/>
      <c r="O28" s="93"/>
      <c r="P28" s="93"/>
      <c r="Q28" s="93"/>
      <c r="R28" s="93"/>
      <c r="S28" s="93"/>
      <c r="T28" s="35"/>
    </row>
    <row r="29" spans="2:20" x14ac:dyDescent="0.25">
      <c r="B29" s="91" t="s">
        <v>72</v>
      </c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35"/>
    </row>
    <row r="30" spans="2:20" x14ac:dyDescent="0.25">
      <c r="B30" s="92" t="s">
        <v>175</v>
      </c>
      <c r="C30" s="95"/>
      <c r="D30" s="95"/>
      <c r="E30" s="95"/>
      <c r="F30" s="95"/>
      <c r="G30" s="92"/>
      <c r="H30" s="92"/>
      <c r="I30" s="94">
        <v>1</v>
      </c>
      <c r="J30" s="94">
        <v>1</v>
      </c>
      <c r="K30" s="94">
        <v>1</v>
      </c>
      <c r="L30" s="94">
        <v>1</v>
      </c>
      <c r="M30" s="94">
        <v>1</v>
      </c>
      <c r="N30" s="94">
        <v>1</v>
      </c>
      <c r="O30" s="94">
        <v>1</v>
      </c>
      <c r="P30" s="94">
        <v>1</v>
      </c>
      <c r="Q30" s="94">
        <v>1</v>
      </c>
      <c r="R30" s="94">
        <v>1</v>
      </c>
      <c r="S30" s="94">
        <v>1</v>
      </c>
      <c r="T30" s="35"/>
    </row>
    <row r="31" spans="2:20" x14ac:dyDescent="0.25">
      <c r="B31" s="92" t="s">
        <v>181</v>
      </c>
      <c r="C31" s="95"/>
      <c r="D31" s="79"/>
      <c r="E31" s="79"/>
      <c r="F31" s="79"/>
      <c r="G31" s="92"/>
      <c r="H31" s="92"/>
      <c r="I31" s="94">
        <v>1</v>
      </c>
      <c r="J31" s="94">
        <v>1</v>
      </c>
      <c r="K31" s="94">
        <v>1</v>
      </c>
      <c r="L31" s="94">
        <v>1</v>
      </c>
      <c r="M31" s="94">
        <v>1</v>
      </c>
      <c r="N31" s="94">
        <v>1</v>
      </c>
      <c r="O31" s="94">
        <v>1</v>
      </c>
      <c r="P31" s="94">
        <v>1</v>
      </c>
      <c r="Q31" s="94">
        <v>1</v>
      </c>
      <c r="R31" s="94">
        <v>1</v>
      </c>
      <c r="S31" s="94">
        <v>1</v>
      </c>
      <c r="T31" s="35"/>
    </row>
    <row r="32" spans="2:20" x14ac:dyDescent="0.25">
      <c r="B32" s="92" t="s">
        <v>176</v>
      </c>
      <c r="C32" s="95"/>
      <c r="D32" s="95"/>
      <c r="E32" s="95"/>
      <c r="F32" s="95"/>
      <c r="G32" s="92"/>
      <c r="H32" s="92"/>
      <c r="I32" s="94">
        <v>1</v>
      </c>
      <c r="J32" s="94">
        <v>1</v>
      </c>
      <c r="K32" s="94">
        <v>1</v>
      </c>
      <c r="L32" s="94">
        <v>1</v>
      </c>
      <c r="M32" s="94">
        <v>1</v>
      </c>
      <c r="N32" s="94">
        <v>1</v>
      </c>
      <c r="O32" s="94">
        <v>1</v>
      </c>
      <c r="P32" s="94">
        <v>1</v>
      </c>
      <c r="Q32" s="94">
        <v>1</v>
      </c>
      <c r="R32" s="94">
        <v>1</v>
      </c>
      <c r="S32" s="94">
        <v>1</v>
      </c>
      <c r="T32" s="35"/>
    </row>
    <row r="33" spans="2:20" x14ac:dyDescent="0.25">
      <c r="B33" s="92" t="s">
        <v>178</v>
      </c>
      <c r="C33" s="95"/>
      <c r="D33" s="95"/>
      <c r="E33" s="95"/>
      <c r="F33" s="95"/>
      <c r="G33" s="92"/>
      <c r="H33" s="92"/>
      <c r="I33" s="94">
        <v>1</v>
      </c>
      <c r="J33" s="94">
        <v>1</v>
      </c>
      <c r="K33" s="94">
        <v>1</v>
      </c>
      <c r="L33" s="94">
        <v>1</v>
      </c>
      <c r="M33" s="94">
        <v>1</v>
      </c>
      <c r="N33" s="94">
        <v>1</v>
      </c>
      <c r="O33" s="94">
        <v>1</v>
      </c>
      <c r="P33" s="94">
        <v>1</v>
      </c>
      <c r="Q33" s="94">
        <v>1</v>
      </c>
      <c r="R33" s="94">
        <v>1</v>
      </c>
      <c r="S33" s="94">
        <v>1</v>
      </c>
      <c r="T33" s="35"/>
    </row>
    <row r="34" spans="2:20" x14ac:dyDescent="0.25">
      <c r="B34" s="92" t="s">
        <v>177</v>
      </c>
      <c r="C34" s="95"/>
      <c r="D34" s="95"/>
      <c r="E34" s="95"/>
      <c r="F34" s="95"/>
      <c r="G34" s="92"/>
      <c r="H34" s="92"/>
      <c r="I34" s="94">
        <v>1</v>
      </c>
      <c r="J34" s="94">
        <v>1</v>
      </c>
      <c r="K34" s="94">
        <v>1</v>
      </c>
      <c r="L34" s="94">
        <v>1</v>
      </c>
      <c r="M34" s="94">
        <v>1</v>
      </c>
      <c r="N34" s="94">
        <v>1</v>
      </c>
      <c r="O34" s="94">
        <v>1</v>
      </c>
      <c r="P34" s="94">
        <v>1</v>
      </c>
      <c r="Q34" s="94">
        <v>1</v>
      </c>
      <c r="R34" s="94">
        <v>1</v>
      </c>
      <c r="S34" s="94">
        <v>1</v>
      </c>
      <c r="T34" s="35"/>
    </row>
    <row r="35" spans="2:20" x14ac:dyDescent="0.25">
      <c r="B35" s="92" t="s">
        <v>174</v>
      </c>
      <c r="C35" s="95"/>
      <c r="D35" s="95"/>
      <c r="E35" s="95"/>
      <c r="F35" s="95"/>
      <c r="G35" s="92"/>
      <c r="H35" s="92"/>
      <c r="I35" s="94">
        <v>1</v>
      </c>
      <c r="J35" s="94">
        <v>1</v>
      </c>
      <c r="K35" s="94">
        <v>1</v>
      </c>
      <c r="L35" s="94">
        <v>1</v>
      </c>
      <c r="M35" s="94">
        <v>1</v>
      </c>
      <c r="N35" s="94">
        <v>1</v>
      </c>
      <c r="O35" s="94">
        <v>1</v>
      </c>
      <c r="P35" s="94">
        <v>1</v>
      </c>
      <c r="Q35" s="94">
        <v>1</v>
      </c>
      <c r="R35" s="94">
        <v>1</v>
      </c>
      <c r="S35" s="94">
        <v>1</v>
      </c>
      <c r="T35" s="35"/>
    </row>
    <row r="36" spans="2:20" x14ac:dyDescent="0.25">
      <c r="B36" s="92"/>
      <c r="C36" s="95"/>
      <c r="D36" s="95"/>
      <c r="E36" s="95"/>
      <c r="F36" s="95"/>
      <c r="G36" s="92"/>
      <c r="H36" s="92"/>
      <c r="I36" s="95"/>
      <c r="J36" s="95"/>
      <c r="K36" s="93"/>
      <c r="L36" s="93"/>
      <c r="M36" s="93"/>
      <c r="N36" s="93"/>
      <c r="O36" s="93"/>
      <c r="P36" s="93"/>
      <c r="Q36" s="93"/>
      <c r="R36" s="93"/>
      <c r="S36" s="93"/>
      <c r="T36" s="35"/>
    </row>
    <row r="37" spans="2:20" x14ac:dyDescent="0.25">
      <c r="B37" s="91" t="s">
        <v>73</v>
      </c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35"/>
    </row>
    <row r="38" spans="2:20" x14ac:dyDescent="0.25">
      <c r="B38" s="92" t="s">
        <v>175</v>
      </c>
      <c r="C38" s="95"/>
      <c r="D38" s="95"/>
      <c r="E38" s="95"/>
      <c r="F38" s="95"/>
      <c r="G38" s="92"/>
      <c r="H38" s="92"/>
      <c r="I38" s="94">
        <v>0.98</v>
      </c>
      <c r="J38" s="94">
        <v>0.98</v>
      </c>
      <c r="K38" s="94">
        <v>0.98</v>
      </c>
      <c r="L38" s="94">
        <v>0.98</v>
      </c>
      <c r="M38" s="94">
        <v>0.98</v>
      </c>
      <c r="N38" s="94">
        <v>0.98</v>
      </c>
      <c r="O38" s="94">
        <v>0.98</v>
      </c>
      <c r="P38" s="94">
        <v>0.98</v>
      </c>
      <c r="Q38" s="94">
        <v>0.98</v>
      </c>
      <c r="R38" s="94">
        <v>0.98</v>
      </c>
      <c r="S38" s="94">
        <v>0.98</v>
      </c>
      <c r="T38" s="35"/>
    </row>
    <row r="39" spans="2:20" x14ac:dyDescent="0.25">
      <c r="B39" s="92" t="s">
        <v>181</v>
      </c>
      <c r="C39" s="95"/>
      <c r="D39" s="79"/>
      <c r="E39" s="79"/>
      <c r="F39" s="79"/>
      <c r="G39" s="92"/>
      <c r="H39" s="92"/>
      <c r="I39" s="94">
        <v>0.98</v>
      </c>
      <c r="J39" s="94">
        <v>0.98</v>
      </c>
      <c r="K39" s="94">
        <v>0.98</v>
      </c>
      <c r="L39" s="94">
        <v>0.98</v>
      </c>
      <c r="M39" s="94">
        <v>0.98</v>
      </c>
      <c r="N39" s="94">
        <v>0.98</v>
      </c>
      <c r="O39" s="94">
        <v>0.98</v>
      </c>
      <c r="P39" s="94">
        <v>0.98</v>
      </c>
      <c r="Q39" s="94">
        <v>0.98</v>
      </c>
      <c r="R39" s="94">
        <v>0.98</v>
      </c>
      <c r="S39" s="94">
        <v>0.98</v>
      </c>
      <c r="T39" s="35"/>
    </row>
    <row r="40" spans="2:20" x14ac:dyDescent="0.25">
      <c r="B40" s="92" t="s">
        <v>176</v>
      </c>
      <c r="C40" s="95"/>
      <c r="D40" s="95"/>
      <c r="E40" s="95"/>
      <c r="F40" s="95"/>
      <c r="G40" s="92"/>
      <c r="H40" s="92"/>
      <c r="I40" s="94">
        <v>0.98</v>
      </c>
      <c r="J40" s="94">
        <v>0.98</v>
      </c>
      <c r="K40" s="94">
        <v>0.98</v>
      </c>
      <c r="L40" s="94">
        <v>0.98</v>
      </c>
      <c r="M40" s="94">
        <v>0.98</v>
      </c>
      <c r="N40" s="94">
        <v>0.98</v>
      </c>
      <c r="O40" s="94">
        <v>0.98</v>
      </c>
      <c r="P40" s="94">
        <v>0.98</v>
      </c>
      <c r="Q40" s="94">
        <v>0.98</v>
      </c>
      <c r="R40" s="94">
        <v>0.98</v>
      </c>
      <c r="S40" s="94">
        <v>0.98</v>
      </c>
      <c r="T40" s="35"/>
    </row>
    <row r="41" spans="2:20" x14ac:dyDescent="0.25">
      <c r="B41" s="92" t="s">
        <v>178</v>
      </c>
      <c r="C41" s="95"/>
      <c r="D41" s="95"/>
      <c r="E41" s="95"/>
      <c r="F41" s="95"/>
      <c r="G41" s="92"/>
      <c r="H41" s="92"/>
      <c r="I41" s="94">
        <v>0.98</v>
      </c>
      <c r="J41" s="94">
        <v>0.98</v>
      </c>
      <c r="K41" s="94">
        <v>0.98</v>
      </c>
      <c r="L41" s="94">
        <v>0.98</v>
      </c>
      <c r="M41" s="94">
        <v>0.98</v>
      </c>
      <c r="N41" s="94">
        <v>0.98</v>
      </c>
      <c r="O41" s="94">
        <v>0.98</v>
      </c>
      <c r="P41" s="94">
        <v>0.98</v>
      </c>
      <c r="Q41" s="94">
        <v>0.98</v>
      </c>
      <c r="R41" s="94">
        <v>0.98</v>
      </c>
      <c r="S41" s="94">
        <v>0.98</v>
      </c>
      <c r="T41" s="35"/>
    </row>
    <row r="42" spans="2:20" x14ac:dyDescent="0.25">
      <c r="B42" s="92" t="s">
        <v>177</v>
      </c>
      <c r="C42" s="95"/>
      <c r="D42" s="95"/>
      <c r="E42" s="95"/>
      <c r="F42" s="95"/>
      <c r="G42" s="92"/>
      <c r="H42" s="92"/>
      <c r="I42" s="94">
        <v>0.98</v>
      </c>
      <c r="J42" s="94">
        <v>0.98</v>
      </c>
      <c r="K42" s="94">
        <v>0.98</v>
      </c>
      <c r="L42" s="94">
        <v>0.98</v>
      </c>
      <c r="M42" s="94">
        <v>0.98</v>
      </c>
      <c r="N42" s="94">
        <v>0.98</v>
      </c>
      <c r="O42" s="94">
        <v>0.98</v>
      </c>
      <c r="P42" s="94">
        <v>0.98</v>
      </c>
      <c r="Q42" s="94">
        <v>0.98</v>
      </c>
      <c r="R42" s="94">
        <v>0.98</v>
      </c>
      <c r="S42" s="94">
        <v>0.98</v>
      </c>
      <c r="T42" s="35"/>
    </row>
    <row r="43" spans="2:20" x14ac:dyDescent="0.25">
      <c r="B43" s="92" t="s">
        <v>174</v>
      </c>
      <c r="C43" s="95"/>
      <c r="D43" s="95"/>
      <c r="E43" s="95"/>
      <c r="F43" s="95"/>
      <c r="G43" s="92"/>
      <c r="H43" s="92"/>
      <c r="I43" s="94">
        <v>0.98</v>
      </c>
      <c r="J43" s="94">
        <v>0.98</v>
      </c>
      <c r="K43" s="94">
        <v>0.98</v>
      </c>
      <c r="L43" s="94">
        <v>0.98</v>
      </c>
      <c r="M43" s="94">
        <v>0.98</v>
      </c>
      <c r="N43" s="94">
        <v>0.98</v>
      </c>
      <c r="O43" s="94">
        <v>0.98</v>
      </c>
      <c r="P43" s="94">
        <v>0.98</v>
      </c>
      <c r="Q43" s="94">
        <v>0.98</v>
      </c>
      <c r="R43" s="94">
        <v>0.98</v>
      </c>
      <c r="S43" s="94">
        <v>0.98</v>
      </c>
      <c r="T43" s="35"/>
    </row>
    <row r="44" spans="2:20" x14ac:dyDescent="0.25">
      <c r="B44" s="92"/>
      <c r="C44" s="95"/>
      <c r="D44" s="95"/>
      <c r="E44" s="95"/>
      <c r="F44" s="95"/>
      <c r="G44" s="92"/>
      <c r="H44" s="92"/>
      <c r="I44" s="95"/>
      <c r="J44" s="95"/>
      <c r="K44" s="93"/>
      <c r="L44" s="93"/>
      <c r="M44" s="93"/>
      <c r="N44" s="93"/>
      <c r="O44" s="93"/>
      <c r="P44" s="93"/>
      <c r="Q44" s="93"/>
      <c r="R44" s="93"/>
      <c r="S44" s="93"/>
      <c r="T44" s="35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9868-859F-464E-ADB8-0E029C9E63C1}">
  <dimension ref="A1:H21"/>
  <sheetViews>
    <sheetView workbookViewId="0">
      <selection activeCell="I38" sqref="I38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6" width="9.109375" style="8"/>
    <col min="7" max="7" width="2" style="8" customWidth="1"/>
    <col min="8" max="16384" width="9.109375" style="8"/>
  </cols>
  <sheetData>
    <row r="1" spans="1:8" ht="15.6" x14ac:dyDescent="0.25">
      <c r="A1" s="1"/>
      <c r="B1" s="2" t="s">
        <v>206</v>
      </c>
    </row>
    <row r="2" spans="1:8" ht="15.6" x14ac:dyDescent="0.25">
      <c r="A2" s="1"/>
      <c r="B2" s="2"/>
    </row>
    <row r="3" spans="1:8" ht="13.2" x14ac:dyDescent="0.25">
      <c r="A3" s="1"/>
      <c r="B3" s="102" t="s">
        <v>200</v>
      </c>
    </row>
    <row r="5" spans="1:8" ht="24" x14ac:dyDescent="0.25">
      <c r="B5" s="36" t="s">
        <v>172</v>
      </c>
      <c r="C5" s="36" t="s">
        <v>198</v>
      </c>
      <c r="D5" s="62" t="s">
        <v>203</v>
      </c>
      <c r="E5" s="62" t="s">
        <v>204</v>
      </c>
      <c r="F5" s="62" t="s">
        <v>205</v>
      </c>
      <c r="G5" s="99"/>
      <c r="H5" s="62" t="s">
        <v>199</v>
      </c>
    </row>
    <row r="6" spans="1:8" x14ac:dyDescent="0.25">
      <c r="B6" s="8" t="s">
        <v>175</v>
      </c>
      <c r="C6" s="8" t="s">
        <v>207</v>
      </c>
      <c r="D6" s="17">
        <f>(133449-114869)/133449</f>
        <v>0.13922921865281868</v>
      </c>
      <c r="E6" s="17">
        <f>(135782-125025)/135782</f>
        <v>7.9222577366661259E-2</v>
      </c>
      <c r="F6" s="17">
        <f>(110934-93975)/110934</f>
        <v>0.15287468224349612</v>
      </c>
      <c r="G6" s="99"/>
      <c r="H6" s="104">
        <f t="shared" ref="H6:H11" si="0">AVERAGE(D6:F6)</f>
        <v>0.12377549275432535</v>
      </c>
    </row>
    <row r="7" spans="1:8" x14ac:dyDescent="0.25">
      <c r="B7" s="8" t="s">
        <v>181</v>
      </c>
      <c r="C7" s="8" t="s">
        <v>208</v>
      </c>
      <c r="D7" s="105">
        <v>0.184</v>
      </c>
      <c r="E7" s="105">
        <v>0.20799999999999999</v>
      </c>
      <c r="F7" s="105">
        <f>36335/196949</f>
        <v>0.18448938557697678</v>
      </c>
      <c r="G7" s="99"/>
      <c r="H7" s="104">
        <f t="shared" si="0"/>
        <v>0.19216312852565895</v>
      </c>
    </row>
    <row r="8" spans="1:8" x14ac:dyDescent="0.25">
      <c r="B8" s="8" t="s">
        <v>176</v>
      </c>
      <c r="C8" s="8" t="s">
        <v>208</v>
      </c>
      <c r="D8" s="105">
        <v>0.184</v>
      </c>
      <c r="E8" s="105">
        <v>0.20799999999999999</v>
      </c>
      <c r="F8" s="105">
        <f>36335/196949</f>
        <v>0.18448938557697678</v>
      </c>
      <c r="G8" s="99"/>
      <c r="H8" s="104">
        <f t="shared" si="0"/>
        <v>0.19216312852565895</v>
      </c>
    </row>
    <row r="9" spans="1:8" x14ac:dyDescent="0.25">
      <c r="B9" s="8" t="s">
        <v>178</v>
      </c>
      <c r="C9" s="8" t="s">
        <v>209</v>
      </c>
      <c r="D9" s="105">
        <f>(24339-15071)/24339</f>
        <v>0.38078803566292779</v>
      </c>
      <c r="E9" s="105">
        <f>6619/23491</f>
        <v>0.28176748541994806</v>
      </c>
      <c r="F9" s="105">
        <f>(3416890-1650860)/(3416890)</f>
        <v>0.51685304472780802</v>
      </c>
      <c r="G9" s="99"/>
      <c r="H9" s="104">
        <f t="shared" si="0"/>
        <v>0.39313618860356131</v>
      </c>
    </row>
    <row r="10" spans="1:8" x14ac:dyDescent="0.25">
      <c r="B10" s="8" t="s">
        <v>177</v>
      </c>
      <c r="C10" s="8" t="s">
        <v>207</v>
      </c>
      <c r="D10" s="17">
        <f>(133449-114869)/133449</f>
        <v>0.13922921865281868</v>
      </c>
      <c r="E10" s="17">
        <f>(135782-125025)/135782</f>
        <v>7.9222577366661259E-2</v>
      </c>
      <c r="F10" s="17">
        <f>(110934-93975)/110934</f>
        <v>0.15287468224349612</v>
      </c>
      <c r="G10" s="99"/>
      <c r="H10" s="104">
        <f t="shared" si="0"/>
        <v>0.12377549275432535</v>
      </c>
    </row>
    <row r="11" spans="1:8" x14ac:dyDescent="0.25">
      <c r="B11" s="8" t="s">
        <v>174</v>
      </c>
      <c r="C11" s="8" t="s">
        <v>210</v>
      </c>
      <c r="D11" s="17">
        <f>29475/119713</f>
        <v>0.24621386148538588</v>
      </c>
      <c r="E11" s="17">
        <f>2671/14342</f>
        <v>0.1862362292567285</v>
      </c>
      <c r="F11" s="17">
        <f>(18187.5-15593.7)/18187.5</f>
        <v>0.14261443298969068</v>
      </c>
      <c r="G11" s="99"/>
      <c r="H11" s="104">
        <f t="shared" si="0"/>
        <v>0.19168817457726836</v>
      </c>
    </row>
    <row r="13" spans="1:8" x14ac:dyDescent="0.25">
      <c r="B13" s="8" t="s">
        <v>201</v>
      </c>
    </row>
    <row r="14" spans="1:8" x14ac:dyDescent="0.25">
      <c r="F14" s="8" t="s">
        <v>202</v>
      </c>
    </row>
    <row r="15" spans="1:8" ht="12" x14ac:dyDescent="0.25">
      <c r="B15" s="36" t="s">
        <v>172</v>
      </c>
      <c r="C15" s="36" t="s">
        <v>199</v>
      </c>
    </row>
    <row r="16" spans="1:8" x14ac:dyDescent="0.25">
      <c r="B16" s="8" t="s">
        <v>175</v>
      </c>
      <c r="C16" s="8" t="s">
        <v>65</v>
      </c>
    </row>
    <row r="17" spans="2:3" x14ac:dyDescent="0.25">
      <c r="B17" s="8" t="s">
        <v>181</v>
      </c>
      <c r="C17" s="103">
        <f>AVERAGE('P&amp;L Input'!C29:F29)</f>
        <v>0.25321088044477918</v>
      </c>
    </row>
    <row r="18" spans="2:3" x14ac:dyDescent="0.25">
      <c r="B18" s="8" t="s">
        <v>176</v>
      </c>
      <c r="C18" s="8" t="s">
        <v>65</v>
      </c>
    </row>
    <row r="19" spans="2:3" x14ac:dyDescent="0.25">
      <c r="B19" s="8" t="s">
        <v>178</v>
      </c>
      <c r="C19" s="8" t="s">
        <v>65</v>
      </c>
    </row>
    <row r="20" spans="2:3" x14ac:dyDescent="0.25">
      <c r="B20" s="8" t="s">
        <v>177</v>
      </c>
      <c r="C20" s="8" t="s">
        <v>65</v>
      </c>
    </row>
    <row r="21" spans="2:3" x14ac:dyDescent="0.25">
      <c r="B21" s="8" t="s">
        <v>174</v>
      </c>
      <c r="C21" s="8" t="s">
        <v>65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D4F3-D3B3-4DDE-B126-1DBAF579A708}">
  <dimension ref="A1:S44"/>
  <sheetViews>
    <sheetView workbookViewId="0">
      <selection activeCell="L6" sqref="L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77</v>
      </c>
    </row>
    <row r="2" spans="1:19" ht="15.6" x14ac:dyDescent="0.25">
      <c r="A2" s="1"/>
      <c r="B2" s="2"/>
    </row>
    <row r="3" spans="1:19" ht="12" x14ac:dyDescent="0.25">
      <c r="C3" s="224" t="s">
        <v>212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</row>
    <row r="4" spans="1:19" ht="24" x14ac:dyDescent="0.25">
      <c r="B4" s="36" t="s">
        <v>172</v>
      </c>
      <c r="C4" s="6" t="s">
        <v>45</v>
      </c>
      <c r="D4" s="6" t="s">
        <v>46</v>
      </c>
      <c r="E4" s="6" t="s">
        <v>47</v>
      </c>
      <c r="F4" s="6" t="s">
        <v>165</v>
      </c>
      <c r="G4" s="6" t="s">
        <v>173</v>
      </c>
      <c r="H4" s="98" t="s">
        <v>184</v>
      </c>
      <c r="I4" s="98" t="s">
        <v>183</v>
      </c>
      <c r="J4" s="98" t="s">
        <v>185</v>
      </c>
      <c r="K4" s="98" t="s">
        <v>186</v>
      </c>
      <c r="L4" s="98" t="s">
        <v>187</v>
      </c>
      <c r="M4" s="98" t="s">
        <v>188</v>
      </c>
      <c r="N4" s="98" t="s">
        <v>189</v>
      </c>
      <c r="O4" s="98" t="s">
        <v>269</v>
      </c>
      <c r="P4" s="98" t="s">
        <v>270</v>
      </c>
      <c r="Q4" s="98" t="s">
        <v>271</v>
      </c>
      <c r="R4" s="98" t="s">
        <v>272</v>
      </c>
      <c r="S4" s="98" t="s">
        <v>273</v>
      </c>
    </row>
    <row r="5" spans="1:19" x14ac:dyDescent="0.25">
      <c r="B5" s="8" t="s">
        <v>175</v>
      </c>
      <c r="C5" s="73" t="s">
        <v>65</v>
      </c>
      <c r="D5" s="73" t="s">
        <v>65</v>
      </c>
      <c r="E5" s="73" t="s">
        <v>65</v>
      </c>
      <c r="F5" s="73" t="s">
        <v>65</v>
      </c>
      <c r="G5" s="73" t="s">
        <v>65</v>
      </c>
      <c r="H5" s="90">
        <f>H14*'Revenue automotive'!H5</f>
        <v>540.65135235089315</v>
      </c>
      <c r="I5" s="74" t="s">
        <v>65</v>
      </c>
      <c r="J5" s="90">
        <f>J14*'Revenue automotive'!J5</f>
        <v>1351.6283808772328</v>
      </c>
      <c r="K5" s="90">
        <f>K14*'Revenue automotive'!K5</f>
        <v>2162.6054094035726</v>
      </c>
      <c r="L5" s="90">
        <f>L14*'Revenue automotive'!L5</f>
        <v>2378.8659503439303</v>
      </c>
      <c r="M5" s="90">
        <f>M14*'Revenue automotive'!M5</f>
        <v>2616.7525453783232</v>
      </c>
      <c r="N5" s="90">
        <f>N14*'Revenue automotive'!N5</f>
        <v>2747.5901726472393</v>
      </c>
      <c r="O5" s="90">
        <f>O14*'Revenue automotive'!O5</f>
        <v>2884.9696812796019</v>
      </c>
      <c r="P5" s="90">
        <f>P14*'Revenue automotive'!P5</f>
        <v>2942.6690749051932</v>
      </c>
      <c r="Q5" s="90">
        <f>Q14*'Revenue automotive'!Q5</f>
        <v>3001.5224564032974</v>
      </c>
      <c r="R5" s="90">
        <f>R14*'Revenue automotive'!R5</f>
        <v>3061.5529055313636</v>
      </c>
      <c r="S5" s="90">
        <f>S14*'Revenue automotive'!S5</f>
        <v>3122.7839636419908</v>
      </c>
    </row>
    <row r="6" spans="1:19" x14ac:dyDescent="0.25">
      <c r="B6" s="8" t="s">
        <v>181</v>
      </c>
      <c r="C6" s="73" t="s">
        <v>65</v>
      </c>
      <c r="D6" s="73" t="s">
        <v>65</v>
      </c>
      <c r="E6" s="73" t="s">
        <v>65</v>
      </c>
      <c r="F6" s="73" t="s">
        <v>65</v>
      </c>
      <c r="G6" s="73" t="s">
        <v>65</v>
      </c>
      <c r="H6" s="90">
        <f>H15*'Revenue automotive'!H6</f>
        <v>939.91790240112937</v>
      </c>
      <c r="I6" s="74" t="s">
        <v>65</v>
      </c>
      <c r="J6" s="90">
        <f>J15*'Revenue automotive'!J6</f>
        <v>1715.0559220915061</v>
      </c>
      <c r="K6" s="90">
        <f>K15*'Revenue automotive'!K6</f>
        <v>1749.3570405333362</v>
      </c>
      <c r="L6" s="90">
        <f>L15*'Revenue automotive'!L6</f>
        <v>1784.3441813440029</v>
      </c>
      <c r="M6" s="90">
        <f>M15*'Revenue automotive'!M6</f>
        <v>1820.0310649708831</v>
      </c>
      <c r="N6" s="90">
        <f>N15*'Revenue automotive'!N6</f>
        <v>1856.4316862703008</v>
      </c>
      <c r="O6" s="90">
        <f>O15*'Revenue automotive'!O6</f>
        <v>1893.560319995707</v>
      </c>
      <c r="P6" s="90">
        <f>P15*'Revenue automotive'!P6</f>
        <v>1931.4315263956209</v>
      </c>
      <c r="Q6" s="90">
        <f>Q15*'Revenue automotive'!Q6</f>
        <v>1970.0601569235334</v>
      </c>
      <c r="R6" s="90">
        <f>R15*'Revenue automotive'!R6</f>
        <v>2009.4613600620044</v>
      </c>
      <c r="S6" s="90">
        <f>S15*'Revenue automotive'!S6</f>
        <v>2049.6505872632442</v>
      </c>
    </row>
    <row r="7" spans="1:19" x14ac:dyDescent="0.25">
      <c r="B7" s="8" t="s">
        <v>176</v>
      </c>
      <c r="C7" s="73">
        <v>0</v>
      </c>
      <c r="D7" s="73">
        <v>0</v>
      </c>
      <c r="E7" s="73">
        <v>0</v>
      </c>
      <c r="F7" s="73">
        <v>0</v>
      </c>
      <c r="G7" s="89">
        <f>G16*'Revenue automotive'!G7</f>
        <v>0</v>
      </c>
      <c r="H7" s="90">
        <f>H16*'Revenue automotive'!H7</f>
        <v>0</v>
      </c>
      <c r="I7" s="90">
        <f t="shared" ref="I7:I10" si="0">G7+H7</f>
        <v>0</v>
      </c>
      <c r="J7" s="90">
        <f>J16*'Revenue automotive'!J7</f>
        <v>16.948787935963121</v>
      </c>
      <c r="K7" s="90">
        <f>K16*'Revenue automotive'!K7</f>
        <v>1255.0173924010785</v>
      </c>
      <c r="L7" s="90">
        <f>L16*'Revenue automotive'!L7</f>
        <v>2498.1206708335662</v>
      </c>
      <c r="M7" s="90">
        <f>M16*'Revenue automotive'!M7</f>
        <v>3996.993073333706</v>
      </c>
      <c r="N7" s="90">
        <f>N16*'Revenue automotive'!N7</f>
        <v>4396.6923806670775</v>
      </c>
      <c r="O7" s="90">
        <f>O16*'Revenue automotive'!O7</f>
        <v>4836.3616187337857</v>
      </c>
      <c r="P7" s="90">
        <f>P16*'Revenue automotive'!P7</f>
        <v>5078.1796996704752</v>
      </c>
      <c r="Q7" s="90">
        <f>Q16*'Revenue automotive'!Q7</f>
        <v>5332.0886846539988</v>
      </c>
      <c r="R7" s="90">
        <f>R16*'Revenue automotive'!R7</f>
        <v>5438.7304583470786</v>
      </c>
      <c r="S7" s="90">
        <f>S16*'Revenue automotive'!S7</f>
        <v>5547.5050675140201</v>
      </c>
    </row>
    <row r="8" spans="1:19" x14ac:dyDescent="0.25">
      <c r="B8" s="8" t="s">
        <v>178</v>
      </c>
      <c r="C8" s="73">
        <v>0</v>
      </c>
      <c r="D8" s="73">
        <v>0</v>
      </c>
      <c r="E8" s="73">
        <v>0</v>
      </c>
      <c r="F8" s="73">
        <v>0</v>
      </c>
      <c r="G8" s="89">
        <f>G17*'Revenue automotive'!G8</f>
        <v>0</v>
      </c>
      <c r="H8" s="90">
        <f>H17*'Revenue automotive'!H8</f>
        <v>0</v>
      </c>
      <c r="I8" s="90">
        <f t="shared" si="0"/>
        <v>0</v>
      </c>
      <c r="J8" s="90">
        <f>J17*'Revenue automotive'!J8</f>
        <v>0</v>
      </c>
      <c r="K8" s="90">
        <f>K17*'Revenue automotive'!K8</f>
        <v>45.210661689409548</v>
      </c>
      <c r="L8" s="90">
        <f>L17*'Revenue automotive'!L8</f>
        <v>90.421323378819096</v>
      </c>
      <c r="M8" s="90">
        <f>M17*'Revenue automotive'!M8</f>
        <v>135.63198506822866</v>
      </c>
      <c r="N8" s="90">
        <f>N17*'Revenue automotive'!N8</f>
        <v>149.19518357505154</v>
      </c>
      <c r="O8" s="90">
        <f>O17*'Revenue automotive'!O8</f>
        <v>164.1147019325567</v>
      </c>
      <c r="P8" s="90">
        <f>P17*'Revenue automotive'!P8</f>
        <v>172.32043702918455</v>
      </c>
      <c r="Q8" s="90">
        <f>Q17*'Revenue automotive'!Q8</f>
        <v>180.93645888064378</v>
      </c>
      <c r="R8" s="90">
        <f>R17*'Revenue automotive'!R8</f>
        <v>184.55518805825668</v>
      </c>
      <c r="S8" s="90">
        <f>S17*'Revenue automotive'!S8</f>
        <v>188.2462918194218</v>
      </c>
    </row>
    <row r="9" spans="1:19" x14ac:dyDescent="0.25">
      <c r="B9" s="8" t="s">
        <v>177</v>
      </c>
      <c r="C9" s="73">
        <v>0</v>
      </c>
      <c r="D9" s="73">
        <v>0</v>
      </c>
      <c r="E9" s="73">
        <v>0</v>
      </c>
      <c r="F9" s="73">
        <v>0</v>
      </c>
      <c r="G9" s="89">
        <f>G18*'Revenue automotive'!G9</f>
        <v>0</v>
      </c>
      <c r="H9" s="90">
        <f>H18*'Revenue automotive'!H9</f>
        <v>0</v>
      </c>
      <c r="I9" s="90">
        <f t="shared" si="0"/>
        <v>0</v>
      </c>
      <c r="J9" s="90">
        <f>J18*'Revenue automotive'!J9</f>
        <v>1.9494640108806243</v>
      </c>
      <c r="K9" s="90">
        <f>K18*'Revenue automotive'!K9</f>
        <v>144.35316842473193</v>
      </c>
      <c r="L9" s="90">
        <f>L18*'Revenue automotive'!L9</f>
        <v>287.33596532254103</v>
      </c>
      <c r="M9" s="90">
        <f>M18*'Revenue automotive'!M9</f>
        <v>459.73754451606573</v>
      </c>
      <c r="N9" s="90">
        <f>N18*'Revenue automotive'!N9</f>
        <v>505.71129896767229</v>
      </c>
      <c r="O9" s="90">
        <f>O18*'Revenue automotive'!O9</f>
        <v>556.28242886443968</v>
      </c>
      <c r="P9" s="90">
        <f>P18*'Revenue automotive'!P9</f>
        <v>584.09655030766157</v>
      </c>
      <c r="Q9" s="90">
        <f>Q18*'Revenue automotive'!Q9</f>
        <v>613.30137782304473</v>
      </c>
      <c r="R9" s="90">
        <f>R18*'Revenue automotive'!R9</f>
        <v>625.56740537950566</v>
      </c>
      <c r="S9" s="90">
        <f>S18*'Revenue automotive'!S9</f>
        <v>638.0787534870957</v>
      </c>
    </row>
    <row r="10" spans="1:19" x14ac:dyDescent="0.25">
      <c r="B10" s="8" t="s">
        <v>174</v>
      </c>
      <c r="C10" s="73">
        <v>0</v>
      </c>
      <c r="D10" s="73">
        <v>0</v>
      </c>
      <c r="E10" s="73">
        <v>0</v>
      </c>
      <c r="F10" s="73">
        <v>0</v>
      </c>
      <c r="G10" s="89">
        <f>G19*'Revenue automotive'!G10</f>
        <v>0</v>
      </c>
      <c r="H10" s="90">
        <f>H19*'Revenue automotive'!H10</f>
        <v>0</v>
      </c>
      <c r="I10" s="90">
        <f t="shared" si="0"/>
        <v>0</v>
      </c>
      <c r="J10" s="90">
        <f>J19*'Revenue automotive'!J10</f>
        <v>9.5844087288634174</v>
      </c>
      <c r="K10" s="90">
        <f>K19*'Revenue automotive'!K10</f>
        <v>709.7026463515532</v>
      </c>
      <c r="L10" s="90">
        <f>L19*'Revenue automotive'!L10</f>
        <v>1412.6679532338374</v>
      </c>
      <c r="M10" s="90">
        <f>M19*'Revenue automotive'!M10</f>
        <v>2260.2687251741399</v>
      </c>
      <c r="N10" s="90">
        <f>N19*'Revenue automotive'!N10</f>
        <v>2486.2955976915541</v>
      </c>
      <c r="O10" s="90">
        <f>O19*'Revenue automotive'!O10</f>
        <v>2734.9251574607097</v>
      </c>
      <c r="P10" s="90">
        <f>P19*'Revenue automotive'!P10</f>
        <v>2871.6714153337452</v>
      </c>
      <c r="Q10" s="90">
        <f>Q19*'Revenue automotive'!Q10</f>
        <v>3015.2549861004331</v>
      </c>
      <c r="R10" s="90">
        <f>R19*'Revenue automotive'!R10</f>
        <v>3075.5600858224416</v>
      </c>
      <c r="S10" s="90">
        <f>S19*'Revenue automotive'!S10</f>
        <v>3137.0712875388904</v>
      </c>
    </row>
    <row r="11" spans="1:19" ht="12.6" thickBot="1" x14ac:dyDescent="0.3">
      <c r="B11" s="116" t="s">
        <v>69</v>
      </c>
      <c r="C11" s="127">
        <f>('P&amp;L Input'!C4+'P&amp;L Input'!C8)/1000</f>
        <v>861.26300000000003</v>
      </c>
      <c r="D11" s="127">
        <f>('P&amp;L Input'!D4+'P&amp;L Input'!D8)/1000</f>
        <v>917.67100000000005</v>
      </c>
      <c r="E11" s="127">
        <f>('P&amp;L Input'!E4+'P&amp;L Input'!E8)/1000</f>
        <v>1600.6849999999999</v>
      </c>
      <c r="F11" s="127">
        <f>('P&amp;L Input'!F4+'P&amp;L Input'!F8)/1000</f>
        <v>2208.596</v>
      </c>
      <c r="G11" s="127">
        <f>('P&amp;L Input'!G4+'P&amp;L Input'!G8)/1000</f>
        <v>1230.451</v>
      </c>
      <c r="H11" s="127">
        <f t="shared" ref="H11:N11" si="1">SUM(H5:H10)</f>
        <v>1480.5692547520225</v>
      </c>
      <c r="I11" s="127">
        <f>G11+H11</f>
        <v>2711.0202547520225</v>
      </c>
      <c r="J11" s="127">
        <f t="shared" si="1"/>
        <v>3095.1669636444458</v>
      </c>
      <c r="K11" s="127">
        <f t="shared" si="1"/>
        <v>6066.2463188036818</v>
      </c>
      <c r="L11" s="127">
        <f t="shared" si="1"/>
        <v>8451.7560444566952</v>
      </c>
      <c r="M11" s="127">
        <f t="shared" si="1"/>
        <v>11289.414938441347</v>
      </c>
      <c r="N11" s="127">
        <f t="shared" si="1"/>
        <v>12141.916319818894</v>
      </c>
      <c r="O11" s="127">
        <f t="shared" ref="O11:S11" si="2">SUM(O5:O10)</f>
        <v>13070.213908266798</v>
      </c>
      <c r="P11" s="127">
        <f t="shared" si="2"/>
        <v>13580.36870364188</v>
      </c>
      <c r="Q11" s="127">
        <f t="shared" si="2"/>
        <v>14113.164120784952</v>
      </c>
      <c r="R11" s="127">
        <f t="shared" si="2"/>
        <v>14395.427403200651</v>
      </c>
      <c r="S11" s="127">
        <f t="shared" si="2"/>
        <v>14683.335951264664</v>
      </c>
    </row>
    <row r="12" spans="1:19" ht="3" customHeight="1" x14ac:dyDescent="0.25"/>
    <row r="13" spans="1:19" x14ac:dyDescent="0.25">
      <c r="B13" s="91" t="s">
        <v>75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</row>
    <row r="14" spans="1:19" x14ac:dyDescent="0.25">
      <c r="B14" s="92" t="s">
        <v>175</v>
      </c>
      <c r="C14" s="95"/>
      <c r="D14" s="95"/>
      <c r="E14" s="95"/>
      <c r="F14" s="95"/>
      <c r="G14" s="94">
        <f>CHOOSE(Drivers!$C$3,'GP automotive'!G22,'GP automotive'!G30,'GP automotive'!G38)</f>
        <v>0.12377549275432535</v>
      </c>
      <c r="H14" s="94">
        <f>CHOOSE(Drivers!$C$3,'GP automotive'!H22,'GP automotive'!H30,'GP automotive'!H38)</f>
        <v>0.12377549275432535</v>
      </c>
      <c r="I14" s="94">
        <f>CHOOSE(Drivers!$C$3,'GP automotive'!I22,'GP automotive'!I30,'GP automotive'!I38)</f>
        <v>0.12377549275432535</v>
      </c>
      <c r="J14" s="94">
        <f>CHOOSE(Drivers!$C$3,'GP automotive'!J22,'GP automotive'!J30,'GP automotive'!J38)</f>
        <v>0.12377549275432535</v>
      </c>
      <c r="K14" s="94">
        <f>CHOOSE(Drivers!$C$3,'GP automotive'!K22,'GP automotive'!K30,'GP automotive'!K38)</f>
        <v>0.12377549275432535</v>
      </c>
      <c r="L14" s="94">
        <f>CHOOSE(Drivers!$C$3,'GP automotive'!L22,'GP automotive'!L30,'GP automotive'!L38)</f>
        <v>0.12377549275432535</v>
      </c>
      <c r="M14" s="94">
        <f>CHOOSE(Drivers!$C$3,'GP automotive'!M22,'GP automotive'!M30,'GP automotive'!M38)</f>
        <v>0.12377549275432535</v>
      </c>
      <c r="N14" s="94">
        <f>CHOOSE(Drivers!$C$3,'GP automotive'!N22,'GP automotive'!N30,'GP automotive'!N38)</f>
        <v>0.12377549275432535</v>
      </c>
      <c r="O14" s="94">
        <f>CHOOSE(Drivers!$C$3,'GP automotive'!O22,'GP automotive'!O30,'GP automotive'!O38)</f>
        <v>0.12377549275432535</v>
      </c>
      <c r="P14" s="94">
        <f>CHOOSE(Drivers!$C$3,'GP automotive'!P22,'GP automotive'!P30,'GP automotive'!P38)</f>
        <v>0.12377549275432535</v>
      </c>
      <c r="Q14" s="94">
        <f>CHOOSE(Drivers!$C$3,'GP automotive'!Q22,'GP automotive'!Q30,'GP automotive'!Q38)</f>
        <v>0.12377549275432535</v>
      </c>
      <c r="R14" s="94">
        <f>CHOOSE(Drivers!$C$3,'GP automotive'!R22,'GP automotive'!R30,'GP automotive'!R38)</f>
        <v>0.12377549275432535</v>
      </c>
      <c r="S14" s="94">
        <f>CHOOSE(Drivers!$C$3,'GP automotive'!S22,'GP automotive'!S30,'GP automotive'!S38)</f>
        <v>0.12377549275432535</v>
      </c>
    </row>
    <row r="15" spans="1:19" x14ac:dyDescent="0.25">
      <c r="B15" s="92" t="s">
        <v>181</v>
      </c>
      <c r="C15" s="95"/>
      <c r="D15" s="79"/>
      <c r="E15" s="79"/>
      <c r="F15" s="79"/>
      <c r="G15" s="94">
        <f>CHOOSE(Drivers!$C$3,'GP automotive'!G23,'GP automotive'!G31,'GP automotive'!G39)</f>
        <v>0.19216312852565895</v>
      </c>
      <c r="H15" s="94">
        <f>CHOOSE(Drivers!$C$3,'GP automotive'!H23,'GP automotive'!H31,'GP automotive'!H39)</f>
        <v>0.19216312852565895</v>
      </c>
      <c r="I15" s="94">
        <f>CHOOSE(Drivers!$C$3,'GP automotive'!I23,'GP automotive'!I31,'GP automotive'!I39)</f>
        <v>0.19216312852565895</v>
      </c>
      <c r="J15" s="94">
        <f>CHOOSE(Drivers!$C$3,'GP automotive'!J23,'GP automotive'!J31,'GP automotive'!J39)</f>
        <v>0.19216312852565895</v>
      </c>
      <c r="K15" s="94">
        <f>CHOOSE(Drivers!$C$3,'GP automotive'!K23,'GP automotive'!K31,'GP automotive'!K39)</f>
        <v>0.19216312852565895</v>
      </c>
      <c r="L15" s="94">
        <f>CHOOSE(Drivers!$C$3,'GP automotive'!L23,'GP automotive'!L31,'GP automotive'!L39)</f>
        <v>0.19216312852565895</v>
      </c>
      <c r="M15" s="94">
        <f>CHOOSE(Drivers!$C$3,'GP automotive'!M23,'GP automotive'!M31,'GP automotive'!M39)</f>
        <v>0.19216312852565895</v>
      </c>
      <c r="N15" s="94">
        <f>CHOOSE(Drivers!$C$3,'GP automotive'!N23,'GP automotive'!N31,'GP automotive'!N39)</f>
        <v>0.19216312852565895</v>
      </c>
      <c r="O15" s="94">
        <f>CHOOSE(Drivers!$C$3,'GP automotive'!O23,'GP automotive'!O31,'GP automotive'!O39)</f>
        <v>0.19216312852565895</v>
      </c>
      <c r="P15" s="94">
        <f>CHOOSE(Drivers!$C$3,'GP automotive'!P23,'GP automotive'!P31,'GP automotive'!P39)</f>
        <v>0.19216312852565895</v>
      </c>
      <c r="Q15" s="94">
        <f>CHOOSE(Drivers!$C$3,'GP automotive'!Q23,'GP automotive'!Q31,'GP automotive'!Q39)</f>
        <v>0.19216312852565895</v>
      </c>
      <c r="R15" s="94">
        <f>CHOOSE(Drivers!$C$3,'GP automotive'!R23,'GP automotive'!R31,'GP automotive'!R39)</f>
        <v>0.19216312852565895</v>
      </c>
      <c r="S15" s="94">
        <f>CHOOSE(Drivers!$C$3,'GP automotive'!S23,'GP automotive'!S31,'GP automotive'!S39)</f>
        <v>0.19216312852565895</v>
      </c>
    </row>
    <row r="16" spans="1:19" x14ac:dyDescent="0.25">
      <c r="B16" s="92" t="s">
        <v>176</v>
      </c>
      <c r="C16" s="95"/>
      <c r="D16" s="95"/>
      <c r="E16" s="95"/>
      <c r="F16" s="95"/>
      <c r="G16" s="94">
        <f>CHOOSE(Drivers!$C$3,'GP automotive'!G24,'GP automotive'!G32,'GP automotive'!G40)</f>
        <v>0.19216312852565895</v>
      </c>
      <c r="H16" s="94">
        <f>CHOOSE(Drivers!$C$3,'GP automotive'!H24,'GP automotive'!H32,'GP automotive'!H40)</f>
        <v>0.19216312852565895</v>
      </c>
      <c r="I16" s="94">
        <f>CHOOSE(Drivers!$C$3,'GP automotive'!I24,'GP automotive'!I32,'GP automotive'!I40)</f>
        <v>0.19216312852565895</v>
      </c>
      <c r="J16" s="94">
        <f>CHOOSE(Drivers!$C$3,'GP automotive'!J24,'GP automotive'!J32,'GP automotive'!J40)</f>
        <v>0.19216312852565895</v>
      </c>
      <c r="K16" s="94">
        <f>CHOOSE(Drivers!$C$3,'GP automotive'!K24,'GP automotive'!K32,'GP automotive'!K40)</f>
        <v>0.19216312852565895</v>
      </c>
      <c r="L16" s="94">
        <f>CHOOSE(Drivers!$C$3,'GP automotive'!L24,'GP automotive'!L32,'GP automotive'!L40)</f>
        <v>0.19216312852565895</v>
      </c>
      <c r="M16" s="94">
        <f>CHOOSE(Drivers!$C$3,'GP automotive'!M24,'GP automotive'!M32,'GP automotive'!M40)</f>
        <v>0.19216312852565895</v>
      </c>
      <c r="N16" s="94">
        <f>CHOOSE(Drivers!$C$3,'GP automotive'!N24,'GP automotive'!N32,'GP automotive'!N40)</f>
        <v>0.19216312852565895</v>
      </c>
      <c r="O16" s="94">
        <f>CHOOSE(Drivers!$C$3,'GP automotive'!O24,'GP automotive'!O32,'GP automotive'!O40)</f>
        <v>0.19216312852565895</v>
      </c>
      <c r="P16" s="94">
        <f>CHOOSE(Drivers!$C$3,'GP automotive'!P24,'GP automotive'!P32,'GP automotive'!P40)</f>
        <v>0.19216312852565895</v>
      </c>
      <c r="Q16" s="94">
        <f>CHOOSE(Drivers!$C$3,'GP automotive'!Q24,'GP automotive'!Q32,'GP automotive'!Q40)</f>
        <v>0.19216312852565895</v>
      </c>
      <c r="R16" s="94">
        <f>CHOOSE(Drivers!$C$3,'GP automotive'!R24,'GP automotive'!R32,'GP automotive'!R40)</f>
        <v>0.19216312852565895</v>
      </c>
      <c r="S16" s="94">
        <f>CHOOSE(Drivers!$C$3,'GP automotive'!S24,'GP automotive'!S32,'GP automotive'!S40)</f>
        <v>0.19216312852565895</v>
      </c>
    </row>
    <row r="17" spans="2:19" x14ac:dyDescent="0.25">
      <c r="B17" s="92" t="s">
        <v>178</v>
      </c>
      <c r="C17" s="95"/>
      <c r="D17" s="95"/>
      <c r="E17" s="95"/>
      <c r="F17" s="95"/>
      <c r="G17" s="94">
        <f>CHOOSE(Drivers!$C$3,'GP automotive'!G25,'GP automotive'!G33,'GP automotive'!G41)</f>
        <v>0.39313618860356131</v>
      </c>
      <c r="H17" s="94">
        <f>CHOOSE(Drivers!$C$3,'GP automotive'!H25,'GP automotive'!H33,'GP automotive'!H41)</f>
        <v>0.39313618860356131</v>
      </c>
      <c r="I17" s="94">
        <f>CHOOSE(Drivers!$C$3,'GP automotive'!I25,'GP automotive'!I33,'GP automotive'!I41)</f>
        <v>0.39313618860356131</v>
      </c>
      <c r="J17" s="94">
        <f>CHOOSE(Drivers!$C$3,'GP automotive'!J25,'GP automotive'!J33,'GP automotive'!J41)</f>
        <v>0.39313618860356131</v>
      </c>
      <c r="K17" s="94">
        <f>CHOOSE(Drivers!$C$3,'GP automotive'!K25,'GP automotive'!K33,'GP automotive'!K41)</f>
        <v>0.39313618860356131</v>
      </c>
      <c r="L17" s="94">
        <f>CHOOSE(Drivers!$C$3,'GP automotive'!L25,'GP automotive'!L33,'GP automotive'!L41)</f>
        <v>0.39313618860356131</v>
      </c>
      <c r="M17" s="94">
        <f>CHOOSE(Drivers!$C$3,'GP automotive'!M25,'GP automotive'!M33,'GP automotive'!M41)</f>
        <v>0.39313618860356131</v>
      </c>
      <c r="N17" s="94">
        <f>CHOOSE(Drivers!$C$3,'GP automotive'!N25,'GP automotive'!N33,'GP automotive'!N41)</f>
        <v>0.39313618860356131</v>
      </c>
      <c r="O17" s="94">
        <f>CHOOSE(Drivers!$C$3,'GP automotive'!O25,'GP automotive'!O33,'GP automotive'!O41)</f>
        <v>0.39313618860356131</v>
      </c>
      <c r="P17" s="94">
        <f>CHOOSE(Drivers!$C$3,'GP automotive'!P25,'GP automotive'!P33,'GP automotive'!P41)</f>
        <v>0.39313618860356131</v>
      </c>
      <c r="Q17" s="94">
        <f>CHOOSE(Drivers!$C$3,'GP automotive'!Q25,'GP automotive'!Q33,'GP automotive'!Q41)</f>
        <v>0.39313618860356131</v>
      </c>
      <c r="R17" s="94">
        <f>CHOOSE(Drivers!$C$3,'GP automotive'!R25,'GP automotive'!R33,'GP automotive'!R41)</f>
        <v>0.39313618860356131</v>
      </c>
      <c r="S17" s="94">
        <f>CHOOSE(Drivers!$C$3,'GP automotive'!S25,'GP automotive'!S33,'GP automotive'!S41)</f>
        <v>0.39313618860356131</v>
      </c>
    </row>
    <row r="18" spans="2:19" x14ac:dyDescent="0.25">
      <c r="B18" s="92" t="s">
        <v>177</v>
      </c>
      <c r="C18" s="95"/>
      <c r="D18" s="95"/>
      <c r="E18" s="95"/>
      <c r="F18" s="95"/>
      <c r="G18" s="94">
        <f>CHOOSE(Drivers!$C$3,'GP automotive'!G26,'GP automotive'!G34,'GP automotive'!G42)</f>
        <v>0.12377549275432535</v>
      </c>
      <c r="H18" s="94">
        <f>CHOOSE(Drivers!$C$3,'GP automotive'!H26,'GP automotive'!H34,'GP automotive'!H42)</f>
        <v>0.12377549275432535</v>
      </c>
      <c r="I18" s="94">
        <f>CHOOSE(Drivers!$C$3,'GP automotive'!I26,'GP automotive'!I34,'GP automotive'!I42)</f>
        <v>0.12377549275432535</v>
      </c>
      <c r="J18" s="94">
        <f>CHOOSE(Drivers!$C$3,'GP automotive'!J26,'GP automotive'!J34,'GP automotive'!J42)</f>
        <v>0.12377549275432535</v>
      </c>
      <c r="K18" s="94">
        <f>CHOOSE(Drivers!$C$3,'GP automotive'!K26,'GP automotive'!K34,'GP automotive'!K42)</f>
        <v>0.12377549275432535</v>
      </c>
      <c r="L18" s="94">
        <f>CHOOSE(Drivers!$C$3,'GP automotive'!L26,'GP automotive'!L34,'GP automotive'!L42)</f>
        <v>0.12377549275432535</v>
      </c>
      <c r="M18" s="94">
        <f>CHOOSE(Drivers!$C$3,'GP automotive'!M26,'GP automotive'!M34,'GP automotive'!M42)</f>
        <v>0.12377549275432535</v>
      </c>
      <c r="N18" s="94">
        <f>CHOOSE(Drivers!$C$3,'GP automotive'!N26,'GP automotive'!N34,'GP automotive'!N42)</f>
        <v>0.12377549275432535</v>
      </c>
      <c r="O18" s="94">
        <f>CHOOSE(Drivers!$C$3,'GP automotive'!O26,'GP automotive'!O34,'GP automotive'!O42)</f>
        <v>0.12377549275432535</v>
      </c>
      <c r="P18" s="94">
        <f>CHOOSE(Drivers!$C$3,'GP automotive'!P26,'GP automotive'!P34,'GP automotive'!P42)</f>
        <v>0.12377549275432535</v>
      </c>
      <c r="Q18" s="94">
        <f>CHOOSE(Drivers!$C$3,'GP automotive'!Q26,'GP automotive'!Q34,'GP automotive'!Q42)</f>
        <v>0.12377549275432535</v>
      </c>
      <c r="R18" s="94">
        <f>CHOOSE(Drivers!$C$3,'GP automotive'!R26,'GP automotive'!R34,'GP automotive'!R42)</f>
        <v>0.12377549275432535</v>
      </c>
      <c r="S18" s="94">
        <f>CHOOSE(Drivers!$C$3,'GP automotive'!S26,'GP automotive'!S34,'GP automotive'!S42)</f>
        <v>0.12377549275432535</v>
      </c>
    </row>
    <row r="19" spans="2:19" x14ac:dyDescent="0.25">
      <c r="B19" s="92" t="s">
        <v>174</v>
      </c>
      <c r="C19" s="95"/>
      <c r="D19" s="95"/>
      <c r="E19" s="95"/>
      <c r="F19" s="95"/>
      <c r="G19" s="94">
        <f>CHOOSE(Drivers!$C$3,'GP automotive'!G27,'GP automotive'!G35,'GP automotive'!G43)</f>
        <v>0.19168817457726836</v>
      </c>
      <c r="H19" s="94">
        <f>CHOOSE(Drivers!$C$3,'GP automotive'!H27,'GP automotive'!H35,'GP automotive'!H43)</f>
        <v>0.19168817457726836</v>
      </c>
      <c r="I19" s="94">
        <f>CHOOSE(Drivers!$C$3,'GP automotive'!I27,'GP automotive'!I35,'GP automotive'!I43)</f>
        <v>0.19168817457726836</v>
      </c>
      <c r="J19" s="94">
        <f>CHOOSE(Drivers!$C$3,'GP automotive'!J27,'GP automotive'!J35,'GP automotive'!J43)</f>
        <v>0.19168817457726836</v>
      </c>
      <c r="K19" s="94">
        <f>CHOOSE(Drivers!$C$3,'GP automotive'!K27,'GP automotive'!K35,'GP automotive'!K43)</f>
        <v>0.19168817457726836</v>
      </c>
      <c r="L19" s="94">
        <f>CHOOSE(Drivers!$C$3,'GP automotive'!L27,'GP automotive'!L35,'GP automotive'!L43)</f>
        <v>0.19168817457726836</v>
      </c>
      <c r="M19" s="94">
        <f>CHOOSE(Drivers!$C$3,'GP automotive'!M27,'GP automotive'!M35,'GP automotive'!M43)</f>
        <v>0.19168817457726836</v>
      </c>
      <c r="N19" s="94">
        <f>CHOOSE(Drivers!$C$3,'GP automotive'!N27,'GP automotive'!N35,'GP automotive'!N43)</f>
        <v>0.19168817457726836</v>
      </c>
      <c r="O19" s="94">
        <f>CHOOSE(Drivers!$C$3,'GP automotive'!O27,'GP automotive'!O35,'GP automotive'!O43)</f>
        <v>0.19168817457726836</v>
      </c>
      <c r="P19" s="94">
        <f>CHOOSE(Drivers!$C$3,'GP automotive'!P27,'GP automotive'!P35,'GP automotive'!P43)</f>
        <v>0.19168817457726836</v>
      </c>
      <c r="Q19" s="94">
        <f>CHOOSE(Drivers!$C$3,'GP automotive'!Q27,'GP automotive'!Q35,'GP automotive'!Q43)</f>
        <v>0.19168817457726836</v>
      </c>
      <c r="R19" s="94">
        <f>CHOOSE(Drivers!$C$3,'GP automotive'!R27,'GP automotive'!R35,'GP automotive'!R43)</f>
        <v>0.19168817457726836</v>
      </c>
      <c r="S19" s="94">
        <f>CHOOSE(Drivers!$C$3,'GP automotive'!S27,'GP automotive'!S35,'GP automotive'!S43)</f>
        <v>0.19168817457726836</v>
      </c>
    </row>
    <row r="20" spans="2:19" x14ac:dyDescent="0.25">
      <c r="B20" s="92"/>
      <c r="C20" s="95"/>
      <c r="D20" s="95"/>
      <c r="E20" s="95"/>
      <c r="F20" s="95"/>
      <c r="G20" s="95"/>
      <c r="H20" s="95"/>
      <c r="I20" s="95"/>
      <c r="J20" s="95"/>
      <c r="K20" s="93"/>
      <c r="L20" s="93"/>
      <c r="M20" s="93"/>
      <c r="N20" s="93"/>
      <c r="O20" s="93"/>
      <c r="P20" s="93"/>
      <c r="Q20" s="93"/>
      <c r="R20" s="93"/>
      <c r="S20" s="93"/>
    </row>
    <row r="21" spans="2:19" x14ac:dyDescent="0.25">
      <c r="B21" s="91" t="s">
        <v>71</v>
      </c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</row>
    <row r="22" spans="2:19" x14ac:dyDescent="0.25">
      <c r="B22" s="92" t="s">
        <v>175</v>
      </c>
      <c r="C22" s="95"/>
      <c r="D22" s="95"/>
      <c r="E22" s="95"/>
      <c r="F22" s="95"/>
      <c r="G22" s="94">
        <f>G30+1.5%</f>
        <v>0.13877549275432535</v>
      </c>
      <c r="H22" s="94">
        <f t="shared" ref="H22:S22" si="3">H30+1.5%</f>
        <v>0.13877549275432535</v>
      </c>
      <c r="I22" s="94">
        <f t="shared" si="3"/>
        <v>0.13877549275432535</v>
      </c>
      <c r="J22" s="94">
        <f t="shared" si="3"/>
        <v>0.13877549275432535</v>
      </c>
      <c r="K22" s="94">
        <f t="shared" si="3"/>
        <v>0.13877549275432535</v>
      </c>
      <c r="L22" s="94">
        <f t="shared" si="3"/>
        <v>0.13877549275432535</v>
      </c>
      <c r="M22" s="94">
        <f t="shared" si="3"/>
        <v>0.13877549275432535</v>
      </c>
      <c r="N22" s="94">
        <f t="shared" si="3"/>
        <v>0.13877549275432535</v>
      </c>
      <c r="O22" s="94">
        <f t="shared" si="3"/>
        <v>0.13877549275432535</v>
      </c>
      <c r="P22" s="94">
        <f t="shared" si="3"/>
        <v>0.13877549275432535</v>
      </c>
      <c r="Q22" s="94">
        <f t="shared" si="3"/>
        <v>0.13877549275432535</v>
      </c>
      <c r="R22" s="94">
        <f t="shared" si="3"/>
        <v>0.13877549275432535</v>
      </c>
      <c r="S22" s="94">
        <f t="shared" si="3"/>
        <v>0.13877549275432535</v>
      </c>
    </row>
    <row r="23" spans="2:19" x14ac:dyDescent="0.25">
      <c r="B23" s="92" t="s">
        <v>181</v>
      </c>
      <c r="C23" s="95"/>
      <c r="D23" s="79"/>
      <c r="E23" s="79"/>
      <c r="F23" s="79"/>
      <c r="G23" s="94">
        <f t="shared" ref="G23:S23" si="4">G31+1.5%</f>
        <v>0.20716312852565893</v>
      </c>
      <c r="H23" s="94">
        <f t="shared" si="4"/>
        <v>0.20716312852565893</v>
      </c>
      <c r="I23" s="94">
        <f t="shared" si="4"/>
        <v>0.20716312852565893</v>
      </c>
      <c r="J23" s="94">
        <f t="shared" si="4"/>
        <v>0.20716312852565893</v>
      </c>
      <c r="K23" s="94">
        <f t="shared" si="4"/>
        <v>0.20716312852565893</v>
      </c>
      <c r="L23" s="94">
        <f t="shared" si="4"/>
        <v>0.20716312852565893</v>
      </c>
      <c r="M23" s="94">
        <f t="shared" si="4"/>
        <v>0.20716312852565893</v>
      </c>
      <c r="N23" s="94">
        <f t="shared" si="4"/>
        <v>0.20716312852565893</v>
      </c>
      <c r="O23" s="94">
        <f t="shared" si="4"/>
        <v>0.20716312852565893</v>
      </c>
      <c r="P23" s="94">
        <f t="shared" si="4"/>
        <v>0.20716312852565893</v>
      </c>
      <c r="Q23" s="94">
        <f t="shared" si="4"/>
        <v>0.20716312852565893</v>
      </c>
      <c r="R23" s="94">
        <f t="shared" si="4"/>
        <v>0.20716312852565893</v>
      </c>
      <c r="S23" s="94">
        <f t="shared" si="4"/>
        <v>0.20716312852565893</v>
      </c>
    </row>
    <row r="24" spans="2:19" x14ac:dyDescent="0.25">
      <c r="B24" s="92" t="s">
        <v>176</v>
      </c>
      <c r="C24" s="95"/>
      <c r="D24" s="95"/>
      <c r="E24" s="95"/>
      <c r="F24" s="95"/>
      <c r="G24" s="94">
        <f t="shared" ref="G24:S24" si="5">G32+1.5%</f>
        <v>0.20716312852565893</v>
      </c>
      <c r="H24" s="94">
        <f t="shared" si="5"/>
        <v>0.20716312852565893</v>
      </c>
      <c r="I24" s="94">
        <f t="shared" si="5"/>
        <v>0.20716312852565893</v>
      </c>
      <c r="J24" s="94">
        <f t="shared" si="5"/>
        <v>0.20716312852565893</v>
      </c>
      <c r="K24" s="94">
        <f t="shared" si="5"/>
        <v>0.20716312852565893</v>
      </c>
      <c r="L24" s="94">
        <f t="shared" si="5"/>
        <v>0.20716312852565893</v>
      </c>
      <c r="M24" s="94">
        <f t="shared" si="5"/>
        <v>0.20716312852565893</v>
      </c>
      <c r="N24" s="94">
        <f t="shared" si="5"/>
        <v>0.20716312852565893</v>
      </c>
      <c r="O24" s="94">
        <f t="shared" si="5"/>
        <v>0.20716312852565893</v>
      </c>
      <c r="P24" s="94">
        <f t="shared" si="5"/>
        <v>0.20716312852565893</v>
      </c>
      <c r="Q24" s="94">
        <f t="shared" si="5"/>
        <v>0.20716312852565893</v>
      </c>
      <c r="R24" s="94">
        <f t="shared" si="5"/>
        <v>0.20716312852565893</v>
      </c>
      <c r="S24" s="94">
        <f t="shared" si="5"/>
        <v>0.20716312852565893</v>
      </c>
    </row>
    <row r="25" spans="2:19" x14ac:dyDescent="0.25">
      <c r="B25" s="92" t="s">
        <v>178</v>
      </c>
      <c r="C25" s="95"/>
      <c r="D25" s="95"/>
      <c r="E25" s="95"/>
      <c r="F25" s="95"/>
      <c r="G25" s="94">
        <f t="shared" ref="G25:S25" si="6">G33+1.5%</f>
        <v>0.40813618860356132</v>
      </c>
      <c r="H25" s="94">
        <f t="shared" si="6"/>
        <v>0.40813618860356132</v>
      </c>
      <c r="I25" s="94">
        <f t="shared" si="6"/>
        <v>0.40813618860356132</v>
      </c>
      <c r="J25" s="94">
        <f t="shared" si="6"/>
        <v>0.40813618860356132</v>
      </c>
      <c r="K25" s="94">
        <f t="shared" si="6"/>
        <v>0.40813618860356132</v>
      </c>
      <c r="L25" s="94">
        <f t="shared" si="6"/>
        <v>0.40813618860356132</v>
      </c>
      <c r="M25" s="94">
        <f t="shared" si="6"/>
        <v>0.40813618860356132</v>
      </c>
      <c r="N25" s="94">
        <f t="shared" si="6"/>
        <v>0.40813618860356132</v>
      </c>
      <c r="O25" s="94">
        <f t="shared" si="6"/>
        <v>0.40813618860356132</v>
      </c>
      <c r="P25" s="94">
        <f t="shared" si="6"/>
        <v>0.40813618860356132</v>
      </c>
      <c r="Q25" s="94">
        <f t="shared" si="6"/>
        <v>0.40813618860356132</v>
      </c>
      <c r="R25" s="94">
        <f t="shared" si="6"/>
        <v>0.40813618860356132</v>
      </c>
      <c r="S25" s="94">
        <f t="shared" si="6"/>
        <v>0.40813618860356132</v>
      </c>
    </row>
    <row r="26" spans="2:19" x14ac:dyDescent="0.25">
      <c r="B26" s="92" t="s">
        <v>177</v>
      </c>
      <c r="C26" s="95"/>
      <c r="D26" s="95"/>
      <c r="E26" s="95"/>
      <c r="F26" s="95"/>
      <c r="G26" s="94">
        <f t="shared" ref="G26:S26" si="7">G34+1.5%</f>
        <v>0.13877549275432535</v>
      </c>
      <c r="H26" s="94">
        <f t="shared" si="7"/>
        <v>0.13877549275432535</v>
      </c>
      <c r="I26" s="94">
        <f t="shared" si="7"/>
        <v>0.13877549275432535</v>
      </c>
      <c r="J26" s="94">
        <f t="shared" si="7"/>
        <v>0.13877549275432535</v>
      </c>
      <c r="K26" s="94">
        <f t="shared" si="7"/>
        <v>0.13877549275432535</v>
      </c>
      <c r="L26" s="94">
        <f t="shared" si="7"/>
        <v>0.13877549275432535</v>
      </c>
      <c r="M26" s="94">
        <f t="shared" si="7"/>
        <v>0.13877549275432535</v>
      </c>
      <c r="N26" s="94">
        <f t="shared" si="7"/>
        <v>0.13877549275432535</v>
      </c>
      <c r="O26" s="94">
        <f t="shared" si="7"/>
        <v>0.13877549275432535</v>
      </c>
      <c r="P26" s="94">
        <f t="shared" si="7"/>
        <v>0.13877549275432535</v>
      </c>
      <c r="Q26" s="94">
        <f t="shared" si="7"/>
        <v>0.13877549275432535</v>
      </c>
      <c r="R26" s="94">
        <f t="shared" si="7"/>
        <v>0.13877549275432535</v>
      </c>
      <c r="S26" s="94">
        <f t="shared" si="7"/>
        <v>0.13877549275432535</v>
      </c>
    </row>
    <row r="27" spans="2:19" x14ac:dyDescent="0.25">
      <c r="B27" s="92" t="s">
        <v>174</v>
      </c>
      <c r="C27" s="95"/>
      <c r="D27" s="95"/>
      <c r="E27" s="95"/>
      <c r="F27" s="95"/>
      <c r="G27" s="94">
        <f t="shared" ref="G27:S27" si="8">G35+1.5%</f>
        <v>0.20668817457726835</v>
      </c>
      <c r="H27" s="94">
        <f t="shared" si="8"/>
        <v>0.20668817457726835</v>
      </c>
      <c r="I27" s="94">
        <f t="shared" si="8"/>
        <v>0.20668817457726835</v>
      </c>
      <c r="J27" s="94">
        <f t="shared" si="8"/>
        <v>0.20668817457726835</v>
      </c>
      <c r="K27" s="94">
        <f t="shared" si="8"/>
        <v>0.20668817457726835</v>
      </c>
      <c r="L27" s="94">
        <f t="shared" si="8"/>
        <v>0.20668817457726835</v>
      </c>
      <c r="M27" s="94">
        <f t="shared" si="8"/>
        <v>0.20668817457726835</v>
      </c>
      <c r="N27" s="94">
        <f t="shared" si="8"/>
        <v>0.20668817457726835</v>
      </c>
      <c r="O27" s="94">
        <f t="shared" si="8"/>
        <v>0.20668817457726835</v>
      </c>
      <c r="P27" s="94">
        <f t="shared" si="8"/>
        <v>0.20668817457726835</v>
      </c>
      <c r="Q27" s="94">
        <f t="shared" si="8"/>
        <v>0.20668817457726835</v>
      </c>
      <c r="R27" s="94">
        <f t="shared" si="8"/>
        <v>0.20668817457726835</v>
      </c>
      <c r="S27" s="94">
        <f t="shared" si="8"/>
        <v>0.20668817457726835</v>
      </c>
    </row>
    <row r="28" spans="2:19" x14ac:dyDescent="0.25">
      <c r="B28" s="92"/>
      <c r="C28" s="95"/>
      <c r="D28" s="95"/>
      <c r="E28" s="95"/>
      <c r="F28" s="95"/>
      <c r="G28" s="95"/>
      <c r="H28" s="95"/>
      <c r="I28" s="95"/>
      <c r="J28" s="95"/>
      <c r="K28" s="93"/>
      <c r="L28" s="93"/>
      <c r="M28" s="93"/>
      <c r="N28" s="93"/>
      <c r="O28" s="93"/>
      <c r="P28" s="93"/>
      <c r="Q28" s="93"/>
      <c r="R28" s="93"/>
      <c r="S28" s="93"/>
    </row>
    <row r="29" spans="2:19" x14ac:dyDescent="0.25">
      <c r="B29" s="91" t="s">
        <v>72</v>
      </c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</row>
    <row r="30" spans="2:19" x14ac:dyDescent="0.25">
      <c r="B30" s="92" t="s">
        <v>175</v>
      </c>
      <c r="C30" s="95"/>
      <c r="D30" s="95"/>
      <c r="E30" s="95"/>
      <c r="F30" s="95"/>
      <c r="G30" s="94">
        <f>'GP% automotive'!$H6</f>
        <v>0.12377549275432535</v>
      </c>
      <c r="H30" s="94">
        <f>'GP% automotive'!$H6</f>
        <v>0.12377549275432535</v>
      </c>
      <c r="I30" s="94">
        <f>'GP% automotive'!$H6</f>
        <v>0.12377549275432535</v>
      </c>
      <c r="J30" s="94">
        <f>'GP% automotive'!$H6</f>
        <v>0.12377549275432535</v>
      </c>
      <c r="K30" s="94">
        <f>'GP% automotive'!$H6</f>
        <v>0.12377549275432535</v>
      </c>
      <c r="L30" s="94">
        <f>'GP% automotive'!$H6</f>
        <v>0.12377549275432535</v>
      </c>
      <c r="M30" s="94">
        <f>'GP% automotive'!$H6</f>
        <v>0.12377549275432535</v>
      </c>
      <c r="N30" s="94">
        <f>'GP% automotive'!$H6</f>
        <v>0.12377549275432535</v>
      </c>
      <c r="O30" s="94">
        <f>'GP% automotive'!$H6</f>
        <v>0.12377549275432535</v>
      </c>
      <c r="P30" s="94">
        <f>'GP% automotive'!$H6</f>
        <v>0.12377549275432535</v>
      </c>
      <c r="Q30" s="94">
        <f>'GP% automotive'!$H6</f>
        <v>0.12377549275432535</v>
      </c>
      <c r="R30" s="94">
        <f>'GP% automotive'!$H6</f>
        <v>0.12377549275432535</v>
      </c>
      <c r="S30" s="94">
        <f>'GP% automotive'!$H6</f>
        <v>0.12377549275432535</v>
      </c>
    </row>
    <row r="31" spans="2:19" x14ac:dyDescent="0.25">
      <c r="B31" s="92" t="s">
        <v>181</v>
      </c>
      <c r="C31" s="95"/>
      <c r="D31" s="79"/>
      <c r="E31" s="79"/>
      <c r="F31" s="79"/>
      <c r="G31" s="94">
        <f>'GP% automotive'!$H7</f>
        <v>0.19216312852565895</v>
      </c>
      <c r="H31" s="94">
        <f>'GP% automotive'!$H7</f>
        <v>0.19216312852565895</v>
      </c>
      <c r="I31" s="94">
        <f>'GP% automotive'!$H7</f>
        <v>0.19216312852565895</v>
      </c>
      <c r="J31" s="94">
        <f>'GP% automotive'!$H7</f>
        <v>0.19216312852565895</v>
      </c>
      <c r="K31" s="94">
        <f>'GP% automotive'!$H7</f>
        <v>0.19216312852565895</v>
      </c>
      <c r="L31" s="94">
        <f>'GP% automotive'!$H7</f>
        <v>0.19216312852565895</v>
      </c>
      <c r="M31" s="94">
        <f>'GP% automotive'!$H7</f>
        <v>0.19216312852565895</v>
      </c>
      <c r="N31" s="94">
        <f>'GP% automotive'!$H7</f>
        <v>0.19216312852565895</v>
      </c>
      <c r="O31" s="94">
        <f>'GP% automotive'!$H7</f>
        <v>0.19216312852565895</v>
      </c>
      <c r="P31" s="94">
        <f>'GP% automotive'!$H7</f>
        <v>0.19216312852565895</v>
      </c>
      <c r="Q31" s="94">
        <f>'GP% automotive'!$H7</f>
        <v>0.19216312852565895</v>
      </c>
      <c r="R31" s="94">
        <f>'GP% automotive'!$H7</f>
        <v>0.19216312852565895</v>
      </c>
      <c r="S31" s="94">
        <f>'GP% automotive'!$H7</f>
        <v>0.19216312852565895</v>
      </c>
    </row>
    <row r="32" spans="2:19" x14ac:dyDescent="0.25">
      <c r="B32" s="92" t="s">
        <v>176</v>
      </c>
      <c r="C32" s="95"/>
      <c r="D32" s="95"/>
      <c r="E32" s="95"/>
      <c r="F32" s="95"/>
      <c r="G32" s="94">
        <f>'GP% automotive'!$H8</f>
        <v>0.19216312852565895</v>
      </c>
      <c r="H32" s="94">
        <f>'GP% automotive'!$H8</f>
        <v>0.19216312852565895</v>
      </c>
      <c r="I32" s="94">
        <f>'GP% automotive'!$H8</f>
        <v>0.19216312852565895</v>
      </c>
      <c r="J32" s="94">
        <f>'GP% automotive'!$H8</f>
        <v>0.19216312852565895</v>
      </c>
      <c r="K32" s="94">
        <f>'GP% automotive'!$H8</f>
        <v>0.19216312852565895</v>
      </c>
      <c r="L32" s="94">
        <f>'GP% automotive'!$H8</f>
        <v>0.19216312852565895</v>
      </c>
      <c r="M32" s="94">
        <f>'GP% automotive'!$H8</f>
        <v>0.19216312852565895</v>
      </c>
      <c r="N32" s="94">
        <f>'GP% automotive'!$H8</f>
        <v>0.19216312852565895</v>
      </c>
      <c r="O32" s="94">
        <f>'GP% automotive'!$H8</f>
        <v>0.19216312852565895</v>
      </c>
      <c r="P32" s="94">
        <f>'GP% automotive'!$H8</f>
        <v>0.19216312852565895</v>
      </c>
      <c r="Q32" s="94">
        <f>'GP% automotive'!$H8</f>
        <v>0.19216312852565895</v>
      </c>
      <c r="R32" s="94">
        <f>'GP% automotive'!$H8</f>
        <v>0.19216312852565895</v>
      </c>
      <c r="S32" s="94">
        <f>'GP% automotive'!$H8</f>
        <v>0.19216312852565895</v>
      </c>
    </row>
    <row r="33" spans="2:19" x14ac:dyDescent="0.25">
      <c r="B33" s="92" t="s">
        <v>178</v>
      </c>
      <c r="C33" s="95"/>
      <c r="D33" s="95"/>
      <c r="E33" s="95"/>
      <c r="F33" s="95"/>
      <c r="G33" s="94">
        <f>'GP% automotive'!$H9</f>
        <v>0.39313618860356131</v>
      </c>
      <c r="H33" s="94">
        <f>'GP% automotive'!$H9</f>
        <v>0.39313618860356131</v>
      </c>
      <c r="I33" s="94">
        <f>'GP% automotive'!$H9</f>
        <v>0.39313618860356131</v>
      </c>
      <c r="J33" s="94">
        <f>'GP% automotive'!$H9</f>
        <v>0.39313618860356131</v>
      </c>
      <c r="K33" s="94">
        <f>'GP% automotive'!$H9</f>
        <v>0.39313618860356131</v>
      </c>
      <c r="L33" s="94">
        <f>'GP% automotive'!$H9</f>
        <v>0.39313618860356131</v>
      </c>
      <c r="M33" s="94">
        <f>'GP% automotive'!$H9</f>
        <v>0.39313618860356131</v>
      </c>
      <c r="N33" s="94">
        <f>'GP% automotive'!$H9</f>
        <v>0.39313618860356131</v>
      </c>
      <c r="O33" s="94">
        <f>'GP% automotive'!$H9</f>
        <v>0.39313618860356131</v>
      </c>
      <c r="P33" s="94">
        <f>'GP% automotive'!$H9</f>
        <v>0.39313618860356131</v>
      </c>
      <c r="Q33" s="94">
        <f>'GP% automotive'!$H9</f>
        <v>0.39313618860356131</v>
      </c>
      <c r="R33" s="94">
        <f>'GP% automotive'!$H9</f>
        <v>0.39313618860356131</v>
      </c>
      <c r="S33" s="94">
        <f>'GP% automotive'!$H9</f>
        <v>0.39313618860356131</v>
      </c>
    </row>
    <row r="34" spans="2:19" x14ac:dyDescent="0.25">
      <c r="B34" s="92" t="s">
        <v>177</v>
      </c>
      <c r="C34" s="95"/>
      <c r="D34" s="95"/>
      <c r="E34" s="95"/>
      <c r="F34" s="95"/>
      <c r="G34" s="94">
        <f>'GP% automotive'!$H10</f>
        <v>0.12377549275432535</v>
      </c>
      <c r="H34" s="94">
        <f>'GP% automotive'!$H10</f>
        <v>0.12377549275432535</v>
      </c>
      <c r="I34" s="94">
        <f>'GP% automotive'!$H10</f>
        <v>0.12377549275432535</v>
      </c>
      <c r="J34" s="94">
        <f>'GP% automotive'!$H10</f>
        <v>0.12377549275432535</v>
      </c>
      <c r="K34" s="94">
        <f>'GP% automotive'!$H10</f>
        <v>0.12377549275432535</v>
      </c>
      <c r="L34" s="94">
        <f>'GP% automotive'!$H10</f>
        <v>0.12377549275432535</v>
      </c>
      <c r="M34" s="94">
        <f>'GP% automotive'!$H10</f>
        <v>0.12377549275432535</v>
      </c>
      <c r="N34" s="94">
        <f>'GP% automotive'!$H10</f>
        <v>0.12377549275432535</v>
      </c>
      <c r="O34" s="94">
        <f>'GP% automotive'!$H10</f>
        <v>0.12377549275432535</v>
      </c>
      <c r="P34" s="94">
        <f>'GP% automotive'!$H10</f>
        <v>0.12377549275432535</v>
      </c>
      <c r="Q34" s="94">
        <f>'GP% automotive'!$H10</f>
        <v>0.12377549275432535</v>
      </c>
      <c r="R34" s="94">
        <f>'GP% automotive'!$H10</f>
        <v>0.12377549275432535</v>
      </c>
      <c r="S34" s="94">
        <f>'GP% automotive'!$H10</f>
        <v>0.12377549275432535</v>
      </c>
    </row>
    <row r="35" spans="2:19" x14ac:dyDescent="0.25">
      <c r="B35" s="92" t="s">
        <v>174</v>
      </c>
      <c r="C35" s="95"/>
      <c r="D35" s="95"/>
      <c r="E35" s="95"/>
      <c r="F35" s="95"/>
      <c r="G35" s="94">
        <f>'GP% automotive'!$H11</f>
        <v>0.19168817457726836</v>
      </c>
      <c r="H35" s="94">
        <f>'GP% automotive'!$H11</f>
        <v>0.19168817457726836</v>
      </c>
      <c r="I35" s="94">
        <f>'GP% automotive'!$H11</f>
        <v>0.19168817457726836</v>
      </c>
      <c r="J35" s="94">
        <f>'GP% automotive'!$H11</f>
        <v>0.19168817457726836</v>
      </c>
      <c r="K35" s="94">
        <f>'GP% automotive'!$H11</f>
        <v>0.19168817457726836</v>
      </c>
      <c r="L35" s="94">
        <f>'GP% automotive'!$H11</f>
        <v>0.19168817457726836</v>
      </c>
      <c r="M35" s="94">
        <f>'GP% automotive'!$H11</f>
        <v>0.19168817457726836</v>
      </c>
      <c r="N35" s="94">
        <f>'GP% automotive'!$H11</f>
        <v>0.19168817457726836</v>
      </c>
      <c r="O35" s="94">
        <f>'GP% automotive'!$H11</f>
        <v>0.19168817457726836</v>
      </c>
      <c r="P35" s="94">
        <f>'GP% automotive'!$H11</f>
        <v>0.19168817457726836</v>
      </c>
      <c r="Q35" s="94">
        <f>'GP% automotive'!$H11</f>
        <v>0.19168817457726836</v>
      </c>
      <c r="R35" s="94">
        <f>'GP% automotive'!$H11</f>
        <v>0.19168817457726836</v>
      </c>
      <c r="S35" s="94">
        <f>'GP% automotive'!$H11</f>
        <v>0.19168817457726836</v>
      </c>
    </row>
    <row r="36" spans="2:19" x14ac:dyDescent="0.25">
      <c r="B36" s="92"/>
      <c r="C36" s="95"/>
      <c r="D36" s="95"/>
      <c r="E36" s="95"/>
      <c r="F36" s="95"/>
      <c r="G36" s="95"/>
      <c r="H36" s="95"/>
      <c r="I36" s="95"/>
      <c r="J36" s="95"/>
      <c r="K36" s="93"/>
      <c r="L36" s="93"/>
      <c r="M36" s="93"/>
      <c r="N36" s="93"/>
      <c r="O36" s="93"/>
      <c r="P36" s="93"/>
      <c r="Q36" s="93"/>
      <c r="R36" s="93"/>
      <c r="S36" s="93"/>
    </row>
    <row r="37" spans="2:19" x14ac:dyDescent="0.25">
      <c r="B37" s="91" t="s">
        <v>73</v>
      </c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</row>
    <row r="38" spans="2:19" x14ac:dyDescent="0.25">
      <c r="B38" s="92" t="s">
        <v>175</v>
      </c>
      <c r="C38" s="95"/>
      <c r="D38" s="95"/>
      <c r="E38" s="95"/>
      <c r="F38" s="95"/>
      <c r="G38" s="94">
        <f>G30-1.5%</f>
        <v>0.10877549275432535</v>
      </c>
      <c r="H38" s="94">
        <f t="shared" ref="H38:S38" si="9">H30-1.5%</f>
        <v>0.10877549275432535</v>
      </c>
      <c r="I38" s="94">
        <f t="shared" si="9"/>
        <v>0.10877549275432535</v>
      </c>
      <c r="J38" s="94">
        <f t="shared" si="9"/>
        <v>0.10877549275432535</v>
      </c>
      <c r="K38" s="94">
        <f t="shared" si="9"/>
        <v>0.10877549275432535</v>
      </c>
      <c r="L38" s="94">
        <f t="shared" si="9"/>
        <v>0.10877549275432535</v>
      </c>
      <c r="M38" s="94">
        <f t="shared" si="9"/>
        <v>0.10877549275432535</v>
      </c>
      <c r="N38" s="94">
        <f t="shared" si="9"/>
        <v>0.10877549275432535</v>
      </c>
      <c r="O38" s="94">
        <f t="shared" si="9"/>
        <v>0.10877549275432535</v>
      </c>
      <c r="P38" s="94">
        <f t="shared" si="9"/>
        <v>0.10877549275432535</v>
      </c>
      <c r="Q38" s="94">
        <f t="shared" si="9"/>
        <v>0.10877549275432535</v>
      </c>
      <c r="R38" s="94">
        <f t="shared" si="9"/>
        <v>0.10877549275432535</v>
      </c>
      <c r="S38" s="94">
        <f t="shared" si="9"/>
        <v>0.10877549275432535</v>
      </c>
    </row>
    <row r="39" spans="2:19" x14ac:dyDescent="0.25">
      <c r="B39" s="92" t="s">
        <v>181</v>
      </c>
      <c r="C39" s="95"/>
      <c r="D39" s="79"/>
      <c r="E39" s="79"/>
      <c r="F39" s="79"/>
      <c r="G39" s="94">
        <f t="shared" ref="G39:S39" si="10">G31-1.5%</f>
        <v>0.17716312852565896</v>
      </c>
      <c r="H39" s="94">
        <f t="shared" si="10"/>
        <v>0.17716312852565896</v>
      </c>
      <c r="I39" s="94">
        <f t="shared" si="10"/>
        <v>0.17716312852565896</v>
      </c>
      <c r="J39" s="94">
        <f t="shared" si="10"/>
        <v>0.17716312852565896</v>
      </c>
      <c r="K39" s="94">
        <f t="shared" si="10"/>
        <v>0.17716312852565896</v>
      </c>
      <c r="L39" s="94">
        <f t="shared" si="10"/>
        <v>0.17716312852565896</v>
      </c>
      <c r="M39" s="94">
        <f t="shared" si="10"/>
        <v>0.17716312852565896</v>
      </c>
      <c r="N39" s="94">
        <f t="shared" si="10"/>
        <v>0.17716312852565896</v>
      </c>
      <c r="O39" s="94">
        <f t="shared" si="10"/>
        <v>0.17716312852565896</v>
      </c>
      <c r="P39" s="94">
        <f t="shared" si="10"/>
        <v>0.17716312852565896</v>
      </c>
      <c r="Q39" s="94">
        <f t="shared" si="10"/>
        <v>0.17716312852565896</v>
      </c>
      <c r="R39" s="94">
        <f t="shared" si="10"/>
        <v>0.17716312852565896</v>
      </c>
      <c r="S39" s="94">
        <f t="shared" si="10"/>
        <v>0.17716312852565896</v>
      </c>
    </row>
    <row r="40" spans="2:19" x14ac:dyDescent="0.25">
      <c r="B40" s="92" t="s">
        <v>176</v>
      </c>
      <c r="C40" s="95"/>
      <c r="D40" s="95"/>
      <c r="E40" s="95"/>
      <c r="F40" s="95"/>
      <c r="G40" s="94">
        <f t="shared" ref="G40:S40" si="11">G32-1.5%</f>
        <v>0.17716312852565896</v>
      </c>
      <c r="H40" s="94">
        <f t="shared" si="11"/>
        <v>0.17716312852565896</v>
      </c>
      <c r="I40" s="94">
        <f t="shared" si="11"/>
        <v>0.17716312852565896</v>
      </c>
      <c r="J40" s="94">
        <f t="shared" si="11"/>
        <v>0.17716312852565896</v>
      </c>
      <c r="K40" s="94">
        <f t="shared" si="11"/>
        <v>0.17716312852565896</v>
      </c>
      <c r="L40" s="94">
        <f t="shared" si="11"/>
        <v>0.17716312852565896</v>
      </c>
      <c r="M40" s="94">
        <f t="shared" si="11"/>
        <v>0.17716312852565896</v>
      </c>
      <c r="N40" s="94">
        <f t="shared" si="11"/>
        <v>0.17716312852565896</v>
      </c>
      <c r="O40" s="94">
        <f t="shared" si="11"/>
        <v>0.17716312852565896</v>
      </c>
      <c r="P40" s="94">
        <f t="shared" si="11"/>
        <v>0.17716312852565896</v>
      </c>
      <c r="Q40" s="94">
        <f t="shared" si="11"/>
        <v>0.17716312852565896</v>
      </c>
      <c r="R40" s="94">
        <f t="shared" si="11"/>
        <v>0.17716312852565896</v>
      </c>
      <c r="S40" s="94">
        <f t="shared" si="11"/>
        <v>0.17716312852565896</v>
      </c>
    </row>
    <row r="41" spans="2:19" x14ac:dyDescent="0.25">
      <c r="B41" s="92" t="s">
        <v>178</v>
      </c>
      <c r="C41" s="95"/>
      <c r="D41" s="95"/>
      <c r="E41" s="95"/>
      <c r="F41" s="95"/>
      <c r="G41" s="94">
        <f t="shared" ref="G41:S41" si="12">G33-1.5%</f>
        <v>0.3781361886035613</v>
      </c>
      <c r="H41" s="94">
        <f t="shared" si="12"/>
        <v>0.3781361886035613</v>
      </c>
      <c r="I41" s="94">
        <f t="shared" si="12"/>
        <v>0.3781361886035613</v>
      </c>
      <c r="J41" s="94">
        <f t="shared" si="12"/>
        <v>0.3781361886035613</v>
      </c>
      <c r="K41" s="94">
        <f t="shared" si="12"/>
        <v>0.3781361886035613</v>
      </c>
      <c r="L41" s="94">
        <f t="shared" si="12"/>
        <v>0.3781361886035613</v>
      </c>
      <c r="M41" s="94">
        <f t="shared" si="12"/>
        <v>0.3781361886035613</v>
      </c>
      <c r="N41" s="94">
        <f t="shared" si="12"/>
        <v>0.3781361886035613</v>
      </c>
      <c r="O41" s="94">
        <f t="shared" si="12"/>
        <v>0.3781361886035613</v>
      </c>
      <c r="P41" s="94">
        <f t="shared" si="12"/>
        <v>0.3781361886035613</v>
      </c>
      <c r="Q41" s="94">
        <f t="shared" si="12"/>
        <v>0.3781361886035613</v>
      </c>
      <c r="R41" s="94">
        <f t="shared" si="12"/>
        <v>0.3781361886035613</v>
      </c>
      <c r="S41" s="94">
        <f t="shared" si="12"/>
        <v>0.3781361886035613</v>
      </c>
    </row>
    <row r="42" spans="2:19" x14ac:dyDescent="0.25">
      <c r="B42" s="92" t="s">
        <v>177</v>
      </c>
      <c r="C42" s="95"/>
      <c r="D42" s="95"/>
      <c r="E42" s="95"/>
      <c r="F42" s="95"/>
      <c r="G42" s="94">
        <f t="shared" ref="G42:S42" si="13">G34-1.5%</f>
        <v>0.10877549275432535</v>
      </c>
      <c r="H42" s="94">
        <f t="shared" si="13"/>
        <v>0.10877549275432535</v>
      </c>
      <c r="I42" s="94">
        <f t="shared" si="13"/>
        <v>0.10877549275432535</v>
      </c>
      <c r="J42" s="94">
        <f t="shared" si="13"/>
        <v>0.10877549275432535</v>
      </c>
      <c r="K42" s="94">
        <f t="shared" si="13"/>
        <v>0.10877549275432535</v>
      </c>
      <c r="L42" s="94">
        <f t="shared" si="13"/>
        <v>0.10877549275432535</v>
      </c>
      <c r="M42" s="94">
        <f t="shared" si="13"/>
        <v>0.10877549275432535</v>
      </c>
      <c r="N42" s="94">
        <f t="shared" si="13"/>
        <v>0.10877549275432535</v>
      </c>
      <c r="O42" s="94">
        <f t="shared" si="13"/>
        <v>0.10877549275432535</v>
      </c>
      <c r="P42" s="94">
        <f t="shared" si="13"/>
        <v>0.10877549275432535</v>
      </c>
      <c r="Q42" s="94">
        <f t="shared" si="13"/>
        <v>0.10877549275432535</v>
      </c>
      <c r="R42" s="94">
        <f t="shared" si="13"/>
        <v>0.10877549275432535</v>
      </c>
      <c r="S42" s="94">
        <f t="shared" si="13"/>
        <v>0.10877549275432535</v>
      </c>
    </row>
    <row r="43" spans="2:19" x14ac:dyDescent="0.25">
      <c r="B43" s="92" t="s">
        <v>174</v>
      </c>
      <c r="C43" s="95"/>
      <c r="D43" s="95"/>
      <c r="E43" s="95"/>
      <c r="F43" s="95"/>
      <c r="G43" s="94">
        <f t="shared" ref="G43:S43" si="14">G35-1.5%</f>
        <v>0.17668817457726838</v>
      </c>
      <c r="H43" s="94">
        <f t="shared" si="14"/>
        <v>0.17668817457726838</v>
      </c>
      <c r="I43" s="94">
        <f t="shared" si="14"/>
        <v>0.17668817457726838</v>
      </c>
      <c r="J43" s="94">
        <f t="shared" si="14"/>
        <v>0.17668817457726838</v>
      </c>
      <c r="K43" s="94">
        <f t="shared" si="14"/>
        <v>0.17668817457726838</v>
      </c>
      <c r="L43" s="94">
        <f t="shared" si="14"/>
        <v>0.17668817457726838</v>
      </c>
      <c r="M43" s="94">
        <f t="shared" si="14"/>
        <v>0.17668817457726838</v>
      </c>
      <c r="N43" s="94">
        <f t="shared" si="14"/>
        <v>0.17668817457726838</v>
      </c>
      <c r="O43" s="94">
        <f t="shared" si="14"/>
        <v>0.17668817457726838</v>
      </c>
      <c r="P43" s="94">
        <f t="shared" si="14"/>
        <v>0.17668817457726838</v>
      </c>
      <c r="Q43" s="94">
        <f t="shared" si="14"/>
        <v>0.17668817457726838</v>
      </c>
      <c r="R43" s="94">
        <f t="shared" si="14"/>
        <v>0.17668817457726838</v>
      </c>
      <c r="S43" s="94">
        <f t="shared" si="14"/>
        <v>0.17668817457726838</v>
      </c>
    </row>
    <row r="44" spans="2:19" x14ac:dyDescent="0.25">
      <c r="B44" s="92"/>
      <c r="C44" s="95"/>
      <c r="D44" s="95"/>
      <c r="E44" s="95"/>
      <c r="F44" s="95"/>
      <c r="G44" s="92"/>
      <c r="H44" s="92"/>
      <c r="I44" s="95"/>
      <c r="J44" s="95"/>
      <c r="K44" s="93"/>
      <c r="L44" s="93"/>
      <c r="M44" s="93"/>
      <c r="N44" s="93"/>
      <c r="O44" s="93"/>
      <c r="P44" s="93"/>
      <c r="Q44" s="93"/>
      <c r="R44" s="93"/>
      <c r="S44" s="93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F355-6EBF-4ECC-BA86-E71A2560ADF3}">
  <dimension ref="A1:S11"/>
  <sheetViews>
    <sheetView workbookViewId="0">
      <selection activeCell="D14" sqref="D14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222</v>
      </c>
    </row>
    <row r="2" spans="1:19" ht="15.6" x14ac:dyDescent="0.25">
      <c r="A2" s="1"/>
      <c r="B2" s="2"/>
    </row>
    <row r="3" spans="1:19" ht="12" x14ac:dyDescent="0.25">
      <c r="C3" s="224" t="s">
        <v>364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</row>
    <row r="4" spans="1:19" ht="24" x14ac:dyDescent="0.25">
      <c r="B4" s="36" t="s">
        <v>172</v>
      </c>
      <c r="C4" s="6" t="s">
        <v>45</v>
      </c>
      <c r="D4" s="6" t="s">
        <v>46</v>
      </c>
      <c r="E4" s="6" t="s">
        <v>47</v>
      </c>
      <c r="F4" s="6" t="s">
        <v>165</v>
      </c>
      <c r="G4" s="6" t="s">
        <v>173</v>
      </c>
      <c r="H4" s="98" t="s">
        <v>184</v>
      </c>
      <c r="I4" s="98" t="s">
        <v>183</v>
      </c>
      <c r="J4" s="98" t="s">
        <v>185</v>
      </c>
      <c r="K4" s="98" t="s">
        <v>186</v>
      </c>
      <c r="L4" s="98" t="s">
        <v>187</v>
      </c>
      <c r="M4" s="98" t="s">
        <v>188</v>
      </c>
      <c r="N4" s="98" t="s">
        <v>189</v>
      </c>
      <c r="O4" s="98" t="s">
        <v>269</v>
      </c>
      <c r="P4" s="98" t="s">
        <v>270</v>
      </c>
      <c r="Q4" s="98" t="s">
        <v>271</v>
      </c>
      <c r="R4" s="98" t="s">
        <v>272</v>
      </c>
      <c r="S4" s="98" t="s">
        <v>273</v>
      </c>
    </row>
    <row r="5" spans="1:19" x14ac:dyDescent="0.25">
      <c r="B5" s="8" t="s">
        <v>175</v>
      </c>
      <c r="C5" s="73" t="s">
        <v>65</v>
      </c>
      <c r="D5" s="73" t="s">
        <v>65</v>
      </c>
      <c r="E5" s="73" t="s">
        <v>65</v>
      </c>
      <c r="F5" s="73" t="s">
        <v>65</v>
      </c>
      <c r="G5" s="73" t="s">
        <v>65</v>
      </c>
      <c r="H5" s="90">
        <f>-('Revenue automotive'!H5-'GP automotive'!H5)</f>
        <v>-3827.3486476491071</v>
      </c>
      <c r="I5" s="74" t="s">
        <v>65</v>
      </c>
      <c r="J5" s="90">
        <f>-('Revenue automotive'!J5-'GP automotive'!J5)</f>
        <v>-9568.3716191227668</v>
      </c>
      <c r="K5" s="90">
        <f>-('Revenue automotive'!K5-'GP automotive'!K5)</f>
        <v>-15309.394590596428</v>
      </c>
      <c r="L5" s="90">
        <f>-('Revenue automotive'!L5-'GP automotive'!L5)</f>
        <v>-16840.334049656074</v>
      </c>
      <c r="M5" s="90">
        <f>-('Revenue automotive'!M5-'GP automotive'!M5)</f>
        <v>-18524.367454621679</v>
      </c>
      <c r="N5" s="90">
        <f>-('Revenue automotive'!N5-'GP automotive'!N5)</f>
        <v>-19450.585827352763</v>
      </c>
      <c r="O5" s="90">
        <f>-('Revenue automotive'!O5-'GP automotive'!O5)</f>
        <v>-20423.115118720405</v>
      </c>
      <c r="P5" s="90">
        <f>-('Revenue automotive'!P5-'GP automotive'!P5)</f>
        <v>-20831.577421094811</v>
      </c>
      <c r="Q5" s="90">
        <f>-('Revenue automotive'!Q5-'GP automotive'!Q5)</f>
        <v>-21248.208969516709</v>
      </c>
      <c r="R5" s="90">
        <f>-('Revenue automotive'!R5-'GP automotive'!R5)</f>
        <v>-21673.173148907044</v>
      </c>
      <c r="S5" s="90">
        <f>-('Revenue automotive'!S5-'GP automotive'!S5)</f>
        <v>-22106.636611885184</v>
      </c>
    </row>
    <row r="6" spans="1:19" x14ac:dyDescent="0.25">
      <c r="B6" s="8" t="s">
        <v>181</v>
      </c>
      <c r="C6" s="73" t="s">
        <v>65</v>
      </c>
      <c r="D6" s="73" t="s">
        <v>65</v>
      </c>
      <c r="E6" s="73" t="s">
        <v>65</v>
      </c>
      <c r="F6" s="73" t="s">
        <v>65</v>
      </c>
      <c r="G6" s="73" t="s">
        <v>65</v>
      </c>
      <c r="H6" s="90">
        <f>-('Revenue automotive'!H6-'GP automotive'!H6)</f>
        <v>-3951.3320975988709</v>
      </c>
      <c r="I6" s="74" t="s">
        <v>65</v>
      </c>
      <c r="J6" s="90">
        <f>-('Revenue automotive'!J6-'GP automotive'!J6)</f>
        <v>-7209.9440779084944</v>
      </c>
      <c r="K6" s="90">
        <f>-('Revenue automotive'!K6-'GP automotive'!K6)</f>
        <v>-7354.1429594666643</v>
      </c>
      <c r="L6" s="90">
        <f>-('Revenue automotive'!L6-'GP automotive'!L6)</f>
        <v>-7501.2258186559966</v>
      </c>
      <c r="M6" s="90">
        <f>-('Revenue automotive'!M6-'GP automotive'!M6)</f>
        <v>-7651.2503350291172</v>
      </c>
      <c r="N6" s="90">
        <f>-('Revenue automotive'!N6-'GP automotive'!N6)</f>
        <v>-7804.2753417296999</v>
      </c>
      <c r="O6" s="90">
        <f>-('Revenue automotive'!O6-'GP automotive'!O6)</f>
        <v>-7960.3608485642953</v>
      </c>
      <c r="P6" s="90">
        <f>-('Revenue automotive'!P6-'GP automotive'!P6)</f>
        <v>-8119.5680655355791</v>
      </c>
      <c r="Q6" s="90">
        <f>-('Revenue automotive'!Q6-'GP automotive'!Q6)</f>
        <v>-8281.9594268462915</v>
      </c>
      <c r="R6" s="90">
        <f>-('Revenue automotive'!R6-'GP automotive'!R6)</f>
        <v>-8447.5986153832182</v>
      </c>
      <c r="S6" s="90">
        <f>-('Revenue automotive'!S6-'GP automotive'!S6)</f>
        <v>-8616.5505876908828</v>
      </c>
    </row>
    <row r="7" spans="1:19" x14ac:dyDescent="0.25">
      <c r="B7" s="8" t="s">
        <v>176</v>
      </c>
      <c r="C7" s="73">
        <v>0</v>
      </c>
      <c r="D7" s="73">
        <v>0</v>
      </c>
      <c r="E7" s="73">
        <v>0</v>
      </c>
      <c r="F7" s="73">
        <v>0</v>
      </c>
      <c r="G7" s="89">
        <f>-('Revenue automotive'!G7-'GP automotive'!G7)</f>
        <v>0</v>
      </c>
      <c r="H7" s="90">
        <f>-('Revenue automotive'!H7-'GP automotive'!H7)</f>
        <v>0</v>
      </c>
      <c r="I7" s="90">
        <f>-('Revenue automotive'!I7-'GP automotive'!I7)</f>
        <v>0</v>
      </c>
      <c r="J7" s="90">
        <f>-('Revenue automotive'!J7-'GP automotive'!J7)</f>
        <v>-71.251212064036878</v>
      </c>
      <c r="K7" s="90">
        <f>-('Revenue automotive'!K7-'GP automotive'!K7)</f>
        <v>-5275.9826075989213</v>
      </c>
      <c r="L7" s="90">
        <f>-('Revenue automotive'!L7-'GP automotive'!L7)</f>
        <v>-10501.879329166433</v>
      </c>
      <c r="M7" s="90">
        <f>-('Revenue automotive'!M7-'GP automotive'!M7)</f>
        <v>-16803.006926666294</v>
      </c>
      <c r="N7" s="90">
        <f>-('Revenue automotive'!N7-'GP automotive'!N7)</f>
        <v>-18483.307619332925</v>
      </c>
      <c r="O7" s="90">
        <f>-('Revenue automotive'!O7-'GP automotive'!O7)</f>
        <v>-20331.638381266221</v>
      </c>
      <c r="P7" s="90">
        <f>-('Revenue automotive'!P7-'GP automotive'!P7)</f>
        <v>-21348.220300329533</v>
      </c>
      <c r="Q7" s="90">
        <f>-('Revenue automotive'!Q7-'GP automotive'!Q7)</f>
        <v>-22415.631315346011</v>
      </c>
      <c r="R7" s="90">
        <f>-('Revenue automotive'!R7-'GP automotive'!R7)</f>
        <v>-22863.943941652928</v>
      </c>
      <c r="S7" s="90">
        <f>-('Revenue automotive'!S7-'GP automotive'!S7)</f>
        <v>-23321.222820485986</v>
      </c>
    </row>
    <row r="8" spans="1:19" x14ac:dyDescent="0.25">
      <c r="B8" s="8" t="s">
        <v>178</v>
      </c>
      <c r="C8" s="73">
        <v>0</v>
      </c>
      <c r="D8" s="73">
        <v>0</v>
      </c>
      <c r="E8" s="73">
        <v>0</v>
      </c>
      <c r="F8" s="73">
        <v>0</v>
      </c>
      <c r="G8" s="89">
        <f>-('Revenue automotive'!G8-'GP automotive'!G8)</f>
        <v>0</v>
      </c>
      <c r="H8" s="90">
        <f>-('Revenue automotive'!H8-'GP automotive'!H8)</f>
        <v>0</v>
      </c>
      <c r="I8" s="90">
        <f>-('Revenue automotive'!I8-'GP automotive'!I8)</f>
        <v>0</v>
      </c>
      <c r="J8" s="90">
        <f>-('Revenue automotive'!J8-'GP automotive'!J8)</f>
        <v>0</v>
      </c>
      <c r="K8" s="90">
        <f>-('Revenue automotive'!K8-'GP automotive'!K8)</f>
        <v>-69.789338310590452</v>
      </c>
      <c r="L8" s="90">
        <f>-('Revenue automotive'!L8-'GP automotive'!L8)</f>
        <v>-139.5786766211809</v>
      </c>
      <c r="M8" s="90">
        <f>-('Revenue automotive'!M8-'GP automotive'!M8)</f>
        <v>-209.36801493177134</v>
      </c>
      <c r="N8" s="90">
        <f>-('Revenue automotive'!N8-'GP automotive'!N8)</f>
        <v>-230.30481642494851</v>
      </c>
      <c r="O8" s="90">
        <f>-('Revenue automotive'!O8-'GP automotive'!O8)</f>
        <v>-253.3352980674434</v>
      </c>
      <c r="P8" s="90">
        <f>-('Revenue automotive'!P8-'GP automotive'!P8)</f>
        <v>-266.00206297081559</v>
      </c>
      <c r="Q8" s="90">
        <f>-('Revenue automotive'!Q8-'GP automotive'!Q8)</f>
        <v>-279.30216611935634</v>
      </c>
      <c r="R8" s="90">
        <f>-('Revenue automotive'!R8-'GP automotive'!R8)</f>
        <v>-284.88820944174347</v>
      </c>
      <c r="S8" s="90">
        <f>-('Revenue automotive'!S8-'GP automotive'!S8)</f>
        <v>-290.58597363057839</v>
      </c>
    </row>
    <row r="9" spans="1:19" x14ac:dyDescent="0.25">
      <c r="B9" s="8" t="s">
        <v>177</v>
      </c>
      <c r="C9" s="73">
        <v>0</v>
      </c>
      <c r="D9" s="73">
        <v>0</v>
      </c>
      <c r="E9" s="73">
        <v>0</v>
      </c>
      <c r="F9" s="73">
        <v>0</v>
      </c>
      <c r="G9" s="89">
        <f>-('Revenue automotive'!G9-'GP automotive'!G9)</f>
        <v>0</v>
      </c>
      <c r="H9" s="90">
        <f>-('Revenue automotive'!H9-'GP automotive'!H9)</f>
        <v>0</v>
      </c>
      <c r="I9" s="90">
        <f>-('Revenue automotive'!I9-'GP automotive'!I9)</f>
        <v>0</v>
      </c>
      <c r="J9" s="90">
        <f>-('Revenue automotive'!J9-'GP automotive'!J9)</f>
        <v>-13.800535989119375</v>
      </c>
      <c r="K9" s="90">
        <f>-('Revenue automotive'!K9-'GP automotive'!K9)</f>
        <v>-1021.896831575268</v>
      </c>
      <c r="L9" s="90">
        <f>-('Revenue automotive'!L9-'GP automotive'!L9)</f>
        <v>-2034.0926061060304</v>
      </c>
      <c r="M9" s="90">
        <f>-('Revenue automotive'!M9-'GP automotive'!M9)</f>
        <v>-3254.5481697696496</v>
      </c>
      <c r="N9" s="90">
        <f>-('Revenue automotive'!N9-'GP automotive'!N9)</f>
        <v>-3580.0029867466146</v>
      </c>
      <c r="O9" s="90">
        <f>-('Revenue automotive'!O9-'GP automotive'!O9)</f>
        <v>-3938.0032854212768</v>
      </c>
      <c r="P9" s="90">
        <f>-('Revenue automotive'!P9-'GP automotive'!P9)</f>
        <v>-4134.9034496923405</v>
      </c>
      <c r="Q9" s="90">
        <f>-('Revenue automotive'!Q9-'GP automotive'!Q9)</f>
        <v>-4341.6486221769574</v>
      </c>
      <c r="R9" s="90">
        <f>-('Revenue automotive'!R9-'GP automotive'!R9)</f>
        <v>-4428.4815946204972</v>
      </c>
      <c r="S9" s="90">
        <f>-('Revenue automotive'!S9-'GP automotive'!S9)</f>
        <v>-4517.0512265129064</v>
      </c>
    </row>
    <row r="10" spans="1:19" x14ac:dyDescent="0.25">
      <c r="B10" s="8" t="s">
        <v>174</v>
      </c>
      <c r="C10" s="73">
        <v>0</v>
      </c>
      <c r="D10" s="73">
        <v>0</v>
      </c>
      <c r="E10" s="73">
        <v>0</v>
      </c>
      <c r="F10" s="73">
        <v>0</v>
      </c>
      <c r="G10" s="89">
        <f>-('Revenue automotive'!G10-'GP automotive'!G10)</f>
        <v>0</v>
      </c>
      <c r="H10" s="90">
        <f>-('Revenue automotive'!H10-'GP automotive'!H10)</f>
        <v>0</v>
      </c>
      <c r="I10" s="90">
        <f>-('Revenue automotive'!I10-'GP automotive'!I10)</f>
        <v>0</v>
      </c>
      <c r="J10" s="90">
        <f>-('Revenue automotive'!J10-'GP automotive'!J10)</f>
        <v>-40.415591271136584</v>
      </c>
      <c r="K10" s="90">
        <f>-('Revenue automotive'!K10-'GP automotive'!K10)</f>
        <v>-2992.6783060293997</v>
      </c>
      <c r="L10" s="90">
        <f>-('Revenue automotive'!L10-'GP automotive'!L10)</f>
        <v>-5956.9465592378192</v>
      </c>
      <c r="M10" s="90">
        <f>-('Revenue automotive'!M10-'GP automotive'!M10)</f>
        <v>-9531.1144947805114</v>
      </c>
      <c r="N10" s="90">
        <f>-('Revenue automotive'!N10-'GP automotive'!N10)</f>
        <v>-10484.225944258562</v>
      </c>
      <c r="O10" s="90">
        <f>-('Revenue automotive'!O10-'GP automotive'!O10)</f>
        <v>-11532.64853868442</v>
      </c>
      <c r="P10" s="90">
        <f>-('Revenue automotive'!P10-'GP automotive'!P10)</f>
        <v>-12109.280965618642</v>
      </c>
      <c r="Q10" s="90">
        <f>-('Revenue automotive'!Q10-'GP automotive'!Q10)</f>
        <v>-12714.745013899575</v>
      </c>
      <c r="R10" s="90">
        <f>-('Revenue automotive'!R10-'GP automotive'!R10)</f>
        <v>-12969.039914177567</v>
      </c>
      <c r="S10" s="90">
        <f>-('Revenue automotive'!S10-'GP automotive'!S10)</f>
        <v>-13228.420712461118</v>
      </c>
    </row>
    <row r="11" spans="1:19" ht="12.6" thickBot="1" x14ac:dyDescent="0.3">
      <c r="B11" s="116" t="s">
        <v>69</v>
      </c>
      <c r="C11" s="127">
        <f>'P&amp;L Input'!C8/1000</f>
        <v>-2145.7489999999998</v>
      </c>
      <c r="D11" s="127">
        <f>'P&amp;L Input'!D8/1000</f>
        <v>-2823.3020000000001</v>
      </c>
      <c r="E11" s="127">
        <f>'P&amp;L Input'!E8/1000</f>
        <v>-4750.0810000000001</v>
      </c>
      <c r="F11" s="127">
        <f>'P&amp;L Input'!F8/1000</f>
        <v>-7432.7039999999997</v>
      </c>
      <c r="G11" s="127">
        <f>-('Revenue automotive'!G11-'GP automotive'!G11)</f>
        <v>-4862.5469999999996</v>
      </c>
      <c r="H11" s="127">
        <f t="shared" ref="H11:N11" si="0">SUM(H5:H10)</f>
        <v>-7778.6807452479779</v>
      </c>
      <c r="I11" s="127">
        <f>-('Revenue automotive'!I11-'GP automotive'!I11)</f>
        <v>-11525.019745247979</v>
      </c>
      <c r="J11" s="127">
        <f t="shared" si="0"/>
        <v>-16903.783036355555</v>
      </c>
      <c r="K11" s="127">
        <f t="shared" si="0"/>
        <v>-32023.884633577272</v>
      </c>
      <c r="L11" s="127">
        <f t="shared" si="0"/>
        <v>-42974.057039443534</v>
      </c>
      <c r="M11" s="127">
        <f t="shared" si="0"/>
        <v>-55973.655395799025</v>
      </c>
      <c r="N11" s="127">
        <f t="shared" si="0"/>
        <v>-60032.702535845514</v>
      </c>
      <c r="O11" s="127">
        <f t="shared" ref="O11:S11" si="1">SUM(O5:O10)</f>
        <v>-64439.101470724068</v>
      </c>
      <c r="P11" s="127">
        <f t="shared" si="1"/>
        <v>-66809.552265241728</v>
      </c>
      <c r="Q11" s="127">
        <f t="shared" si="1"/>
        <v>-69281.495513904898</v>
      </c>
      <c r="R11" s="127">
        <f t="shared" si="1"/>
        <v>-70667.125424183003</v>
      </c>
      <c r="S11" s="127">
        <f t="shared" si="1"/>
        <v>-72080.467932666652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D890-D3C0-4441-923D-941A92CB4AEE}">
  <dimension ref="A1:S9"/>
  <sheetViews>
    <sheetView workbookViewId="0">
      <selection activeCell="E32" sqref="E32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hidden="1" customWidth="1" outlineLevel="1"/>
    <col min="9" max="9" width="10.33203125" style="8" bestFit="1" customWidth="1" collapsed="1"/>
    <col min="10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306</v>
      </c>
    </row>
    <row r="2" spans="1:19" ht="15.6" x14ac:dyDescent="0.25">
      <c r="A2" s="1"/>
      <c r="B2" s="2"/>
    </row>
    <row r="3" spans="1:19" ht="24" x14ac:dyDescent="0.25">
      <c r="A3" s="1"/>
      <c r="B3" s="36" t="s">
        <v>172</v>
      </c>
      <c r="C3" s="6" t="s">
        <v>45</v>
      </c>
      <c r="D3" s="6" t="s">
        <v>46</v>
      </c>
      <c r="E3" s="6" t="s">
        <v>47</v>
      </c>
      <c r="F3" s="6" t="s">
        <v>165</v>
      </c>
      <c r="G3" s="6"/>
      <c r="H3" s="98"/>
      <c r="I3" s="98" t="s">
        <v>183</v>
      </c>
      <c r="J3" s="98" t="s">
        <v>185</v>
      </c>
      <c r="K3" s="98" t="s">
        <v>186</v>
      </c>
      <c r="L3" s="98" t="s">
        <v>187</v>
      </c>
      <c r="M3" s="98" t="s">
        <v>188</v>
      </c>
      <c r="N3" s="98" t="s">
        <v>189</v>
      </c>
      <c r="O3" s="98" t="s">
        <v>269</v>
      </c>
      <c r="P3" s="98" t="s">
        <v>270</v>
      </c>
      <c r="Q3" s="98" t="s">
        <v>271</v>
      </c>
      <c r="R3" s="98" t="s">
        <v>272</v>
      </c>
      <c r="S3" s="98" t="s">
        <v>273</v>
      </c>
    </row>
    <row r="4" spans="1:19" x14ac:dyDescent="0.25">
      <c r="B4" s="8" t="s">
        <v>307</v>
      </c>
      <c r="C4" s="89">
        <f>'Revenue automotive'!C11</f>
        <v>3007.0120000000002</v>
      </c>
      <c r="D4" s="89">
        <f>'Revenue automotive'!D11</f>
        <v>3740.973</v>
      </c>
      <c r="E4" s="89">
        <f>'Revenue automotive'!E11</f>
        <v>6350.7659999999996</v>
      </c>
      <c r="F4" s="166">
        <f>'Revenue automotive'!F11</f>
        <v>9641.2999999999993</v>
      </c>
      <c r="G4" s="166"/>
      <c r="H4" s="90"/>
      <c r="I4" s="90">
        <f>'Revenue automotive'!I11</f>
        <v>14236.04</v>
      </c>
      <c r="J4" s="90">
        <f>'Revenue automotive'!J11</f>
        <v>19998.95</v>
      </c>
      <c r="K4" s="90">
        <f>'Revenue automotive'!K11</f>
        <v>38090.130952380954</v>
      </c>
      <c r="L4" s="90">
        <f>'Revenue automotive'!L11</f>
        <v>51425.813083900233</v>
      </c>
      <c r="M4" s="90">
        <f>'Revenue automotive'!M11</f>
        <v>67263.070334240372</v>
      </c>
      <c r="N4" s="90">
        <f>'Revenue automotive'!N11</f>
        <v>72174.618855664419</v>
      </c>
      <c r="O4" s="90">
        <f>'Revenue automotive'!O11</f>
        <v>77509.315378990868</v>
      </c>
      <c r="P4" s="90">
        <f>'Revenue automotive'!P11</f>
        <v>80389.920968883598</v>
      </c>
      <c r="Q4" s="90">
        <f>'Revenue automotive'!Q11</f>
        <v>83394.659634689859</v>
      </c>
      <c r="R4" s="90">
        <f>'Revenue automotive'!R11</f>
        <v>85062.552827383639</v>
      </c>
      <c r="S4" s="90">
        <f>'Revenue automotive'!S11</f>
        <v>86763.803883931323</v>
      </c>
    </row>
    <row r="5" spans="1:19" x14ac:dyDescent="0.25">
      <c r="B5" s="8" t="s">
        <v>308</v>
      </c>
      <c r="C5" s="89">
        <f>'GP automotive'!C11</f>
        <v>861.26300000000003</v>
      </c>
      <c r="D5" s="89">
        <f>'GP automotive'!D11</f>
        <v>917.67100000000005</v>
      </c>
      <c r="E5" s="89">
        <f>'GP automotive'!E11</f>
        <v>1600.6849999999999</v>
      </c>
      <c r="F5" s="166">
        <f>'GP automotive'!F11</f>
        <v>2208.596</v>
      </c>
      <c r="G5" s="166"/>
      <c r="H5" s="90"/>
      <c r="I5" s="90">
        <f>'GP automotive'!I11</f>
        <v>2711.0202547520225</v>
      </c>
      <c r="J5" s="90">
        <f>'GP automotive'!J11</f>
        <v>3095.1669636444458</v>
      </c>
      <c r="K5" s="90">
        <f>'GP automotive'!K11</f>
        <v>6066.2463188036818</v>
      </c>
      <c r="L5" s="90">
        <f>'GP automotive'!L11</f>
        <v>8451.7560444566952</v>
      </c>
      <c r="M5" s="90">
        <f>'GP automotive'!M11</f>
        <v>11289.414938441347</v>
      </c>
      <c r="N5" s="90">
        <f>'GP automotive'!N11</f>
        <v>12141.916319818894</v>
      </c>
      <c r="O5" s="90">
        <f>'GP automotive'!O11</f>
        <v>13070.213908266798</v>
      </c>
      <c r="P5" s="90">
        <f>'GP automotive'!P11</f>
        <v>13580.36870364188</v>
      </c>
      <c r="Q5" s="90">
        <f>'GP automotive'!Q11</f>
        <v>14113.164120784952</v>
      </c>
      <c r="R5" s="90">
        <f>'GP automotive'!R11</f>
        <v>14395.427403200651</v>
      </c>
      <c r="S5" s="90">
        <f>'GP automotive'!S11</f>
        <v>14683.335951264664</v>
      </c>
    </row>
    <row r="6" spans="1:19" x14ac:dyDescent="0.25">
      <c r="B6" s="8" t="s">
        <v>218</v>
      </c>
      <c r="C6" s="215">
        <f>C5/C4</f>
        <v>0.28641821183287597</v>
      </c>
      <c r="D6" s="215">
        <f>D5/D4</f>
        <v>0.24530275946926108</v>
      </c>
      <c r="E6" s="215">
        <f>E5/E4</f>
        <v>0.25204597366679865</v>
      </c>
      <c r="F6" s="215">
        <f>F5/F4</f>
        <v>0.2290765768101812</v>
      </c>
      <c r="G6" s="215"/>
      <c r="H6" s="215"/>
      <c r="I6" s="222">
        <f>I5/I4</f>
        <v>0.19043359352404338</v>
      </c>
      <c r="J6" s="222">
        <f t="shared" ref="J6:S6" si="0">J5/J4</f>
        <v>0.15476647342207694</v>
      </c>
      <c r="K6" s="222">
        <f t="shared" si="0"/>
        <v>0.15926031670480487</v>
      </c>
      <c r="L6" s="222">
        <f t="shared" si="0"/>
        <v>0.16434851561156294</v>
      </c>
      <c r="M6" s="222">
        <f t="shared" si="0"/>
        <v>0.16783972070175412</v>
      </c>
      <c r="N6" s="222">
        <f t="shared" si="0"/>
        <v>0.16822972552304613</v>
      </c>
      <c r="O6" s="222">
        <f t="shared" si="0"/>
        <v>0.16862765261644305</v>
      </c>
      <c r="P6" s="222">
        <f t="shared" si="0"/>
        <v>0.1689312359057849</v>
      </c>
      <c r="Q6" s="222">
        <f t="shared" si="0"/>
        <v>0.16923342792701163</v>
      </c>
      <c r="R6" s="222">
        <f t="shared" si="0"/>
        <v>0.16923342792701165</v>
      </c>
      <c r="S6" s="222">
        <f t="shared" si="0"/>
        <v>0.16923342792701163</v>
      </c>
    </row>
    <row r="7" spans="1:19" x14ac:dyDescent="0.25">
      <c r="M7" s="34"/>
      <c r="N7" s="34"/>
      <c r="O7" s="34"/>
      <c r="P7" s="34"/>
      <c r="Q7" s="34"/>
      <c r="R7" s="34"/>
      <c r="S7" s="34"/>
    </row>
    <row r="8" spans="1:19" x14ac:dyDescent="0.25">
      <c r="M8" s="34"/>
      <c r="N8" s="34"/>
      <c r="O8" s="34"/>
      <c r="P8" s="34"/>
      <c r="Q8" s="34"/>
      <c r="R8" s="34"/>
      <c r="S8" s="34"/>
    </row>
    <row r="9" spans="1:19" x14ac:dyDescent="0.25">
      <c r="M9" s="34"/>
      <c r="N9" s="34"/>
      <c r="O9" s="34"/>
      <c r="P9" s="34"/>
      <c r="Q9" s="34"/>
      <c r="R9" s="34"/>
      <c r="S9" s="34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1823-F65C-4BEF-B0CC-05B4DF645263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245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B440-01FF-4868-AD9E-903A12E92A06}">
  <dimension ref="A1:S22"/>
  <sheetViews>
    <sheetView workbookViewId="0">
      <selection activeCell="J12" sqref="J12"/>
    </sheetView>
  </sheetViews>
  <sheetFormatPr defaultColWidth="9.109375" defaultRowHeight="11.4" outlineLevelCol="1" x14ac:dyDescent="0.25"/>
  <cols>
    <col min="1" max="1" width="2" style="8" customWidth="1"/>
    <col min="2" max="2" width="28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15.6" x14ac:dyDescent="0.25">
      <c r="A1" s="1"/>
      <c r="B1" s="2" t="s">
        <v>252</v>
      </c>
    </row>
    <row r="2" spans="1:19" ht="15.6" x14ac:dyDescent="0.25">
      <c r="A2" s="1"/>
      <c r="B2" s="2"/>
    </row>
    <row r="3" spans="1:19" ht="12" x14ac:dyDescent="0.25">
      <c r="C3" s="224" t="s">
        <v>344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</row>
    <row r="4" spans="1:19" ht="24" x14ac:dyDescent="0.25">
      <c r="B4" s="5" t="s">
        <v>260</v>
      </c>
      <c r="C4" s="6" t="s">
        <v>45</v>
      </c>
      <c r="D4" s="6" t="s">
        <v>46</v>
      </c>
      <c r="E4" s="6" t="s">
        <v>47</v>
      </c>
      <c r="F4" s="6" t="s">
        <v>165</v>
      </c>
      <c r="G4" s="6" t="s">
        <v>173</v>
      </c>
      <c r="H4" s="98" t="s">
        <v>184</v>
      </c>
      <c r="I4" s="98" t="s">
        <v>183</v>
      </c>
      <c r="J4" s="98" t="s">
        <v>185</v>
      </c>
      <c r="K4" s="98" t="s">
        <v>186</v>
      </c>
      <c r="L4" s="98" t="s">
        <v>187</v>
      </c>
      <c r="M4" s="98" t="s">
        <v>188</v>
      </c>
      <c r="N4" s="98" t="s">
        <v>189</v>
      </c>
      <c r="O4" s="98" t="s">
        <v>269</v>
      </c>
      <c r="P4" s="98" t="s">
        <v>270</v>
      </c>
      <c r="Q4" s="98" t="s">
        <v>271</v>
      </c>
      <c r="R4" s="98" t="s">
        <v>272</v>
      </c>
      <c r="S4" s="98" t="s">
        <v>273</v>
      </c>
    </row>
    <row r="5" spans="1:19" x14ac:dyDescent="0.25">
      <c r="B5" s="8" t="s">
        <v>3</v>
      </c>
      <c r="C5" s="89">
        <f>'P&amp;L Input'!C5/1000</f>
        <v>4.2080000000000002</v>
      </c>
      <c r="D5" s="89">
        <f>'P&amp;L Input'!D5/1000</f>
        <v>14.477</v>
      </c>
      <c r="E5" s="89">
        <f>'P&amp;L Input'!E5/1000</f>
        <v>181.39400000000001</v>
      </c>
      <c r="F5" s="89">
        <f>'P&amp;L Input'!F5/1000</f>
        <v>1116.2660000000001</v>
      </c>
      <c r="G5" s="89">
        <f>'P&amp;L Input'!G5/1000</f>
        <v>784.43</v>
      </c>
      <c r="H5" s="90">
        <f>G5</f>
        <v>784.43</v>
      </c>
      <c r="I5" s="90">
        <f>G5+H5</f>
        <v>1568.86</v>
      </c>
      <c r="J5" s="74" t="s">
        <v>65</v>
      </c>
      <c r="K5" s="74" t="s">
        <v>65</v>
      </c>
      <c r="L5" s="74" t="s">
        <v>65</v>
      </c>
      <c r="M5" s="74" t="s">
        <v>65</v>
      </c>
      <c r="N5" s="74" t="s">
        <v>65</v>
      </c>
      <c r="O5" s="74" t="s">
        <v>65</v>
      </c>
      <c r="P5" s="74" t="s">
        <v>65</v>
      </c>
      <c r="Q5" s="74" t="s">
        <v>65</v>
      </c>
      <c r="R5" s="74" t="s">
        <v>65</v>
      </c>
      <c r="S5" s="74" t="s">
        <v>65</v>
      </c>
    </row>
    <row r="6" spans="1:19" x14ac:dyDescent="0.25">
      <c r="B6" s="8" t="s">
        <v>2</v>
      </c>
      <c r="C6" s="89">
        <f>'P&amp;L Input'!C6/1000</f>
        <v>187.136</v>
      </c>
      <c r="D6" s="89">
        <f>'P&amp;L Input'!D6/1000</f>
        <v>290.57499999999999</v>
      </c>
      <c r="E6" s="89">
        <f>'P&amp;L Input'!E6/1000</f>
        <v>467.97199999999998</v>
      </c>
      <c r="F6" s="89">
        <f>'P&amp;L Input'!F6/1000</f>
        <v>1001.1849999999999</v>
      </c>
      <c r="G6" s="89">
        <f>'P&amp;L Input'!G6/1000</f>
        <v>533.55399999999997</v>
      </c>
      <c r="H6" s="90">
        <f>G6</f>
        <v>533.55399999999997</v>
      </c>
      <c r="I6" s="90">
        <f>G6+H6</f>
        <v>1067.1079999999999</v>
      </c>
      <c r="J6" s="74" t="s">
        <v>65</v>
      </c>
      <c r="K6" s="74" t="s">
        <v>65</v>
      </c>
      <c r="L6" s="74" t="s">
        <v>65</v>
      </c>
      <c r="M6" s="74" t="s">
        <v>65</v>
      </c>
      <c r="N6" s="74" t="s">
        <v>65</v>
      </c>
      <c r="O6" s="74" t="s">
        <v>65</v>
      </c>
      <c r="P6" s="74" t="s">
        <v>65</v>
      </c>
      <c r="Q6" s="74" t="s">
        <v>65</v>
      </c>
      <c r="R6" s="74" t="s">
        <v>65</v>
      </c>
      <c r="S6" s="74" t="s">
        <v>65</v>
      </c>
    </row>
    <row r="7" spans="1:19" ht="12" x14ac:dyDescent="0.25">
      <c r="B7" s="9" t="s">
        <v>214</v>
      </c>
      <c r="C7" s="106">
        <f>SUM(C5:C6)</f>
        <v>191.34399999999999</v>
      </c>
      <c r="D7" s="106">
        <f>SUM(D5:D6)</f>
        <v>305.05199999999996</v>
      </c>
      <c r="E7" s="106">
        <f>SUM(E5:E6)</f>
        <v>649.36599999999999</v>
      </c>
      <c r="F7" s="106">
        <f>SUM(F5:F6)</f>
        <v>2117.451</v>
      </c>
      <c r="G7" s="106">
        <f>SUM(G5:G6)</f>
        <v>1317.9839999999999</v>
      </c>
      <c r="H7" s="107">
        <f t="shared" ref="H7:I7" si="0">SUM(H5:H6)</f>
        <v>1317.9839999999999</v>
      </c>
      <c r="I7" s="107">
        <f t="shared" si="0"/>
        <v>2635.9679999999998</v>
      </c>
      <c r="J7" s="107">
        <f>I7*(1+J12)</f>
        <v>3057.7228799999998</v>
      </c>
      <c r="K7" s="107">
        <f t="shared" ref="K7:N7" si="1">J7*(1+K12)</f>
        <v>3424.6496256</v>
      </c>
      <c r="L7" s="107">
        <f t="shared" si="1"/>
        <v>3698.6215956480005</v>
      </c>
      <c r="M7" s="107">
        <f t="shared" si="1"/>
        <v>3920.5388913868806</v>
      </c>
      <c r="N7" s="107">
        <f t="shared" si="1"/>
        <v>4155.7712248700936</v>
      </c>
      <c r="O7" s="107">
        <f t="shared" ref="O7" si="2">N7*(1+O12)</f>
        <v>4405.1174983622996</v>
      </c>
      <c r="P7" s="107">
        <f t="shared" ref="P7" si="3">O7*(1+P12)</f>
        <v>4669.4245482640381</v>
      </c>
      <c r="Q7" s="107">
        <f t="shared" ref="Q7" si="4">P7*(1+Q12)</f>
        <v>4949.590021159881</v>
      </c>
      <c r="R7" s="107">
        <f t="shared" ref="R7" si="5">Q7*(1+R12)</f>
        <v>5246.565422429474</v>
      </c>
      <c r="S7" s="107">
        <f t="shared" ref="S7" si="6">R7*(1+S12)</f>
        <v>5561.3593477752429</v>
      </c>
    </row>
    <row r="8" spans="1:19" x14ac:dyDescent="0.25">
      <c r="B8" s="8" t="s">
        <v>220</v>
      </c>
      <c r="C8" s="89">
        <v>255.03100000000001</v>
      </c>
      <c r="D8" s="89">
        <v>399.61900000000003</v>
      </c>
      <c r="E8" s="89">
        <v>730.34199999999998</v>
      </c>
      <c r="F8" s="89">
        <v>0</v>
      </c>
      <c r="G8" s="89">
        <v>0</v>
      </c>
      <c r="H8" s="90">
        <v>0</v>
      </c>
      <c r="I8" s="90">
        <f>G8+H8</f>
        <v>0</v>
      </c>
      <c r="J8" s="74" t="s">
        <v>65</v>
      </c>
      <c r="K8" s="74" t="s">
        <v>65</v>
      </c>
      <c r="L8" s="74" t="s">
        <v>65</v>
      </c>
      <c r="M8" s="74" t="s">
        <v>65</v>
      </c>
      <c r="N8" s="74" t="s">
        <v>65</v>
      </c>
      <c r="O8" s="74" t="s">
        <v>65</v>
      </c>
      <c r="P8" s="74" t="s">
        <v>65</v>
      </c>
      <c r="Q8" s="74" t="s">
        <v>65</v>
      </c>
      <c r="R8" s="74" t="s">
        <v>65</v>
      </c>
      <c r="S8" s="74" t="s">
        <v>65</v>
      </c>
    </row>
    <row r="9" spans="1:19" ht="12.6" thickBot="1" x14ac:dyDescent="0.3">
      <c r="B9" s="116" t="s">
        <v>221</v>
      </c>
      <c r="C9" s="127">
        <f>SUM(C7:C8)</f>
        <v>446.375</v>
      </c>
      <c r="D9" s="127">
        <f t="shared" ref="D9:G9" si="7">SUM(D7:D8)</f>
        <v>704.67100000000005</v>
      </c>
      <c r="E9" s="127">
        <f t="shared" si="7"/>
        <v>1379.7080000000001</v>
      </c>
      <c r="F9" s="127">
        <f t="shared" si="7"/>
        <v>2117.451</v>
      </c>
      <c r="G9" s="127">
        <f t="shared" si="7"/>
        <v>1317.9839999999999</v>
      </c>
      <c r="H9" s="127">
        <f t="shared" ref="H9" si="8">SUM(H7:H8)</f>
        <v>1317.9839999999999</v>
      </c>
      <c r="I9" s="127">
        <f t="shared" ref="I9" si="9">SUM(I7:I8)</f>
        <v>2635.9679999999998</v>
      </c>
      <c r="J9" s="127">
        <f t="shared" ref="J9" si="10">SUM(J7:J8)</f>
        <v>3057.7228799999998</v>
      </c>
      <c r="K9" s="127">
        <f t="shared" ref="K9" si="11">SUM(K7:K8)</f>
        <v>3424.6496256</v>
      </c>
      <c r="L9" s="127">
        <f t="shared" ref="L9" si="12">SUM(L7:L8)</f>
        <v>3698.6215956480005</v>
      </c>
      <c r="M9" s="127">
        <f t="shared" ref="M9" si="13">SUM(M7:M8)</f>
        <v>3920.5388913868806</v>
      </c>
      <c r="N9" s="127">
        <f t="shared" ref="N9:S9" si="14">SUM(N7:N8)</f>
        <v>4155.7712248700936</v>
      </c>
      <c r="O9" s="127">
        <f t="shared" si="14"/>
        <v>4405.1174983622996</v>
      </c>
      <c r="P9" s="127">
        <f t="shared" si="14"/>
        <v>4669.4245482640381</v>
      </c>
      <c r="Q9" s="127">
        <f t="shared" si="14"/>
        <v>4949.590021159881</v>
      </c>
      <c r="R9" s="127">
        <f t="shared" si="14"/>
        <v>5246.565422429474</v>
      </c>
      <c r="S9" s="127">
        <f t="shared" si="14"/>
        <v>5561.3593477752429</v>
      </c>
    </row>
    <row r="10" spans="1:19" ht="3" customHeight="1" x14ac:dyDescent="0.25"/>
    <row r="11" spans="1:19" x14ac:dyDescent="0.25">
      <c r="B11" s="91" t="s">
        <v>75</v>
      </c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</row>
    <row r="12" spans="1:19" x14ac:dyDescent="0.25">
      <c r="B12" s="92" t="s">
        <v>214</v>
      </c>
      <c r="C12" s="95"/>
      <c r="D12" s="95"/>
      <c r="E12" s="95"/>
      <c r="F12" s="95"/>
      <c r="G12" s="92"/>
      <c r="H12" s="92"/>
      <c r="I12" s="94"/>
      <c r="J12" s="94">
        <f>CHOOSE(Drivers!$C$3,'Revenue Energy &amp; Other'!J16,'Revenue Energy &amp; Other'!J19,'Revenue Energy &amp; Other'!J22)</f>
        <v>0.16</v>
      </c>
      <c r="K12" s="94">
        <f>CHOOSE(Drivers!$C$3,'Revenue Energy &amp; Other'!K16,'Revenue Energy &amp; Other'!K19,'Revenue Energy &amp; Other'!K22)</f>
        <v>0.12</v>
      </c>
      <c r="L12" s="94">
        <f>CHOOSE(Drivers!$C$3,'Revenue Energy &amp; Other'!L16,'Revenue Energy &amp; Other'!L19,'Revenue Energy &amp; Other'!L22)</f>
        <v>0.08</v>
      </c>
      <c r="M12" s="94">
        <f>CHOOSE(Drivers!$C$3,'Revenue Energy &amp; Other'!M16,'Revenue Energy &amp; Other'!M19,'Revenue Energy &amp; Other'!M22)</f>
        <v>0.06</v>
      </c>
      <c r="N12" s="94">
        <f>CHOOSE(Drivers!$C$3,'Revenue Energy &amp; Other'!N16,'Revenue Energy &amp; Other'!N19,'Revenue Energy &amp; Other'!N22)</f>
        <v>0.06</v>
      </c>
      <c r="O12" s="94">
        <f>CHOOSE(Drivers!$C$3,'Revenue Energy &amp; Other'!O16,'Revenue Energy &amp; Other'!O19,'Revenue Energy &amp; Other'!O22)</f>
        <v>0.06</v>
      </c>
      <c r="P12" s="94">
        <f>CHOOSE(Drivers!$C$3,'Revenue Energy &amp; Other'!P16,'Revenue Energy &amp; Other'!P19,'Revenue Energy &amp; Other'!P22)</f>
        <v>0.06</v>
      </c>
      <c r="Q12" s="94">
        <f>CHOOSE(Drivers!$C$3,'Revenue Energy &amp; Other'!Q16,'Revenue Energy &amp; Other'!Q19,'Revenue Energy &amp; Other'!Q22)</f>
        <v>0.06</v>
      </c>
      <c r="R12" s="94">
        <f>CHOOSE(Drivers!$C$3,'Revenue Energy &amp; Other'!R16,'Revenue Energy &amp; Other'!R19,'Revenue Energy &amp; Other'!R22)</f>
        <v>0.06</v>
      </c>
      <c r="S12" s="94">
        <f>CHOOSE(Drivers!$C$3,'Revenue Energy &amp; Other'!S16,'Revenue Energy &amp; Other'!S19,'Revenue Energy &amp; Other'!S22)</f>
        <v>0.06</v>
      </c>
    </row>
    <row r="13" spans="1:19" x14ac:dyDescent="0.25">
      <c r="B13" s="92"/>
      <c r="C13" s="95"/>
      <c r="D13" s="95"/>
      <c r="E13" s="95"/>
      <c r="F13" s="95"/>
      <c r="G13" s="92"/>
      <c r="H13" s="92"/>
      <c r="I13" s="95"/>
      <c r="J13" s="95"/>
      <c r="K13" s="93"/>
      <c r="L13" s="93"/>
      <c r="M13" s="93"/>
      <c r="N13" s="93"/>
      <c r="O13" s="93"/>
      <c r="P13" s="93"/>
      <c r="Q13" s="93"/>
      <c r="R13" s="93"/>
      <c r="S13" s="93"/>
    </row>
    <row r="14" spans="1:19" x14ac:dyDescent="0.25">
      <c r="B14" s="108" t="s">
        <v>215</v>
      </c>
      <c r="C14" s="95"/>
      <c r="D14" s="95"/>
      <c r="E14" s="95"/>
      <c r="F14" s="95"/>
      <c r="G14" s="92"/>
      <c r="H14" s="92"/>
      <c r="I14" s="95"/>
      <c r="J14" s="95"/>
      <c r="K14" s="93"/>
      <c r="L14" s="93"/>
      <c r="M14" s="93"/>
      <c r="N14" s="93"/>
      <c r="O14" s="93"/>
      <c r="P14" s="93"/>
      <c r="Q14" s="93"/>
      <c r="R14" s="93"/>
      <c r="S14" s="93"/>
    </row>
    <row r="15" spans="1:19" x14ac:dyDescent="0.25">
      <c r="B15" s="91" t="s">
        <v>71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</row>
    <row r="16" spans="1:19" x14ac:dyDescent="0.25">
      <c r="B16" s="92" t="s">
        <v>214</v>
      </c>
      <c r="C16" s="95"/>
      <c r="D16" s="79"/>
      <c r="E16" s="79"/>
      <c r="F16" s="79"/>
      <c r="G16" s="92"/>
      <c r="H16" s="92"/>
      <c r="I16" s="79"/>
      <c r="J16" s="79">
        <f t="shared" ref="J16:N16" si="15">J19+2%</f>
        <v>0.18</v>
      </c>
      <c r="K16" s="79">
        <f t="shared" si="15"/>
        <v>0.13999999999999999</v>
      </c>
      <c r="L16" s="79">
        <f t="shared" si="15"/>
        <v>0.1</v>
      </c>
      <c r="M16" s="79">
        <f t="shared" si="15"/>
        <v>0.08</v>
      </c>
      <c r="N16" s="79">
        <f t="shared" si="15"/>
        <v>0.08</v>
      </c>
      <c r="O16" s="79">
        <f t="shared" ref="O16:S16" si="16">O19+2%</f>
        <v>0.08</v>
      </c>
      <c r="P16" s="79">
        <f t="shared" si="16"/>
        <v>0.08</v>
      </c>
      <c r="Q16" s="79">
        <f t="shared" si="16"/>
        <v>0.08</v>
      </c>
      <c r="R16" s="79">
        <f t="shared" si="16"/>
        <v>0.08</v>
      </c>
      <c r="S16" s="79">
        <f t="shared" si="16"/>
        <v>0.08</v>
      </c>
    </row>
    <row r="17" spans="2:19" x14ac:dyDescent="0.25">
      <c r="B17" s="92"/>
      <c r="C17" s="95"/>
      <c r="D17" s="95"/>
      <c r="E17" s="95"/>
      <c r="F17" s="95"/>
      <c r="G17" s="92"/>
      <c r="H17" s="92"/>
      <c r="I17" s="95"/>
      <c r="J17" s="95"/>
      <c r="K17" s="93"/>
      <c r="L17" s="93"/>
      <c r="M17" s="93"/>
      <c r="N17" s="93"/>
      <c r="O17" s="93"/>
      <c r="P17" s="93"/>
      <c r="Q17" s="93"/>
      <c r="R17" s="93"/>
      <c r="S17" s="93"/>
    </row>
    <row r="18" spans="2:19" x14ac:dyDescent="0.25">
      <c r="B18" s="91" t="s">
        <v>72</v>
      </c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</row>
    <row r="19" spans="2:19" x14ac:dyDescent="0.25">
      <c r="B19" s="92" t="s">
        <v>214</v>
      </c>
      <c r="C19" s="95"/>
      <c r="D19" s="79">
        <f>D9/C9-1</f>
        <v>0.57865247829739586</v>
      </c>
      <c r="E19" s="79">
        <f>E9/D9-1</f>
        <v>0.9579463324019295</v>
      </c>
      <c r="F19" s="79">
        <f>F9/E9-1</f>
        <v>0.53470951824588964</v>
      </c>
      <c r="G19" s="92"/>
      <c r="H19" s="92"/>
      <c r="I19" s="79"/>
      <c r="J19" s="94">
        <v>0.16</v>
      </c>
      <c r="K19" s="94">
        <v>0.12</v>
      </c>
      <c r="L19" s="94">
        <v>0.08</v>
      </c>
      <c r="M19" s="94">
        <v>0.06</v>
      </c>
      <c r="N19" s="94">
        <v>0.06</v>
      </c>
      <c r="O19" s="94">
        <v>0.06</v>
      </c>
      <c r="P19" s="94">
        <v>0.06</v>
      </c>
      <c r="Q19" s="94">
        <v>0.06</v>
      </c>
      <c r="R19" s="94">
        <v>0.06</v>
      </c>
      <c r="S19" s="94">
        <v>0.06</v>
      </c>
    </row>
    <row r="20" spans="2:19" x14ac:dyDescent="0.25">
      <c r="B20" s="92"/>
      <c r="C20" s="95"/>
      <c r="D20" s="95"/>
      <c r="E20" s="95"/>
      <c r="F20" s="95"/>
      <c r="G20" s="92"/>
      <c r="H20" s="92"/>
      <c r="I20" s="95"/>
      <c r="J20" s="95"/>
      <c r="K20" s="93"/>
      <c r="L20" s="93"/>
      <c r="M20" s="93"/>
      <c r="N20" s="93"/>
      <c r="O20" s="93"/>
      <c r="P20" s="93"/>
      <c r="Q20" s="93"/>
      <c r="R20" s="93"/>
      <c r="S20" s="93"/>
    </row>
    <row r="21" spans="2:19" x14ac:dyDescent="0.25">
      <c r="B21" s="91" t="s">
        <v>73</v>
      </c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</row>
    <row r="22" spans="2:19" x14ac:dyDescent="0.25">
      <c r="B22" s="92" t="s">
        <v>214</v>
      </c>
      <c r="C22" s="95"/>
      <c r="D22" s="79"/>
      <c r="E22" s="79"/>
      <c r="F22" s="79"/>
      <c r="G22" s="92"/>
      <c r="H22" s="92"/>
      <c r="I22" s="79"/>
      <c r="J22" s="79">
        <f t="shared" ref="J22:N22" si="17">J19-2%</f>
        <v>0.14000000000000001</v>
      </c>
      <c r="K22" s="79">
        <f t="shared" si="17"/>
        <v>9.9999999999999992E-2</v>
      </c>
      <c r="L22" s="79">
        <f t="shared" si="17"/>
        <v>0.06</v>
      </c>
      <c r="M22" s="79">
        <f t="shared" si="17"/>
        <v>3.9999999999999994E-2</v>
      </c>
      <c r="N22" s="79">
        <f t="shared" si="17"/>
        <v>3.9999999999999994E-2</v>
      </c>
      <c r="O22" s="79">
        <f t="shared" ref="O22:S22" si="18">O19-2%</f>
        <v>3.9999999999999994E-2</v>
      </c>
      <c r="P22" s="79">
        <f t="shared" si="18"/>
        <v>3.9999999999999994E-2</v>
      </c>
      <c r="Q22" s="79">
        <f t="shared" si="18"/>
        <v>3.9999999999999994E-2</v>
      </c>
      <c r="R22" s="79">
        <f t="shared" si="18"/>
        <v>3.9999999999999994E-2</v>
      </c>
      <c r="S22" s="79">
        <f t="shared" si="18"/>
        <v>3.9999999999999994E-2</v>
      </c>
    </row>
  </sheetData>
  <mergeCells count="1">
    <mergeCell ref="C3:S3"/>
  </mergeCells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FE3F-18C5-43C9-BAAD-7795D096AA55}">
  <dimension ref="A1:S22"/>
  <sheetViews>
    <sheetView workbookViewId="0">
      <selection activeCell="I9" sqref="I9"/>
    </sheetView>
  </sheetViews>
  <sheetFormatPr defaultColWidth="9.109375" defaultRowHeight="11.4" outlineLevelCol="1" x14ac:dyDescent="0.25"/>
  <cols>
    <col min="1" max="1" width="2" style="8" customWidth="1"/>
    <col min="2" max="2" width="28.88671875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24" x14ac:dyDescent="0.25">
      <c r="A1" s="1"/>
      <c r="B1" s="2" t="s">
        <v>216</v>
      </c>
      <c r="O1" s="98" t="s">
        <v>270</v>
      </c>
    </row>
    <row r="2" spans="1:19" ht="15.6" x14ac:dyDescent="0.25">
      <c r="A2" s="1"/>
      <c r="B2" s="2"/>
    </row>
    <row r="3" spans="1:19" ht="12" x14ac:dyDescent="0.25">
      <c r="C3" s="224" t="s">
        <v>219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</row>
    <row r="4" spans="1:19" ht="24" x14ac:dyDescent="0.25">
      <c r="B4" s="5" t="s">
        <v>260</v>
      </c>
      <c r="C4" s="6" t="s">
        <v>45</v>
      </c>
      <c r="D4" s="6" t="s">
        <v>46</v>
      </c>
      <c r="E4" s="6" t="s">
        <v>47</v>
      </c>
      <c r="F4" s="6" t="s">
        <v>165</v>
      </c>
      <c r="G4" s="6" t="s">
        <v>173</v>
      </c>
      <c r="H4" s="98" t="s">
        <v>184</v>
      </c>
      <c r="I4" s="98" t="s">
        <v>183</v>
      </c>
      <c r="J4" s="98" t="s">
        <v>185</v>
      </c>
      <c r="K4" s="98" t="s">
        <v>186</v>
      </c>
      <c r="L4" s="98" t="s">
        <v>187</v>
      </c>
      <c r="M4" s="98" t="s">
        <v>188</v>
      </c>
      <c r="N4" s="98" t="s">
        <v>189</v>
      </c>
      <c r="O4" s="98" t="s">
        <v>269</v>
      </c>
      <c r="Q4" s="98" t="s">
        <v>271</v>
      </c>
      <c r="R4" s="98" t="s">
        <v>272</v>
      </c>
      <c r="S4" s="98" t="s">
        <v>273</v>
      </c>
    </row>
    <row r="5" spans="1:19" x14ac:dyDescent="0.25">
      <c r="B5" s="8" t="s">
        <v>3</v>
      </c>
      <c r="C5" s="14">
        <f>('P&amp;L Input'!C5+'P&amp;L Input'!C9)/1000</f>
        <v>0.20300000000000001</v>
      </c>
      <c r="D5" s="14">
        <f>('P&amp;L Input'!D5+'P&amp;L Input'!D9)/1000</f>
        <v>2.19</v>
      </c>
      <c r="E5" s="14">
        <f>('P&amp;L Input'!E5+'P&amp;L Input'!E9)/1000</f>
        <v>3.0619999999999998</v>
      </c>
      <c r="F5" s="14">
        <f>('P&amp;L Input'!F5+'P&amp;L Input'!F9)/1000</f>
        <v>241.72800000000001</v>
      </c>
      <c r="G5" s="73">
        <f>('P&amp;L Input'!G5+'P&amp;L Input'!G9)/1000</f>
        <v>78.793999999999997</v>
      </c>
      <c r="H5" s="74" t="s">
        <v>65</v>
      </c>
      <c r="I5" s="74" t="s">
        <v>65</v>
      </c>
      <c r="J5" s="74" t="s">
        <v>65</v>
      </c>
      <c r="K5" s="74" t="s">
        <v>65</v>
      </c>
      <c r="L5" s="74" t="s">
        <v>65</v>
      </c>
      <c r="M5" s="74" t="s">
        <v>65</v>
      </c>
      <c r="N5" s="74" t="s">
        <v>65</v>
      </c>
      <c r="O5" s="74" t="s">
        <v>65</v>
      </c>
      <c r="P5" s="74" t="s">
        <v>65</v>
      </c>
      <c r="Q5" s="74" t="s">
        <v>65</v>
      </c>
      <c r="R5" s="74" t="s">
        <v>65</v>
      </c>
      <c r="S5" s="74" t="s">
        <v>65</v>
      </c>
    </row>
    <row r="6" spans="1:19" x14ac:dyDescent="0.25">
      <c r="B6" s="8" t="s">
        <v>2</v>
      </c>
      <c r="C6" s="14">
        <f>('P&amp;L Input'!C6+'P&amp;L Input'!C10)/1000</f>
        <v>20.204999999999998</v>
      </c>
      <c r="D6" s="14">
        <f>('P&amp;L Input'!D6+'P&amp;L Input'!D10)/1000</f>
        <v>3.6419999999999999</v>
      </c>
      <c r="E6" s="14">
        <f>('P&amp;L Input'!E6+'P&amp;L Input'!E10)/1000</f>
        <v>-4.49</v>
      </c>
      <c r="F6" s="14">
        <f>('P&amp;L Input'!F6+'P&amp;L Input'!F10)/1000</f>
        <v>-227.83699999999999</v>
      </c>
      <c r="G6" s="89">
        <f>('P&amp;L Input'!G6+'P&amp;L Input'!G10)/1000</f>
        <v>-233.78899999999999</v>
      </c>
      <c r="H6" s="74" t="s">
        <v>65</v>
      </c>
      <c r="I6" s="74" t="s">
        <v>65</v>
      </c>
      <c r="J6" s="74" t="s">
        <v>65</v>
      </c>
      <c r="K6" s="74" t="s">
        <v>65</v>
      </c>
      <c r="L6" s="74" t="s">
        <v>65</v>
      </c>
      <c r="M6" s="74" t="s">
        <v>65</v>
      </c>
      <c r="N6" s="74" t="s">
        <v>65</v>
      </c>
      <c r="O6" s="74" t="s">
        <v>65</v>
      </c>
      <c r="P6" s="74" t="s">
        <v>65</v>
      </c>
      <c r="Q6" s="74" t="s">
        <v>65</v>
      </c>
      <c r="R6" s="74" t="s">
        <v>65</v>
      </c>
      <c r="S6" s="74" t="s">
        <v>65</v>
      </c>
    </row>
    <row r="7" spans="1:19" ht="12" x14ac:dyDescent="0.25">
      <c r="B7" s="9" t="s">
        <v>214</v>
      </c>
      <c r="C7" s="106">
        <f>SUM(C5:C6)</f>
        <v>20.407999999999998</v>
      </c>
      <c r="D7" s="106">
        <f t="shared" ref="D7:G7" si="0">SUM(D5:D6)</f>
        <v>5.8319999999999999</v>
      </c>
      <c r="E7" s="106">
        <f t="shared" si="0"/>
        <v>-1.4280000000000004</v>
      </c>
      <c r="F7" s="106">
        <f t="shared" si="0"/>
        <v>13.89100000000002</v>
      </c>
      <c r="G7" s="106">
        <f t="shared" si="0"/>
        <v>-154.995</v>
      </c>
      <c r="H7" s="76" t="s">
        <v>65</v>
      </c>
      <c r="I7" s="76" t="s">
        <v>65</v>
      </c>
      <c r="J7" s="76" t="s">
        <v>65</v>
      </c>
      <c r="K7" s="76" t="s">
        <v>65</v>
      </c>
      <c r="L7" s="76" t="s">
        <v>65</v>
      </c>
      <c r="M7" s="76" t="s">
        <v>65</v>
      </c>
      <c r="N7" s="76" t="s">
        <v>65</v>
      </c>
      <c r="O7" s="76" t="s">
        <v>65</v>
      </c>
      <c r="P7" s="76" t="s">
        <v>65</v>
      </c>
      <c r="Q7" s="76" t="s">
        <v>65</v>
      </c>
      <c r="R7" s="76" t="s">
        <v>65</v>
      </c>
      <c r="S7" s="76" t="s">
        <v>65</v>
      </c>
    </row>
    <row r="8" spans="1:19" x14ac:dyDescent="0.25">
      <c r="B8" s="8" t="s">
        <v>220</v>
      </c>
      <c r="C8" s="109">
        <f>(255031-176432)/1000</f>
        <v>78.599000000000004</v>
      </c>
      <c r="D8" s="89">
        <f>(399619-280791)/1000</f>
        <v>118.828</v>
      </c>
      <c r="E8" s="89">
        <f>(730342-478922)/1000</f>
        <v>251.42</v>
      </c>
      <c r="F8" s="89">
        <v>0</v>
      </c>
      <c r="G8" s="89">
        <v>0</v>
      </c>
      <c r="H8" s="74" t="s">
        <v>65</v>
      </c>
      <c r="I8" s="74" t="s">
        <v>65</v>
      </c>
      <c r="J8" s="74" t="s">
        <v>65</v>
      </c>
      <c r="K8" s="74" t="s">
        <v>65</v>
      </c>
      <c r="L8" s="74" t="s">
        <v>65</v>
      </c>
      <c r="M8" s="74" t="s">
        <v>65</v>
      </c>
      <c r="N8" s="74" t="s">
        <v>65</v>
      </c>
      <c r="O8" s="74" t="s">
        <v>65</v>
      </c>
      <c r="P8" s="74" t="s">
        <v>65</v>
      </c>
      <c r="Q8" s="74" t="s">
        <v>65</v>
      </c>
      <c r="R8" s="74" t="s">
        <v>65</v>
      </c>
      <c r="S8" s="74" t="s">
        <v>65</v>
      </c>
    </row>
    <row r="9" spans="1:19" ht="12.6" thickBot="1" x14ac:dyDescent="0.3">
      <c r="B9" s="116" t="s">
        <v>221</v>
      </c>
      <c r="C9" s="127">
        <f>SUM(C7:C8)</f>
        <v>99.007000000000005</v>
      </c>
      <c r="D9" s="127">
        <f>SUM(D7:D8)</f>
        <v>124.66</v>
      </c>
      <c r="E9" s="127">
        <f>SUM(E7:E8)</f>
        <v>249.99199999999999</v>
      </c>
      <c r="F9" s="127">
        <f>SUM(F7:F8)</f>
        <v>13.89100000000002</v>
      </c>
      <c r="G9" s="127">
        <f>SUM(G7:G8)</f>
        <v>-154.995</v>
      </c>
      <c r="H9" s="179" t="s">
        <v>65</v>
      </c>
      <c r="I9" s="127">
        <f>I12*'Revenue Energy &amp; Other'!I9</f>
        <v>386.47228733506643</v>
      </c>
      <c r="J9" s="127">
        <f>J12*'Revenue Energy &amp; Other'!J9</f>
        <v>448.30785330867701</v>
      </c>
      <c r="K9" s="127">
        <f>K12*'Revenue Energy &amp; Other'!K9</f>
        <v>502.10479570571829</v>
      </c>
      <c r="L9" s="127">
        <f>L12*'Revenue Energy &amp; Other'!L9</f>
        <v>542.27317936217582</v>
      </c>
      <c r="M9" s="127">
        <f>M12*'Revenue Energy &amp; Other'!M9</f>
        <v>574.80957012390638</v>
      </c>
      <c r="N9" s="127">
        <f>N12*'Revenue Energy &amp; Other'!N9</f>
        <v>609.29814433134084</v>
      </c>
      <c r="O9" s="127">
        <f>O12*'Revenue Energy &amp; Other'!O9</f>
        <v>645.85603299122135</v>
      </c>
      <c r="P9" s="127">
        <f>P12*'Revenue Energy &amp; Other'!P9</f>
        <v>684.60739497069471</v>
      </c>
      <c r="Q9" s="127">
        <f>Q12*'Revenue Energy &amp; Other'!Q9</f>
        <v>725.68383866893646</v>
      </c>
      <c r="R9" s="127">
        <f>R12*'Revenue Energy &amp; Other'!R9</f>
        <v>769.22486898907266</v>
      </c>
      <c r="S9" s="127">
        <f>S12*'Revenue Energy &amp; Other'!S9</f>
        <v>815.37836112841705</v>
      </c>
    </row>
    <row r="10" spans="1:19" ht="3" customHeight="1" x14ac:dyDescent="0.25"/>
    <row r="11" spans="1:19" x14ac:dyDescent="0.25">
      <c r="B11" s="91" t="s">
        <v>75</v>
      </c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</row>
    <row r="12" spans="1:19" x14ac:dyDescent="0.25">
      <c r="B12" s="92" t="s">
        <v>214</v>
      </c>
      <c r="C12" s="110">
        <f>C9/'Revenue Energy &amp; Other'!C9</f>
        <v>0.22180229627555309</v>
      </c>
      <c r="D12" s="110">
        <f>D9/'Revenue Energy &amp; Other'!D9</f>
        <v>0.1769052508191766</v>
      </c>
      <c r="E12" s="110">
        <f>E9/'Revenue Energy &amp; Other'!E9</f>
        <v>0.18119196235725238</v>
      </c>
      <c r="F12" s="110">
        <f>F9/'Revenue Energy &amp; Other'!F9</f>
        <v>6.5602462583549837E-3</v>
      </c>
      <c r="G12" s="110">
        <f>G9/'Revenue Energy &amp; Other'!G9</f>
        <v>-0.11760006191273947</v>
      </c>
      <c r="H12" s="92"/>
      <c r="I12" s="94">
        <f>CHOOSE(Drivers!$C$3,'GP Energy &amp; Other'!I15,'GP Energy &amp; Other'!I18,'GP Energy &amp; Other'!I22)</f>
        <v>0.14661493892758426</v>
      </c>
      <c r="J12" s="94">
        <f>CHOOSE(Drivers!$C$3,'GP Energy &amp; Other'!J15,'GP Energy &amp; Other'!J18,'GP Energy &amp; Other'!J22)</f>
        <v>0.14661493892758426</v>
      </c>
      <c r="K12" s="94">
        <f>CHOOSE(Drivers!$C$3,'GP Energy &amp; Other'!K15,'GP Energy &amp; Other'!K18,'GP Energy &amp; Other'!K22)</f>
        <v>0.14661493892758426</v>
      </c>
      <c r="L12" s="94">
        <f>CHOOSE(Drivers!$C$3,'GP Energy &amp; Other'!L15,'GP Energy &amp; Other'!L18,'GP Energy &amp; Other'!L22)</f>
        <v>0.14661493892758426</v>
      </c>
      <c r="M12" s="94">
        <f>CHOOSE(Drivers!$C$3,'GP Energy &amp; Other'!M15,'GP Energy &amp; Other'!M18,'GP Energy &amp; Other'!M22)</f>
        <v>0.14661493892758426</v>
      </c>
      <c r="N12" s="94">
        <f>CHOOSE(Drivers!$C$3,'GP Energy &amp; Other'!N15,'GP Energy &amp; Other'!N18,'GP Energy &amp; Other'!N22)</f>
        <v>0.14661493892758426</v>
      </c>
      <c r="O12" s="94">
        <f>CHOOSE(Drivers!$C$3,'GP Energy &amp; Other'!O15,'GP Energy &amp; Other'!O18,'GP Energy &amp; Other'!O22)</f>
        <v>0.14661493892758426</v>
      </c>
      <c r="P12" s="94">
        <f>CHOOSE(Drivers!$C$3,'GP Energy &amp; Other'!P15,'GP Energy &amp; Other'!P18,'GP Energy &amp; Other'!P22)</f>
        <v>0.14661493892758426</v>
      </c>
      <c r="Q12" s="94">
        <f>CHOOSE(Drivers!$C$3,'GP Energy &amp; Other'!Q15,'GP Energy &amp; Other'!Q18,'GP Energy &amp; Other'!Q22)</f>
        <v>0.14661493892758426</v>
      </c>
      <c r="R12" s="94">
        <f>CHOOSE(Drivers!$C$3,'GP Energy &amp; Other'!R15,'GP Energy &amp; Other'!R18,'GP Energy &amp; Other'!R22)</f>
        <v>0.14661493892758426</v>
      </c>
      <c r="S12" s="94">
        <f>CHOOSE(Drivers!$C$3,'GP Energy &amp; Other'!S15,'GP Energy &amp; Other'!S18,'GP Energy &amp; Other'!S22)</f>
        <v>0.14661493892758426</v>
      </c>
    </row>
    <row r="13" spans="1:19" x14ac:dyDescent="0.25">
      <c r="B13" s="92"/>
      <c r="C13" s="95"/>
      <c r="D13" s="95"/>
      <c r="E13" s="95"/>
      <c r="F13" s="95"/>
      <c r="G13" s="92"/>
      <c r="H13" s="92"/>
      <c r="I13" s="95"/>
      <c r="J13" s="95"/>
      <c r="K13" s="93"/>
      <c r="L13" s="93"/>
      <c r="M13" s="93"/>
      <c r="N13" s="93"/>
      <c r="O13" s="93"/>
      <c r="P13" s="93"/>
      <c r="Q13" s="93"/>
      <c r="R13" s="93"/>
      <c r="S13" s="93"/>
    </row>
    <row r="14" spans="1:19" x14ac:dyDescent="0.25">
      <c r="B14" s="108" t="s">
        <v>218</v>
      </c>
      <c r="C14" s="95"/>
      <c r="D14" s="95"/>
      <c r="E14" s="95"/>
      <c r="F14" s="95"/>
      <c r="G14" s="92"/>
      <c r="H14" s="92"/>
      <c r="I14" s="95"/>
      <c r="J14" s="95"/>
      <c r="K14" s="93"/>
      <c r="L14" s="93"/>
      <c r="M14" s="93"/>
      <c r="N14" s="93"/>
      <c r="O14" s="93"/>
      <c r="P14" s="93"/>
      <c r="Q14" s="93"/>
      <c r="R14" s="93"/>
      <c r="S14" s="93"/>
    </row>
    <row r="15" spans="1:19" x14ac:dyDescent="0.25">
      <c r="B15" s="91" t="s">
        <v>71</v>
      </c>
      <c r="C15" s="92"/>
      <c r="D15" s="92"/>
      <c r="E15" s="92"/>
      <c r="F15" s="92"/>
      <c r="G15" s="92"/>
      <c r="H15" s="92"/>
      <c r="I15" s="93">
        <f>I18+2%</f>
        <v>0.16661493892758425</v>
      </c>
      <c r="J15" s="93">
        <f t="shared" ref="J15:N15" si="1">J18+2%</f>
        <v>0.16661493892758425</v>
      </c>
      <c r="K15" s="93">
        <f t="shared" si="1"/>
        <v>0.16661493892758425</v>
      </c>
      <c r="L15" s="93">
        <f t="shared" si="1"/>
        <v>0.16661493892758425</v>
      </c>
      <c r="M15" s="93">
        <f t="shared" si="1"/>
        <v>0.16661493892758425</v>
      </c>
      <c r="N15" s="93">
        <f t="shared" si="1"/>
        <v>0.16661493892758425</v>
      </c>
      <c r="O15" s="93">
        <f t="shared" ref="O15:S15" si="2">O18+2%</f>
        <v>0.16661493892758425</v>
      </c>
      <c r="P15" s="93">
        <f t="shared" si="2"/>
        <v>0.16661493892758425</v>
      </c>
      <c r="Q15" s="93">
        <f t="shared" si="2"/>
        <v>0.16661493892758425</v>
      </c>
      <c r="R15" s="93">
        <f t="shared" si="2"/>
        <v>0.16661493892758425</v>
      </c>
      <c r="S15" s="93">
        <f t="shared" si="2"/>
        <v>0.16661493892758425</v>
      </c>
    </row>
    <row r="16" spans="1:19" x14ac:dyDescent="0.25">
      <c r="B16" s="92" t="s">
        <v>214</v>
      </c>
      <c r="C16" s="95"/>
      <c r="D16" s="79"/>
      <c r="E16" s="79"/>
      <c r="F16" s="79"/>
      <c r="G16" s="92"/>
      <c r="H16" s="92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</row>
    <row r="17" spans="2:19" x14ac:dyDescent="0.25">
      <c r="B17" s="92"/>
      <c r="C17" s="95"/>
      <c r="D17" s="95"/>
      <c r="E17" s="95"/>
      <c r="F17" s="95"/>
      <c r="G17" s="92"/>
      <c r="H17" s="92"/>
      <c r="I17" s="95"/>
      <c r="J17" s="95"/>
      <c r="K17" s="93"/>
      <c r="L17" s="93"/>
      <c r="M17" s="93"/>
      <c r="N17" s="93"/>
      <c r="O17" s="93"/>
      <c r="P17" s="93"/>
      <c r="Q17" s="93"/>
      <c r="R17" s="93"/>
      <c r="S17" s="93"/>
    </row>
    <row r="18" spans="2:19" x14ac:dyDescent="0.25">
      <c r="B18" s="91" t="s">
        <v>72</v>
      </c>
      <c r="C18" s="92"/>
      <c r="D18" s="92"/>
      <c r="E18" s="92"/>
      <c r="F18" s="92"/>
      <c r="G18" s="92"/>
      <c r="H18" s="92"/>
      <c r="I18" s="93">
        <f>AVERAGE($C$12:$F$12)</f>
        <v>0.14661493892758426</v>
      </c>
      <c r="J18" s="93">
        <f t="shared" ref="J18:S18" si="3">AVERAGE($C$12:$F$12)</f>
        <v>0.14661493892758426</v>
      </c>
      <c r="K18" s="93">
        <f t="shared" si="3"/>
        <v>0.14661493892758426</v>
      </c>
      <c r="L18" s="93">
        <f t="shared" si="3"/>
        <v>0.14661493892758426</v>
      </c>
      <c r="M18" s="93">
        <f t="shared" si="3"/>
        <v>0.14661493892758426</v>
      </c>
      <c r="N18" s="93">
        <f t="shared" si="3"/>
        <v>0.14661493892758426</v>
      </c>
      <c r="O18" s="93">
        <f t="shared" si="3"/>
        <v>0.14661493892758426</v>
      </c>
      <c r="P18" s="93">
        <f t="shared" si="3"/>
        <v>0.14661493892758426</v>
      </c>
      <c r="Q18" s="93">
        <f t="shared" si="3"/>
        <v>0.14661493892758426</v>
      </c>
      <c r="R18" s="93">
        <f t="shared" si="3"/>
        <v>0.14661493892758426</v>
      </c>
      <c r="S18" s="93">
        <f t="shared" si="3"/>
        <v>0.14661493892758426</v>
      </c>
    </row>
    <row r="19" spans="2:19" x14ac:dyDescent="0.25">
      <c r="B19" s="92" t="s">
        <v>214</v>
      </c>
      <c r="C19" s="95"/>
      <c r="D19" s="79"/>
      <c r="E19" s="79"/>
      <c r="F19" s="79"/>
      <c r="G19" s="92"/>
      <c r="H19" s="92"/>
      <c r="I19" s="79"/>
      <c r="J19" s="94"/>
      <c r="K19" s="94"/>
      <c r="L19" s="94"/>
      <c r="M19" s="94"/>
      <c r="N19" s="94"/>
      <c r="O19" s="94"/>
      <c r="P19" s="94"/>
      <c r="Q19" s="94"/>
      <c r="R19" s="94"/>
      <c r="S19" s="94"/>
    </row>
    <row r="20" spans="2:19" x14ac:dyDescent="0.25">
      <c r="B20" s="92"/>
      <c r="C20" s="95"/>
      <c r="D20" s="95"/>
      <c r="E20" s="95"/>
      <c r="F20" s="95"/>
      <c r="G20" s="92"/>
      <c r="H20" s="92"/>
      <c r="I20" s="95"/>
      <c r="J20" s="95"/>
      <c r="K20" s="93"/>
      <c r="L20" s="93"/>
      <c r="M20" s="93"/>
      <c r="N20" s="93"/>
      <c r="O20" s="93"/>
      <c r="P20" s="93"/>
      <c r="Q20" s="93"/>
      <c r="R20" s="93"/>
      <c r="S20" s="93"/>
    </row>
    <row r="21" spans="2:19" x14ac:dyDescent="0.25">
      <c r="B21" s="91" t="s">
        <v>73</v>
      </c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</row>
    <row r="22" spans="2:19" x14ac:dyDescent="0.25">
      <c r="B22" s="92" t="s">
        <v>214</v>
      </c>
      <c r="C22" s="95"/>
      <c r="D22" s="79"/>
      <c r="E22" s="79"/>
      <c r="F22" s="79"/>
      <c r="G22" s="92"/>
      <c r="H22" s="92"/>
      <c r="I22" s="93">
        <f>I18-2%</f>
        <v>0.12661493892758427</v>
      </c>
      <c r="J22" s="93">
        <f t="shared" ref="J22:N22" si="4">J18-2%</f>
        <v>0.12661493892758427</v>
      </c>
      <c r="K22" s="93">
        <f t="shared" si="4"/>
        <v>0.12661493892758427</v>
      </c>
      <c r="L22" s="93">
        <f t="shared" si="4"/>
        <v>0.12661493892758427</v>
      </c>
      <c r="M22" s="93">
        <f t="shared" si="4"/>
        <v>0.12661493892758427</v>
      </c>
      <c r="N22" s="93">
        <f t="shared" si="4"/>
        <v>0.12661493892758427</v>
      </c>
      <c r="O22" s="93">
        <f t="shared" ref="O22:S22" si="5">O18-2%</f>
        <v>0.12661493892758427</v>
      </c>
      <c r="P22" s="93">
        <f t="shared" si="5"/>
        <v>0.12661493892758427</v>
      </c>
      <c r="Q22" s="93">
        <f t="shared" si="5"/>
        <v>0.12661493892758427</v>
      </c>
      <c r="R22" s="93">
        <f t="shared" si="5"/>
        <v>0.12661493892758427</v>
      </c>
      <c r="S22" s="93">
        <f t="shared" si="5"/>
        <v>0.12661493892758427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C3" sqref="C3"/>
    </sheetView>
  </sheetViews>
  <sheetFormatPr defaultColWidth="9.109375" defaultRowHeight="11.4" x14ac:dyDescent="0.25"/>
  <cols>
    <col min="1" max="1" width="2" style="8" customWidth="1"/>
    <col min="2" max="2" width="27.21875" style="8" bestFit="1" customWidth="1"/>
    <col min="3" max="6" width="11.33203125" style="8" bestFit="1" customWidth="1"/>
    <col min="7" max="7" width="11.44140625" style="8" bestFit="1" customWidth="1"/>
    <col min="8" max="11" width="10.33203125" style="8" bestFit="1" customWidth="1"/>
    <col min="12" max="16" width="10.44140625" style="8" bestFit="1" customWidth="1"/>
    <col min="17" max="16384" width="9.109375" style="8"/>
  </cols>
  <sheetData>
    <row r="1" spans="1:6" ht="15.6" x14ac:dyDescent="0.25">
      <c r="A1" s="1"/>
      <c r="B1" s="2" t="s">
        <v>74</v>
      </c>
    </row>
    <row r="3" spans="1:6" ht="13.2" x14ac:dyDescent="0.25">
      <c r="B3" s="8" t="s">
        <v>75</v>
      </c>
      <c r="C3" s="13">
        <v>2</v>
      </c>
      <c r="E3" s="4"/>
      <c r="F3" s="4"/>
    </row>
    <row r="4" spans="1:6" ht="13.2" x14ac:dyDescent="0.25">
      <c r="B4" s="8" t="s">
        <v>356</v>
      </c>
      <c r="C4" s="113" t="s">
        <v>196</v>
      </c>
      <c r="E4" s="4"/>
      <c r="F4" s="4"/>
    </row>
    <row r="5" spans="1:6" x14ac:dyDescent="0.25">
      <c r="B5" s="8" t="s">
        <v>191</v>
      </c>
      <c r="C5" s="99" t="s">
        <v>192</v>
      </c>
    </row>
    <row r="6" spans="1:6" x14ac:dyDescent="0.25">
      <c r="B6" s="8" t="s">
        <v>193</v>
      </c>
      <c r="C6" s="99" t="s">
        <v>194</v>
      </c>
    </row>
    <row r="7" spans="1:6" x14ac:dyDescent="0.25">
      <c r="B7" s="8" t="s">
        <v>357</v>
      </c>
      <c r="C7" s="100">
        <v>3.0700000000000002E-2</v>
      </c>
    </row>
    <row r="8" spans="1:6" x14ac:dyDescent="0.25">
      <c r="B8" s="8" t="s">
        <v>195</v>
      </c>
      <c r="C8" s="34">
        <v>0.05</v>
      </c>
    </row>
    <row r="9" spans="1:6" x14ac:dyDescent="0.25">
      <c r="B9" s="8" t="s">
        <v>358</v>
      </c>
      <c r="C9" s="8">
        <v>0.78</v>
      </c>
    </row>
    <row r="10" spans="1:6" x14ac:dyDescent="0.25">
      <c r="B10" s="8" t="s">
        <v>359</v>
      </c>
      <c r="C10" s="8">
        <v>307.8</v>
      </c>
    </row>
    <row r="11" spans="1:6" x14ac:dyDescent="0.2">
      <c r="B11" s="20" t="s">
        <v>360</v>
      </c>
      <c r="C11" s="29">
        <v>7.4999999999999997E-2</v>
      </c>
    </row>
    <row r="12" spans="1:6" x14ac:dyDescent="0.25">
      <c r="B12" s="8" t="s">
        <v>107</v>
      </c>
      <c r="C12" s="34">
        <v>0.3</v>
      </c>
    </row>
    <row r="13" spans="1:6" x14ac:dyDescent="0.25">
      <c r="B13" s="8" t="s">
        <v>162</v>
      </c>
      <c r="C13" s="34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457F-93E7-4572-ADC8-20C6AC83BA95}">
  <dimension ref="A1:S9"/>
  <sheetViews>
    <sheetView workbookViewId="0">
      <selection activeCell="J9" sqref="J9"/>
    </sheetView>
  </sheetViews>
  <sheetFormatPr defaultColWidth="9.109375" defaultRowHeight="11.4" outlineLevelCol="1" x14ac:dyDescent="0.25"/>
  <cols>
    <col min="1" max="1" width="2" style="8" customWidth="1"/>
    <col min="2" max="2" width="28.664062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16384" width="9.109375" style="8"/>
  </cols>
  <sheetData>
    <row r="1" spans="1:19" ht="15.6" x14ac:dyDescent="0.25">
      <c r="A1" s="1"/>
      <c r="B1" s="2" t="s">
        <v>251</v>
      </c>
    </row>
    <row r="2" spans="1:19" ht="15.6" x14ac:dyDescent="0.25">
      <c r="A2" s="1"/>
      <c r="B2" s="2"/>
    </row>
    <row r="3" spans="1:19" ht="12" x14ac:dyDescent="0.25">
      <c r="C3" s="224" t="s">
        <v>345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</row>
    <row r="4" spans="1:19" ht="24" x14ac:dyDescent="0.25">
      <c r="B4" s="5" t="s">
        <v>260</v>
      </c>
      <c r="C4" s="6" t="s">
        <v>45</v>
      </c>
      <c r="D4" s="6" t="s">
        <v>46</v>
      </c>
      <c r="E4" s="6" t="s">
        <v>47</v>
      </c>
      <c r="F4" s="6" t="s">
        <v>165</v>
      </c>
      <c r="G4" s="6" t="s">
        <v>173</v>
      </c>
      <c r="H4" s="98" t="s">
        <v>184</v>
      </c>
      <c r="I4" s="98" t="s">
        <v>183</v>
      </c>
      <c r="J4" s="98" t="s">
        <v>185</v>
      </c>
      <c r="K4" s="98" t="s">
        <v>186</v>
      </c>
      <c r="L4" s="98" t="s">
        <v>187</v>
      </c>
      <c r="M4" s="98" t="s">
        <v>188</v>
      </c>
      <c r="N4" s="98" t="s">
        <v>189</v>
      </c>
      <c r="O4" s="98" t="s">
        <v>269</v>
      </c>
      <c r="P4" s="98" t="s">
        <v>270</v>
      </c>
      <c r="Q4" s="98" t="s">
        <v>271</v>
      </c>
      <c r="R4" s="98" t="s">
        <v>272</v>
      </c>
      <c r="S4" s="98" t="s">
        <v>273</v>
      </c>
    </row>
    <row r="5" spans="1:19" x14ac:dyDescent="0.25">
      <c r="B5" s="8" t="s">
        <v>3</v>
      </c>
      <c r="C5" s="14">
        <f>-('Revenue Energy &amp; Other'!C5-'GP Energy &amp; Other'!C5)</f>
        <v>-4.0049999999999999</v>
      </c>
      <c r="D5" s="14">
        <f>-('Revenue Energy &amp; Other'!D5-'GP Energy &amp; Other'!D5)</f>
        <v>-12.287000000000001</v>
      </c>
      <c r="E5" s="14">
        <f>-('Revenue Energy &amp; Other'!E5-'GP Energy &amp; Other'!E5)</f>
        <v>-178.33199999999999</v>
      </c>
      <c r="F5" s="14">
        <f>-('Revenue Energy &amp; Other'!F5-'GP Energy &amp; Other'!F5)</f>
        <v>-874.53800000000001</v>
      </c>
      <c r="G5" s="73">
        <f>-('Revenue Energy &amp; Other'!G5-'GP Energy &amp; Other'!G5)</f>
        <v>-705.63599999999997</v>
      </c>
      <c r="H5" s="74" t="s">
        <v>65</v>
      </c>
      <c r="I5" s="74" t="s">
        <v>65</v>
      </c>
      <c r="J5" s="74" t="s">
        <v>65</v>
      </c>
      <c r="K5" s="74" t="s">
        <v>65</v>
      </c>
      <c r="L5" s="74" t="s">
        <v>65</v>
      </c>
      <c r="M5" s="74" t="s">
        <v>65</v>
      </c>
      <c r="N5" s="74" t="s">
        <v>65</v>
      </c>
      <c r="O5" s="74" t="s">
        <v>65</v>
      </c>
      <c r="P5" s="74" t="s">
        <v>65</v>
      </c>
      <c r="Q5" s="74" t="s">
        <v>65</v>
      </c>
      <c r="R5" s="74" t="s">
        <v>65</v>
      </c>
      <c r="S5" s="74" t="s">
        <v>65</v>
      </c>
    </row>
    <row r="6" spans="1:19" x14ac:dyDescent="0.25">
      <c r="B6" s="8" t="s">
        <v>2</v>
      </c>
      <c r="C6" s="14">
        <f>-('Revenue Energy &amp; Other'!C6-'GP Energy &amp; Other'!C6)</f>
        <v>-166.93099999999998</v>
      </c>
      <c r="D6" s="14">
        <f>-('Revenue Energy &amp; Other'!D6-'GP Energy &amp; Other'!D6)</f>
        <v>-286.93299999999999</v>
      </c>
      <c r="E6" s="14">
        <f>-('Revenue Energy &amp; Other'!E6-'GP Energy &amp; Other'!E6)</f>
        <v>-472.46199999999999</v>
      </c>
      <c r="F6" s="14">
        <f>-('Revenue Energy &amp; Other'!F6-'GP Energy &amp; Other'!F6)</f>
        <v>-1229.0219999999999</v>
      </c>
      <c r="G6" s="89">
        <f>-('Revenue Energy &amp; Other'!G6-'GP Energy &amp; Other'!G6)</f>
        <v>-767.34299999999996</v>
      </c>
      <c r="H6" s="74" t="s">
        <v>65</v>
      </c>
      <c r="I6" s="74" t="s">
        <v>65</v>
      </c>
      <c r="J6" s="74" t="s">
        <v>65</v>
      </c>
      <c r="K6" s="74" t="s">
        <v>65</v>
      </c>
      <c r="L6" s="74" t="s">
        <v>65</v>
      </c>
      <c r="M6" s="74" t="s">
        <v>65</v>
      </c>
      <c r="N6" s="74" t="s">
        <v>65</v>
      </c>
      <c r="O6" s="74" t="s">
        <v>65</v>
      </c>
      <c r="P6" s="74" t="s">
        <v>65</v>
      </c>
      <c r="Q6" s="74" t="s">
        <v>65</v>
      </c>
      <c r="R6" s="74" t="s">
        <v>65</v>
      </c>
      <c r="S6" s="74" t="s">
        <v>65</v>
      </c>
    </row>
    <row r="7" spans="1:19" ht="12" x14ac:dyDescent="0.25">
      <c r="B7" s="9" t="s">
        <v>214</v>
      </c>
      <c r="C7" s="106">
        <f>SUM(C5:C6)</f>
        <v>-170.93599999999998</v>
      </c>
      <c r="D7" s="106">
        <f t="shared" ref="D7:G7" si="0">SUM(D5:D6)</f>
        <v>-299.21999999999997</v>
      </c>
      <c r="E7" s="106">
        <f t="shared" si="0"/>
        <v>-650.79399999999998</v>
      </c>
      <c r="F7" s="106">
        <f t="shared" si="0"/>
        <v>-2103.56</v>
      </c>
      <c r="G7" s="106">
        <f t="shared" si="0"/>
        <v>-1472.9789999999998</v>
      </c>
      <c r="H7" s="76" t="s">
        <v>65</v>
      </c>
      <c r="I7" s="76" t="s">
        <v>65</v>
      </c>
      <c r="J7" s="76" t="s">
        <v>65</v>
      </c>
      <c r="K7" s="76" t="s">
        <v>65</v>
      </c>
      <c r="L7" s="76" t="s">
        <v>65</v>
      </c>
      <c r="M7" s="76" t="s">
        <v>65</v>
      </c>
      <c r="N7" s="76" t="s">
        <v>65</v>
      </c>
      <c r="O7" s="76" t="s">
        <v>65</v>
      </c>
      <c r="P7" s="76" t="s">
        <v>65</v>
      </c>
      <c r="Q7" s="76" t="s">
        <v>65</v>
      </c>
      <c r="R7" s="76" t="s">
        <v>65</v>
      </c>
      <c r="S7" s="76" t="s">
        <v>65</v>
      </c>
    </row>
    <row r="8" spans="1:19" x14ac:dyDescent="0.25">
      <c r="B8" s="8" t="s">
        <v>220</v>
      </c>
      <c r="C8" s="109">
        <f>-('Revenue Energy &amp; Other'!C8-'GP Energy &amp; Other'!C8)</f>
        <v>-176.43200000000002</v>
      </c>
      <c r="D8" s="89">
        <f>-('Revenue Energy &amp; Other'!D8-'GP Energy &amp; Other'!D8)</f>
        <v>-280.79100000000005</v>
      </c>
      <c r="E8" s="89">
        <f>-('Revenue Energy &amp; Other'!E8-'GP Energy &amp; Other'!E8)</f>
        <v>-478.92200000000003</v>
      </c>
      <c r="F8" s="89">
        <f>-('Revenue Energy &amp; Other'!F8-'GP Energy &amp; Other'!F8)</f>
        <v>0</v>
      </c>
      <c r="G8" s="89">
        <f>-('Revenue Energy &amp; Other'!G8-'GP Energy &amp; Other'!G8)</f>
        <v>0</v>
      </c>
      <c r="H8" s="74" t="s">
        <v>65</v>
      </c>
      <c r="I8" s="74" t="s">
        <v>65</v>
      </c>
      <c r="J8" s="74" t="s">
        <v>65</v>
      </c>
      <c r="K8" s="74" t="s">
        <v>65</v>
      </c>
      <c r="L8" s="74" t="s">
        <v>65</v>
      </c>
      <c r="M8" s="74" t="s">
        <v>65</v>
      </c>
      <c r="N8" s="74" t="s">
        <v>65</v>
      </c>
      <c r="O8" s="74" t="s">
        <v>65</v>
      </c>
      <c r="P8" s="74" t="s">
        <v>65</v>
      </c>
      <c r="Q8" s="74" t="s">
        <v>65</v>
      </c>
      <c r="R8" s="74" t="s">
        <v>65</v>
      </c>
      <c r="S8" s="74" t="s">
        <v>65</v>
      </c>
    </row>
    <row r="9" spans="1:19" ht="12.6" thickBot="1" x14ac:dyDescent="0.3">
      <c r="B9" s="116" t="s">
        <v>221</v>
      </c>
      <c r="C9" s="127">
        <f>SUM(C7:C8)</f>
        <v>-347.36799999999999</v>
      </c>
      <c r="D9" s="127">
        <f>SUM(D7:D8)</f>
        <v>-580.01099999999997</v>
      </c>
      <c r="E9" s="127">
        <f>SUM(E7:E8)</f>
        <v>-1129.7159999999999</v>
      </c>
      <c r="F9" s="127">
        <f>SUM(F7:F8)</f>
        <v>-2103.56</v>
      </c>
      <c r="G9" s="127">
        <f>SUM(G7:G8)</f>
        <v>-1472.9789999999998</v>
      </c>
      <c r="H9" s="179">
        <f>I9-G9</f>
        <v>-776.51671266493349</v>
      </c>
      <c r="I9" s="127">
        <f>-('Revenue Energy &amp; Other'!I9-'GP Energy &amp; Other'!I9)</f>
        <v>-2249.4957126649333</v>
      </c>
      <c r="J9" s="127">
        <f>-('Revenue Energy &amp; Other'!J9-'GP Energy &amp; Other'!J9)</f>
        <v>-2609.415026691323</v>
      </c>
      <c r="K9" s="127">
        <f>-('Revenue Energy &amp; Other'!K9-'GP Energy &amp; Other'!K9)</f>
        <v>-2922.544829894282</v>
      </c>
      <c r="L9" s="127">
        <f>-('Revenue Energy &amp; Other'!L9-'GP Energy &amp; Other'!L9)</f>
        <v>-3156.3484162858249</v>
      </c>
      <c r="M9" s="127">
        <f>-('Revenue Energy &amp; Other'!M9-'GP Energy &amp; Other'!M9)</f>
        <v>-3345.7293212629743</v>
      </c>
      <c r="N9" s="127">
        <f>-('Revenue Energy &amp; Other'!N9-'GP Energy &amp; Other'!N9)</f>
        <v>-3546.4730805387526</v>
      </c>
      <c r="O9" s="127">
        <f>-('Revenue Energy &amp; Other'!O9-'GP Energy &amp; Other'!O9)</f>
        <v>-3759.261465371078</v>
      </c>
      <c r="P9" s="127">
        <f>-('Revenue Energy &amp; Other'!P9-'GP Energy &amp; Other'!P9)</f>
        <v>-3984.8171532933434</v>
      </c>
      <c r="Q9" s="127">
        <f>-('Revenue Energy &amp; Other'!Q9-'GP Energy &amp; Other'!Q9)</f>
        <v>-4223.906182490944</v>
      </c>
      <c r="R9" s="127">
        <f>-('Revenue Energy &amp; Other'!R9-'GP Energy &amp; Other'!R9)</f>
        <v>-4477.340553440401</v>
      </c>
      <c r="S9" s="127">
        <f>-('Revenue Energy &amp; Other'!S9-'GP Energy &amp; Other'!S9)</f>
        <v>-4745.9809866468258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CA0A-F2BA-4E02-A439-DBA4CEBBADDC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105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37C4-BBE9-4EBB-8B73-473820CAAA92}">
  <dimension ref="A1:F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247</v>
      </c>
    </row>
    <row r="2" spans="1:6" ht="15.6" x14ac:dyDescent="0.25">
      <c r="A2" s="1"/>
      <c r="B2" s="2"/>
    </row>
    <row r="3" spans="1:6" ht="13.2" x14ac:dyDescent="0.25">
      <c r="A3" s="1"/>
      <c r="B3" s="102" t="s">
        <v>275</v>
      </c>
    </row>
    <row r="5" spans="1:6" x14ac:dyDescent="0.25">
      <c r="F5" s="8" t="s">
        <v>202</v>
      </c>
    </row>
    <row r="6" spans="1:6" ht="12" x14ac:dyDescent="0.25">
      <c r="B6" s="36" t="s">
        <v>356</v>
      </c>
      <c r="C6" s="62" t="s">
        <v>199</v>
      </c>
      <c r="D6" s="62" t="s">
        <v>235</v>
      </c>
    </row>
    <row r="7" spans="1:6" x14ac:dyDescent="0.25">
      <c r="B7" s="8" t="s">
        <v>224</v>
      </c>
      <c r="C7" s="111">
        <f>(9575+11128)/145588</f>
        <v>0.14220265406489546</v>
      </c>
      <c r="D7" s="113">
        <f t="shared" ref="D7:D11" si="0">C7</f>
        <v>0.14220265406489546</v>
      </c>
    </row>
    <row r="8" spans="1:6" x14ac:dyDescent="0.25">
      <c r="B8" s="8" t="s">
        <v>225</v>
      </c>
      <c r="C8" s="113">
        <f>(11842+6878)/144077</f>
        <v>0.12993052326186691</v>
      </c>
      <c r="D8" s="113">
        <f t="shared" si="0"/>
        <v>0.12993052326186691</v>
      </c>
    </row>
    <row r="9" spans="1:6" x14ac:dyDescent="0.25">
      <c r="B9" s="8" t="s">
        <v>226</v>
      </c>
      <c r="C9" s="113">
        <f>(3230+7385)/110934</f>
        <v>9.5687525916310592E-2</v>
      </c>
      <c r="D9" s="113">
        <f t="shared" si="0"/>
        <v>9.5687525916310592E-2</v>
      </c>
    </row>
    <row r="10" spans="1:6" x14ac:dyDescent="0.25">
      <c r="B10" s="8" t="s">
        <v>227</v>
      </c>
      <c r="C10" s="113">
        <f>(9560+1214-720)/98678</f>
        <v>0.10188694541843167</v>
      </c>
      <c r="D10" s="113">
        <f t="shared" si="0"/>
        <v>0.10188694541843167</v>
      </c>
    </row>
    <row r="11" spans="1:6" x14ac:dyDescent="0.25">
      <c r="B11" s="8" t="s">
        <v>228</v>
      </c>
      <c r="C11" s="113">
        <f>(12259+8254+22710-14500)/230682</f>
        <v>0.1245133993983059</v>
      </c>
      <c r="D11" s="113">
        <f t="shared" si="0"/>
        <v>0.1245133993983059</v>
      </c>
    </row>
    <row r="12" spans="1:6" x14ac:dyDescent="0.25">
      <c r="B12" s="129" t="s">
        <v>229</v>
      </c>
      <c r="C12" s="114">
        <f>(-379+5376+2490)/24339</f>
        <v>0.30761329553391675</v>
      </c>
      <c r="D12" s="114"/>
    </row>
    <row r="13" spans="1:6" x14ac:dyDescent="0.25">
      <c r="B13" s="8" t="s">
        <v>230</v>
      </c>
      <c r="C13" s="113">
        <f>(917-1366+1041+1883)/23491</f>
        <v>0.10535949938274233</v>
      </c>
      <c r="D13" s="113">
        <f>C13</f>
        <v>0.10535949938274233</v>
      </c>
    </row>
    <row r="14" spans="1:6" x14ac:dyDescent="0.25">
      <c r="B14" s="129" t="s">
        <v>231</v>
      </c>
      <c r="C14" s="114">
        <f>(329065+657119)/3416890</f>
        <v>0.28862035359639904</v>
      </c>
      <c r="D14" s="114"/>
    </row>
    <row r="15" spans="1:6" x14ac:dyDescent="0.25">
      <c r="B15" s="8" t="s">
        <v>232</v>
      </c>
      <c r="C15" s="113">
        <f>(6587+9934+1794)/119713</f>
        <v>0.15299090324359091</v>
      </c>
      <c r="D15" s="113">
        <f>C15</f>
        <v>0.15299090324359091</v>
      </c>
    </row>
    <row r="16" spans="1:6" x14ac:dyDescent="0.25">
      <c r="B16" s="8" t="s">
        <v>233</v>
      </c>
      <c r="C16" s="113">
        <f>(364+770+1626-655)/14342</f>
        <v>0.14677171942546369</v>
      </c>
      <c r="D16" s="113">
        <f>C16</f>
        <v>0.14677171942546369</v>
      </c>
    </row>
    <row r="17" spans="2:4" x14ac:dyDescent="0.25">
      <c r="B17" s="129" t="s">
        <v>234</v>
      </c>
      <c r="C17" s="114">
        <f>(264.7+449.5)/18187.5</f>
        <v>3.9268728522336774E-2</v>
      </c>
      <c r="D17" s="114"/>
    </row>
    <row r="18" spans="2:4" ht="12" x14ac:dyDescent="0.25">
      <c r="B18" s="9" t="s">
        <v>199</v>
      </c>
      <c r="C18" s="115">
        <f>AVERAGE(C7:C17)</f>
        <v>0.14862232252402363</v>
      </c>
      <c r="D18" s="115">
        <f>AVERAGE(D7:D17)</f>
        <v>0.12491789626395092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workbookViewId="0">
      <selection activeCell="H14" sqref="H14"/>
    </sheetView>
  </sheetViews>
  <sheetFormatPr defaultColWidth="9.109375" defaultRowHeight="11.4" outlineLevelCol="1" x14ac:dyDescent="0.25"/>
  <cols>
    <col min="1" max="1" width="2" style="8" customWidth="1"/>
    <col min="2" max="2" width="25.6640625" style="8" bestFit="1" customWidth="1"/>
    <col min="3" max="6" width="9.77734375" style="8" customWidth="1"/>
    <col min="7" max="8" width="9.77734375" style="8" customWidth="1" outlineLevel="1"/>
    <col min="9" max="14" width="9.77734375" style="8" customWidth="1"/>
    <col min="15" max="15" width="10.44140625" style="8" bestFit="1" customWidth="1"/>
    <col min="16" max="16384" width="9.109375" style="8"/>
  </cols>
  <sheetData>
    <row r="1" spans="1:19" ht="15.6" x14ac:dyDescent="0.25">
      <c r="A1" s="1"/>
      <c r="B1" s="2" t="s">
        <v>78</v>
      </c>
    </row>
    <row r="3" spans="1:19" ht="12" x14ac:dyDescent="0.25">
      <c r="C3" s="224" t="s">
        <v>237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</row>
    <row r="4" spans="1:19" ht="24" x14ac:dyDescent="0.25">
      <c r="B4" s="5" t="s">
        <v>260</v>
      </c>
      <c r="C4" s="6" t="s">
        <v>45</v>
      </c>
      <c r="D4" s="6" t="s">
        <v>46</v>
      </c>
      <c r="E4" s="6" t="s">
        <v>47</v>
      </c>
      <c r="F4" s="6" t="s">
        <v>165</v>
      </c>
      <c r="G4" s="6" t="s">
        <v>173</v>
      </c>
      <c r="H4" s="98" t="s">
        <v>184</v>
      </c>
      <c r="I4" s="98" t="s">
        <v>183</v>
      </c>
      <c r="J4" s="98" t="s">
        <v>185</v>
      </c>
      <c r="K4" s="98" t="s">
        <v>186</v>
      </c>
      <c r="L4" s="98" t="s">
        <v>187</v>
      </c>
      <c r="M4" s="98" t="s">
        <v>188</v>
      </c>
      <c r="N4" s="98" t="s">
        <v>189</v>
      </c>
      <c r="O4" s="98" t="s">
        <v>269</v>
      </c>
      <c r="P4" s="98" t="s">
        <v>270</v>
      </c>
      <c r="Q4" s="98" t="s">
        <v>271</v>
      </c>
      <c r="R4" s="98" t="s">
        <v>272</v>
      </c>
      <c r="S4" s="98" t="s">
        <v>273</v>
      </c>
    </row>
    <row r="5" spans="1:19" x14ac:dyDescent="0.25">
      <c r="B5" s="7" t="s">
        <v>104</v>
      </c>
      <c r="C5" s="14">
        <f>'Revenue Energy &amp; Other'!C9+'Revenue automotive'!C11</f>
        <v>3453.3870000000002</v>
      </c>
      <c r="D5" s="14">
        <f>'Revenue Energy &amp; Other'!D9+'Revenue automotive'!D11</f>
        <v>4445.6440000000002</v>
      </c>
      <c r="E5" s="14">
        <f>'Revenue Energy &amp; Other'!E9+'Revenue automotive'!E11</f>
        <v>7730.4740000000002</v>
      </c>
      <c r="F5" s="14">
        <f>'Revenue Energy &amp; Other'!F9+'Revenue automotive'!F11</f>
        <v>11758.751</v>
      </c>
      <c r="G5" s="73">
        <f>'Revenue Energy &amp; Other'!G9+'Revenue automotive'!G11</f>
        <v>7410.982</v>
      </c>
      <c r="H5" s="74">
        <f>'Revenue Energy &amp; Other'!H9+'Revenue automotive'!H11</f>
        <v>10577.234</v>
      </c>
      <c r="I5" s="74">
        <f>G5+H5</f>
        <v>17988.216</v>
      </c>
      <c r="J5" s="74">
        <f>'Revenue Energy &amp; Other'!J9+'Revenue automotive'!J11</f>
        <v>23056.672880000002</v>
      </c>
      <c r="K5" s="74">
        <f>'Revenue Energy &amp; Other'!K9+'Revenue automotive'!K11</f>
        <v>41514.780577980957</v>
      </c>
      <c r="L5" s="74">
        <f>'Revenue Energy &amp; Other'!L9+'Revenue automotive'!L11</f>
        <v>55124.434679548234</v>
      </c>
      <c r="M5" s="74">
        <f>'Revenue Energy &amp; Other'!M9+'Revenue automotive'!M11</f>
        <v>71183.609225627253</v>
      </c>
      <c r="N5" s="74">
        <f>'Revenue Energy &amp; Other'!N9+'Revenue automotive'!N11</f>
        <v>76330.390080534518</v>
      </c>
      <c r="O5" s="74">
        <f>'Revenue Energy &amp; Other'!O9+'Revenue automotive'!O11</f>
        <v>81914.432877353174</v>
      </c>
      <c r="P5" s="74">
        <f>'Revenue Energy &amp; Other'!P9+'Revenue automotive'!P11</f>
        <v>85059.345517147638</v>
      </c>
      <c r="Q5" s="74">
        <f>'Revenue Energy &amp; Other'!Q9+'Revenue automotive'!Q11</f>
        <v>88344.249655849737</v>
      </c>
      <c r="R5" s="74">
        <f>'Revenue Energy &amp; Other'!R9+'Revenue automotive'!R11</f>
        <v>90309.118249813109</v>
      </c>
      <c r="S5" s="74">
        <f>'Revenue Energy &amp; Other'!S9+'Revenue automotive'!S11</f>
        <v>92325.163231706567</v>
      </c>
    </row>
    <row r="6" spans="1:19" x14ac:dyDescent="0.25">
      <c r="B6" s="8" t="s">
        <v>79</v>
      </c>
      <c r="C6" s="17">
        <f>C7/C5</f>
        <v>-0.30936584865814337</v>
      </c>
      <c r="D6" s="17">
        <f t="shared" ref="D6:G6" si="0">D7/D5</f>
        <v>-0.36893012575905765</v>
      </c>
      <c r="E6" s="17">
        <f t="shared" si="0"/>
        <v>-0.2932028488809354</v>
      </c>
      <c r="F6" s="17">
        <f t="shared" si="0"/>
        <v>-0.32780462822964784</v>
      </c>
      <c r="G6" s="17">
        <f t="shared" si="0"/>
        <v>-0.30951660657116697</v>
      </c>
      <c r="H6" s="112">
        <f>H10</f>
        <v>-0.26482586288194604</v>
      </c>
      <c r="I6" s="74"/>
      <c r="J6" s="112">
        <f>J10</f>
        <v>-0.12491789626395092</v>
      </c>
      <c r="K6" s="112">
        <f t="shared" ref="K6:S6" si="1">K10</f>
        <v>-0.12491789626395092</v>
      </c>
      <c r="L6" s="112">
        <f t="shared" si="1"/>
        <v>-0.12491789626395092</v>
      </c>
      <c r="M6" s="112">
        <f t="shared" si="1"/>
        <v>-0.12491789626395092</v>
      </c>
      <c r="N6" s="112">
        <f t="shared" si="1"/>
        <v>-0.12491789626395092</v>
      </c>
      <c r="O6" s="112">
        <f t="shared" si="1"/>
        <v>-0.12491789626395092</v>
      </c>
      <c r="P6" s="112">
        <f t="shared" si="1"/>
        <v>-0.12491789626395092</v>
      </c>
      <c r="Q6" s="112">
        <f t="shared" si="1"/>
        <v>-0.12491789626395092</v>
      </c>
      <c r="R6" s="112">
        <f t="shared" si="1"/>
        <v>-0.12491789626395092</v>
      </c>
      <c r="S6" s="112">
        <f t="shared" si="1"/>
        <v>-0.12491789626395092</v>
      </c>
    </row>
    <row r="7" spans="1:19" ht="12" x14ac:dyDescent="0.25">
      <c r="B7" s="106" t="s">
        <v>78</v>
      </c>
      <c r="C7" s="106">
        <f>('P&amp;L Input'!C12+'P&amp;L Input'!C13+'P&amp;L Input'!C14)/1000</f>
        <v>-1068.3599999999999</v>
      </c>
      <c r="D7" s="106">
        <f>('P&amp;L Input'!D12+'P&amp;L Input'!D13+'P&amp;L Input'!D14)/1000</f>
        <v>-1640.1320000000001</v>
      </c>
      <c r="E7" s="106">
        <f>('P&amp;L Input'!E12+'P&amp;L Input'!E13+'P&amp;L Input'!E14)/1000</f>
        <v>-2266.5970000000002</v>
      </c>
      <c r="F7" s="106">
        <f>('P&amp;L Input'!F12+'P&amp;L Input'!F13+'P&amp;L Input'!F14)/1000</f>
        <v>-3854.5729999999999</v>
      </c>
      <c r="G7" s="106">
        <f>('P&amp;L Input'!G12+'P&amp;L Input'!G13+'P&amp;L Input'!G14)/1000</f>
        <v>-2293.8220000000001</v>
      </c>
      <c r="H7" s="76">
        <f>H5*H6</f>
        <v>-2801.1251209542579</v>
      </c>
      <c r="I7" s="76">
        <f>G7+H7</f>
        <v>-5094.947120954258</v>
      </c>
      <c r="J7" s="76">
        <f>J5*J6</f>
        <v>-2880.1910710156908</v>
      </c>
      <c r="K7" s="76">
        <f t="shared" ref="K7:S7" si="2">K5*K6</f>
        <v>-5185.9390536609098</v>
      </c>
      <c r="L7" s="76">
        <f t="shared" si="2"/>
        <v>-6886.0284129087449</v>
      </c>
      <c r="M7" s="76">
        <f t="shared" si="2"/>
        <v>-8892.1067129405255</v>
      </c>
      <c r="N7" s="76">
        <f t="shared" si="2"/>
        <v>-9535.0317498671193</v>
      </c>
      <c r="O7" s="76">
        <f t="shared" si="2"/>
        <v>-10232.578628693575</v>
      </c>
      <c r="P7" s="76">
        <f t="shared" si="2"/>
        <v>-10625.434499590607</v>
      </c>
      <c r="Q7" s="76">
        <f t="shared" si="2"/>
        <v>-11035.77781402602</v>
      </c>
      <c r="R7" s="76">
        <f t="shared" si="2"/>
        <v>-11281.225065219031</v>
      </c>
      <c r="S7" s="76">
        <f t="shared" si="2"/>
        <v>-11533.065163130655</v>
      </c>
    </row>
    <row r="8" spans="1:19" x14ac:dyDescent="0.25"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</row>
    <row r="9" spans="1:19" x14ac:dyDescent="0.25">
      <c r="B9" s="91" t="s">
        <v>75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</row>
    <row r="10" spans="1:19" x14ac:dyDescent="0.25">
      <c r="B10" s="92" t="s">
        <v>236</v>
      </c>
      <c r="C10" s="110"/>
      <c r="D10" s="110"/>
      <c r="E10" s="110"/>
      <c r="F10" s="110"/>
      <c r="G10" s="92"/>
      <c r="H10" s="94">
        <f>CHOOSE(Drivers!$C$3,Opex!H14,Opex!H17,Opex!H20)</f>
        <v>-0.26482586288194604</v>
      </c>
      <c r="I10" s="94"/>
      <c r="J10" s="94">
        <f>CHOOSE(Drivers!$C$3,Opex!J14,Opex!J17,Opex!J20)</f>
        <v>-0.12491789626395092</v>
      </c>
      <c r="K10" s="94">
        <f>CHOOSE(Drivers!$C$3,Opex!K14,Opex!K17,Opex!K20)</f>
        <v>-0.12491789626395092</v>
      </c>
      <c r="L10" s="94">
        <f>CHOOSE(Drivers!$C$3,Opex!L14,Opex!L17,Opex!L20)</f>
        <v>-0.12491789626395092</v>
      </c>
      <c r="M10" s="94">
        <f>CHOOSE(Drivers!$C$3,Opex!M14,Opex!M17,Opex!M20)</f>
        <v>-0.12491789626395092</v>
      </c>
      <c r="N10" s="94">
        <f>CHOOSE(Drivers!$C$3,Opex!N14,Opex!N17,Opex!N20)</f>
        <v>-0.12491789626395092</v>
      </c>
      <c r="O10" s="94">
        <f>CHOOSE(Drivers!$C$3,Opex!O14,Opex!O17,Opex!O20)</f>
        <v>-0.12491789626395092</v>
      </c>
      <c r="P10" s="94">
        <f>CHOOSE(Drivers!$C$3,Opex!P14,Opex!P17,Opex!P20)</f>
        <v>-0.12491789626395092</v>
      </c>
      <c r="Q10" s="94">
        <f>CHOOSE(Drivers!$C$3,Opex!Q14,Opex!Q17,Opex!Q20)</f>
        <v>-0.12491789626395092</v>
      </c>
      <c r="R10" s="94">
        <f>CHOOSE(Drivers!$C$3,Opex!R14,Opex!R17,Opex!R20)</f>
        <v>-0.12491789626395092</v>
      </c>
      <c r="S10" s="94">
        <f>CHOOSE(Drivers!$C$3,Opex!S14,Opex!S17,Opex!S20)</f>
        <v>-0.12491789626395092</v>
      </c>
    </row>
    <row r="11" spans="1:19" x14ac:dyDescent="0.25">
      <c r="B11" s="92"/>
      <c r="C11" s="95"/>
      <c r="D11" s="95"/>
      <c r="E11" s="95"/>
      <c r="F11" s="95"/>
      <c r="G11" s="92"/>
      <c r="H11" s="92"/>
      <c r="I11" s="95"/>
      <c r="J11" s="95"/>
      <c r="K11" s="93"/>
      <c r="L11" s="93"/>
      <c r="M11" s="93"/>
      <c r="N11" s="93"/>
      <c r="O11" s="93"/>
      <c r="P11" s="93"/>
      <c r="Q11" s="93"/>
      <c r="R11" s="93"/>
      <c r="S11" s="93"/>
    </row>
    <row r="12" spans="1:19" x14ac:dyDescent="0.25">
      <c r="B12" s="108" t="s">
        <v>223</v>
      </c>
      <c r="C12" s="95"/>
      <c r="D12" s="95"/>
      <c r="E12" s="95"/>
      <c r="F12" s="95"/>
      <c r="G12" s="92"/>
      <c r="H12" s="92"/>
      <c r="I12" s="95"/>
      <c r="J12" s="95"/>
      <c r="K12" s="93"/>
      <c r="L12" s="93"/>
      <c r="M12" s="93"/>
      <c r="N12" s="93"/>
      <c r="O12" s="93"/>
      <c r="P12" s="93"/>
      <c r="Q12" s="93"/>
      <c r="R12" s="93"/>
      <c r="S12" s="93"/>
    </row>
    <row r="13" spans="1:19" x14ac:dyDescent="0.25">
      <c r="B13" s="91" t="s">
        <v>71</v>
      </c>
      <c r="C13" s="92"/>
      <c r="D13" s="92"/>
      <c r="E13" s="92"/>
      <c r="F13" s="92"/>
      <c r="G13" s="92"/>
      <c r="H13" s="92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</row>
    <row r="14" spans="1:19" x14ac:dyDescent="0.25">
      <c r="B14" s="92" t="s">
        <v>236</v>
      </c>
      <c r="C14" s="95"/>
      <c r="D14" s="79"/>
      <c r="E14" s="79"/>
      <c r="F14" s="79"/>
      <c r="G14" s="92"/>
      <c r="H14" s="94">
        <f>H17+3%</f>
        <v>-0.23482586288194604</v>
      </c>
      <c r="I14" s="79"/>
      <c r="J14" s="94">
        <f>J17+2%</f>
        <v>-0.10491789626395091</v>
      </c>
      <c r="K14" s="94">
        <f t="shared" ref="K14:S14" si="3">K17+2%</f>
        <v>-0.10491789626395091</v>
      </c>
      <c r="L14" s="94">
        <f t="shared" si="3"/>
        <v>-0.10491789626395091</v>
      </c>
      <c r="M14" s="94">
        <f t="shared" si="3"/>
        <v>-0.10491789626395091</v>
      </c>
      <c r="N14" s="94">
        <f t="shared" si="3"/>
        <v>-0.10491789626395091</v>
      </c>
      <c r="O14" s="94">
        <f t="shared" si="3"/>
        <v>-0.10491789626395091</v>
      </c>
      <c r="P14" s="94">
        <f t="shared" si="3"/>
        <v>-0.10491789626395091</v>
      </c>
      <c r="Q14" s="94">
        <f t="shared" si="3"/>
        <v>-0.10491789626395091</v>
      </c>
      <c r="R14" s="94">
        <f t="shared" si="3"/>
        <v>-0.10491789626395091</v>
      </c>
      <c r="S14" s="94">
        <f t="shared" si="3"/>
        <v>-0.10491789626395091</v>
      </c>
    </row>
    <row r="15" spans="1:19" x14ac:dyDescent="0.25">
      <c r="B15" s="92"/>
      <c r="C15" s="95"/>
      <c r="D15" s="95"/>
      <c r="E15" s="95"/>
      <c r="F15" s="95"/>
      <c r="G15" s="92"/>
      <c r="H15" s="92"/>
      <c r="I15" s="95"/>
      <c r="J15" s="95"/>
      <c r="K15" s="93"/>
      <c r="L15" s="93"/>
      <c r="M15" s="93"/>
      <c r="N15" s="93"/>
      <c r="O15" s="93"/>
      <c r="P15" s="93"/>
      <c r="Q15" s="93"/>
      <c r="R15" s="93"/>
      <c r="S15" s="93"/>
    </row>
    <row r="16" spans="1:19" x14ac:dyDescent="0.25">
      <c r="B16" s="91" t="s">
        <v>72</v>
      </c>
      <c r="C16" s="92"/>
      <c r="D16" s="92"/>
      <c r="E16" s="92"/>
      <c r="F16" s="92"/>
      <c r="G16" s="92"/>
      <c r="H16" s="92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</row>
    <row r="17" spans="2:19" x14ac:dyDescent="0.25">
      <c r="B17" s="92" t="s">
        <v>236</v>
      </c>
      <c r="C17" s="95"/>
      <c r="D17" s="79"/>
      <c r="E17" s="79"/>
      <c r="F17" s="79"/>
      <c r="G17" s="92"/>
      <c r="H17" s="94">
        <f>AVERAGE($C$6:$F$6)+6%</f>
        <v>-0.26482586288194604</v>
      </c>
      <c r="I17" s="79"/>
      <c r="J17" s="94">
        <f>-'Opex comparables'!$D$18</f>
        <v>-0.12491789626395092</v>
      </c>
      <c r="K17" s="94">
        <f>-'Opex comparables'!$D$18</f>
        <v>-0.12491789626395092</v>
      </c>
      <c r="L17" s="94">
        <f>-'Opex comparables'!$D$18</f>
        <v>-0.12491789626395092</v>
      </c>
      <c r="M17" s="94">
        <f>-'Opex comparables'!$D$18</f>
        <v>-0.12491789626395092</v>
      </c>
      <c r="N17" s="94">
        <f>-'Opex comparables'!$D$18</f>
        <v>-0.12491789626395092</v>
      </c>
      <c r="O17" s="94">
        <f>-'Opex comparables'!$D$18</f>
        <v>-0.12491789626395092</v>
      </c>
      <c r="P17" s="94">
        <f>-'Opex comparables'!$D$18</f>
        <v>-0.12491789626395092</v>
      </c>
      <c r="Q17" s="94">
        <f>-'Opex comparables'!$D$18</f>
        <v>-0.12491789626395092</v>
      </c>
      <c r="R17" s="94">
        <f>-'Opex comparables'!$D$18</f>
        <v>-0.12491789626395092</v>
      </c>
      <c r="S17" s="94">
        <f>-'Opex comparables'!$D$18</f>
        <v>-0.12491789626395092</v>
      </c>
    </row>
    <row r="18" spans="2:19" x14ac:dyDescent="0.25">
      <c r="B18" s="92"/>
      <c r="C18" s="95"/>
      <c r="D18" s="95"/>
      <c r="E18" s="95"/>
      <c r="F18" s="95"/>
      <c r="G18" s="92"/>
      <c r="H18" s="92"/>
      <c r="I18" s="95"/>
      <c r="J18" s="95"/>
      <c r="K18" s="93"/>
      <c r="L18" s="93"/>
      <c r="M18" s="93"/>
      <c r="N18" s="93"/>
      <c r="O18" s="93"/>
      <c r="P18" s="93"/>
      <c r="Q18" s="93"/>
      <c r="R18" s="93"/>
      <c r="S18" s="93"/>
    </row>
    <row r="19" spans="2:19" x14ac:dyDescent="0.25">
      <c r="B19" s="91" t="s">
        <v>73</v>
      </c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</row>
    <row r="20" spans="2:19" x14ac:dyDescent="0.25">
      <c r="B20" s="92" t="s">
        <v>236</v>
      </c>
      <c r="C20" s="95"/>
      <c r="D20" s="79"/>
      <c r="E20" s="79"/>
      <c r="F20" s="79"/>
      <c r="G20" s="92"/>
      <c r="H20" s="94">
        <f>H17-3%</f>
        <v>-0.29482586288194601</v>
      </c>
      <c r="I20" s="93"/>
      <c r="J20" s="94">
        <f>J17-2%</f>
        <v>-0.14491789626395091</v>
      </c>
      <c r="K20" s="94">
        <f t="shared" ref="K20:S20" si="4">K17-2%</f>
        <v>-0.14491789626395091</v>
      </c>
      <c r="L20" s="94">
        <f t="shared" si="4"/>
        <v>-0.14491789626395091</v>
      </c>
      <c r="M20" s="94">
        <f t="shared" si="4"/>
        <v>-0.14491789626395091</v>
      </c>
      <c r="N20" s="94">
        <f t="shared" si="4"/>
        <v>-0.14491789626395091</v>
      </c>
      <c r="O20" s="94">
        <f t="shared" si="4"/>
        <v>-0.14491789626395091</v>
      </c>
      <c r="P20" s="94">
        <f t="shared" si="4"/>
        <v>-0.14491789626395091</v>
      </c>
      <c r="Q20" s="94">
        <f t="shared" si="4"/>
        <v>-0.14491789626395091</v>
      </c>
      <c r="R20" s="94">
        <f t="shared" si="4"/>
        <v>-0.14491789626395091</v>
      </c>
      <c r="S20" s="94">
        <f t="shared" si="4"/>
        <v>-0.14491789626395091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65FF-8701-4B5E-8FA4-1305F3C0030C}">
  <sheetPr>
    <tabColor rgb="FFC0000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261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8B71-3D5F-4A96-B31A-D368DB818E80}">
  <sheetPr>
    <tabColor theme="5"/>
  </sheetPr>
  <dimension ref="B14"/>
  <sheetViews>
    <sheetView topLeftCell="A4"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246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4"/>
  <sheetViews>
    <sheetView workbookViewId="0">
      <selection activeCell="E8" sqref="E8"/>
    </sheetView>
  </sheetViews>
  <sheetFormatPr defaultColWidth="9.109375" defaultRowHeight="13.2" x14ac:dyDescent="0.25"/>
  <cols>
    <col min="1" max="1" width="2" style="19" customWidth="1"/>
    <col min="2" max="2" width="26.88671875" style="19" customWidth="1"/>
    <col min="3" max="3" width="12.88671875" style="19" bestFit="1" customWidth="1"/>
    <col min="4" max="4" width="10.5546875" style="19" customWidth="1"/>
    <col min="5" max="5" width="10.109375" style="19" customWidth="1"/>
    <col min="6" max="6" width="10" style="19" customWidth="1"/>
    <col min="7" max="14" width="10.33203125" style="19" customWidth="1"/>
    <col min="15" max="16384" width="9.109375" style="19"/>
  </cols>
  <sheetData>
    <row r="1" spans="1:19" ht="15.6" x14ac:dyDescent="0.3">
      <c r="B1" s="18" t="s">
        <v>163</v>
      </c>
    </row>
    <row r="3" spans="1:19" x14ac:dyDescent="0.25">
      <c r="B3" s="121" t="str">
        <f>"Selected case:"&amp;CHOOSE(C3," as a % of PPE"," as a % of revenue")</f>
        <v>Selected case: as a % of PPE</v>
      </c>
      <c r="C3" s="120">
        <v>1</v>
      </c>
    </row>
    <row r="4" spans="1:19" ht="5.4" customHeight="1" x14ac:dyDescent="0.25">
      <c r="B4" s="121"/>
      <c r="C4" s="122"/>
    </row>
    <row r="5" spans="1:19" x14ac:dyDescent="0.25">
      <c r="C5" s="224" t="s">
        <v>238</v>
      </c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</row>
    <row r="6" spans="1:19" ht="26.4" customHeight="1" x14ac:dyDescent="0.25">
      <c r="A6" s="19" t="s">
        <v>76</v>
      </c>
      <c r="B6" s="5" t="s">
        <v>260</v>
      </c>
      <c r="C6" s="6" t="s">
        <v>239</v>
      </c>
      <c r="D6" s="6" t="s">
        <v>240</v>
      </c>
      <c r="E6" s="6" t="s">
        <v>241</v>
      </c>
      <c r="F6" s="6" t="s">
        <v>244</v>
      </c>
      <c r="G6" s="6" t="s">
        <v>242</v>
      </c>
      <c r="H6" s="98" t="s">
        <v>184</v>
      </c>
      <c r="I6" s="98" t="s">
        <v>295</v>
      </c>
      <c r="J6" s="98" t="s">
        <v>296</v>
      </c>
      <c r="K6" s="98" t="s">
        <v>297</v>
      </c>
      <c r="L6" s="98" t="s">
        <v>298</v>
      </c>
      <c r="M6" s="98" t="s">
        <v>299</v>
      </c>
      <c r="N6" s="98" t="s">
        <v>300</v>
      </c>
      <c r="O6" s="98" t="s">
        <v>301</v>
      </c>
      <c r="P6" s="98" t="s">
        <v>302</v>
      </c>
      <c r="Q6" s="98" t="s">
        <v>303</v>
      </c>
      <c r="R6" s="98" t="s">
        <v>304</v>
      </c>
      <c r="S6" s="98" t="s">
        <v>305</v>
      </c>
    </row>
    <row r="7" spans="1:19" x14ac:dyDescent="0.25">
      <c r="B7" s="20" t="s">
        <v>81</v>
      </c>
      <c r="C7" s="123">
        <f>738494/1000</f>
        <v>738.49400000000003</v>
      </c>
      <c r="D7" s="124">
        <f>C10</f>
        <v>1829.2670000000001</v>
      </c>
      <c r="E7" s="124">
        <f>D10</f>
        <v>3403.3339999999998</v>
      </c>
      <c r="F7" s="124">
        <f>E10</f>
        <v>5982.9570000000003</v>
      </c>
      <c r="G7" s="170">
        <f>F10</f>
        <v>10027.522000000001</v>
      </c>
      <c r="H7" s="125">
        <f>G10</f>
        <v>10969.348</v>
      </c>
      <c r="I7" s="125">
        <f>F10</f>
        <v>10027.522000000001</v>
      </c>
      <c r="J7" s="125">
        <f>I10</f>
        <v>14637.79562666667</v>
      </c>
      <c r="K7" s="125">
        <f t="shared" ref="K7:O7" si="0">J10</f>
        <v>19126.71961884445</v>
      </c>
      <c r="L7" s="125">
        <f t="shared" si="0"/>
        <v>23116.006853632007</v>
      </c>
      <c r="M7" s="125">
        <f t="shared" si="0"/>
        <v>25682.266148777537</v>
      </c>
      <c r="N7" s="125">
        <f t="shared" si="0"/>
        <v>28419.347087635142</v>
      </c>
      <c r="O7" s="125">
        <f t="shared" si="0"/>
        <v>31324.919586429129</v>
      </c>
      <c r="P7" s="125">
        <f t="shared" ref="P7" si="1">O10</f>
        <v>34393.940990496194</v>
      </c>
      <c r="Q7" s="125">
        <f t="shared" ref="Q7" si="2">P10</f>
        <v>37618.180795503387</v>
      </c>
      <c r="R7" s="125">
        <f t="shared" ref="R7" si="3">Q10</f>
        <v>40985.69281757198</v>
      </c>
      <c r="S7" s="125">
        <f t="shared" ref="S7" si="4">R10</f>
        <v>44480.231339819991</v>
      </c>
    </row>
    <row r="8" spans="1:19" x14ac:dyDescent="0.25">
      <c r="B8" s="20" t="s">
        <v>82</v>
      </c>
      <c r="C8" s="124">
        <f>C10-C7-C9</f>
        <v>1322.7040000000002</v>
      </c>
      <c r="D8" s="124">
        <f>D10-D7-D9</f>
        <v>1996.6569999999997</v>
      </c>
      <c r="E8" s="124">
        <f>E10-E7-E9</f>
        <v>3526.7220000000007</v>
      </c>
      <c r="F8" s="124">
        <f>F10-F7-F9</f>
        <v>5210.9620000000004</v>
      </c>
      <c r="G8" s="170">
        <f>G10-G7-G9</f>
        <v>1843.3139999999992</v>
      </c>
      <c r="H8" s="125">
        <f>I8-G8</f>
        <v>4173.1992000000009</v>
      </c>
      <c r="I8" s="125">
        <f>CHOOSE($C$3,I30*I7,I31*'P&amp;L'!I5)</f>
        <v>6016.5132000000003</v>
      </c>
      <c r="J8" s="125">
        <f>CHOOSE($C$3,J30*J7,J31*'P&amp;L'!J5)</f>
        <v>5855.1182506666682</v>
      </c>
      <c r="K8" s="125">
        <f>CHOOSE($C$3,K30*K7,K31*'P&amp;L'!K5)</f>
        <v>5738.0158856533353</v>
      </c>
      <c r="L8" s="125">
        <f>CHOOSE($C$3,L30*L7,L31*'P&amp;L'!L5)</f>
        <v>4623.2013707264014</v>
      </c>
      <c r="M8" s="125">
        <f>CHOOSE($C$3,M30*M7,M31*'P&amp;L'!M5)</f>
        <v>5136.4532297555079</v>
      </c>
      <c r="N8" s="125">
        <f>CHOOSE($C$3,N30*N7,N31*'P&amp;L'!N5)</f>
        <v>5683.8694175270284</v>
      </c>
      <c r="O8" s="125">
        <f>CHOOSE($C$3,O30*O7,O31*'P&amp;L'!O5)</f>
        <v>6264.9839172858265</v>
      </c>
      <c r="P8" s="125">
        <f>CHOOSE($C$3,P30*P7,P31*'P&amp;L'!P5)</f>
        <v>6878.7881980992388</v>
      </c>
      <c r="Q8" s="125">
        <f>CHOOSE($C$3,Q30*Q7,Q31*'P&amp;L'!Q5)</f>
        <v>7523.636159100678</v>
      </c>
      <c r="R8" s="125">
        <f>CHOOSE($C$3,R30*R7,R31*'P&amp;L'!R5)</f>
        <v>8197.1385635143961</v>
      </c>
      <c r="S8" s="125">
        <f>CHOOSE($C$3,S30*S7,S31*'P&amp;L'!S5)</f>
        <v>8896.0462679639986</v>
      </c>
    </row>
    <row r="9" spans="1:19" x14ac:dyDescent="0.25">
      <c r="B9" s="19" t="s">
        <v>83</v>
      </c>
      <c r="C9" s="126">
        <f>-231931/1000</f>
        <v>-231.93100000000001</v>
      </c>
      <c r="D9" s="126">
        <f>-422590/1000</f>
        <v>-422.59</v>
      </c>
      <c r="E9" s="126">
        <f>-947099/1000</f>
        <v>-947.09900000000005</v>
      </c>
      <c r="F9" s="126">
        <f>-1166397/1000</f>
        <v>-1166.3969999999999</v>
      </c>
      <c r="G9" s="170">
        <f>-901488/1000</f>
        <v>-901.48800000000006</v>
      </c>
      <c r="H9" s="125">
        <f>H26</f>
        <v>-504.75157333333334</v>
      </c>
      <c r="I9" s="125">
        <f>G9+H9</f>
        <v>-1406.2395733333333</v>
      </c>
      <c r="J9" s="125">
        <f t="shared" ref="J9:S9" si="5">J26</f>
        <v>-1366.1942584888893</v>
      </c>
      <c r="K9" s="125">
        <f t="shared" si="5"/>
        <v>-1748.7286508657783</v>
      </c>
      <c r="L9" s="125">
        <f t="shared" si="5"/>
        <v>-2056.9420755808715</v>
      </c>
      <c r="M9" s="125">
        <f t="shared" si="5"/>
        <v>-2399.3722908979053</v>
      </c>
      <c r="N9" s="125">
        <f t="shared" si="5"/>
        <v>-2778.2969187330405</v>
      </c>
      <c r="O9" s="125">
        <f t="shared" si="5"/>
        <v>-3195.9625132187621</v>
      </c>
      <c r="P9" s="125">
        <f t="shared" si="5"/>
        <v>-3654.5483930920445</v>
      </c>
      <c r="Q9" s="125">
        <f t="shared" si="5"/>
        <v>-4156.1241370320895</v>
      </c>
      <c r="R9" s="125">
        <f t="shared" si="5"/>
        <v>-4702.6000412663825</v>
      </c>
      <c r="S9" s="125">
        <f t="shared" si="5"/>
        <v>-5295.669792463982</v>
      </c>
    </row>
    <row r="10" spans="1:19" s="22" customFormat="1" ht="14.4" thickBot="1" x14ac:dyDescent="0.3">
      <c r="B10" s="116" t="s">
        <v>84</v>
      </c>
      <c r="C10" s="127">
        <f>'Balance Sheet Input'!C12/1000</f>
        <v>1829.2670000000001</v>
      </c>
      <c r="D10" s="127">
        <f>'Balance Sheet Input'!D12/1000</f>
        <v>3403.3339999999998</v>
      </c>
      <c r="E10" s="127">
        <f>'Balance Sheet Input'!E12/1000</f>
        <v>5982.9570000000003</v>
      </c>
      <c r="F10" s="127">
        <f>'Balance Sheet Input'!F12/1000</f>
        <v>10027.522000000001</v>
      </c>
      <c r="G10" s="127">
        <f>'Balance Sheet Input'!G12/1000</f>
        <v>10969.348</v>
      </c>
      <c r="H10" s="127">
        <f>SUM(H7:H9)</f>
        <v>14637.795626666668</v>
      </c>
      <c r="I10" s="127">
        <f>SUM(I7:I9)</f>
        <v>14637.79562666667</v>
      </c>
      <c r="J10" s="127">
        <f t="shared" ref="J10:S10" si="6">SUM(J7:J9)</f>
        <v>19126.71961884445</v>
      </c>
      <c r="K10" s="127">
        <f t="shared" si="6"/>
        <v>23116.006853632007</v>
      </c>
      <c r="L10" s="127">
        <f t="shared" si="6"/>
        <v>25682.266148777537</v>
      </c>
      <c r="M10" s="127">
        <f t="shared" si="6"/>
        <v>28419.347087635142</v>
      </c>
      <c r="N10" s="127">
        <f t="shared" si="6"/>
        <v>31324.919586429129</v>
      </c>
      <c r="O10" s="127">
        <f t="shared" si="6"/>
        <v>34393.940990496194</v>
      </c>
      <c r="P10" s="127">
        <f t="shared" si="6"/>
        <v>37618.180795503387</v>
      </c>
      <c r="Q10" s="127">
        <f t="shared" si="6"/>
        <v>40985.69281757198</v>
      </c>
      <c r="R10" s="127">
        <f t="shared" si="6"/>
        <v>44480.231339819991</v>
      </c>
      <c r="S10" s="127">
        <f t="shared" si="6"/>
        <v>48080.607815320007</v>
      </c>
    </row>
    <row r="11" spans="1:19" ht="4.95" customHeight="1" x14ac:dyDescent="0.25"/>
    <row r="12" spans="1:19" x14ac:dyDescent="0.25">
      <c r="B12" s="20"/>
      <c r="C12" s="224" t="s">
        <v>243</v>
      </c>
      <c r="D12" s="224"/>
      <c r="E12" s="224"/>
      <c r="F12" s="224"/>
      <c r="G12" s="224"/>
      <c r="H12" s="224"/>
      <c r="I12" s="224"/>
      <c r="J12" s="224"/>
      <c r="K12" s="224"/>
      <c r="L12" s="224"/>
      <c r="M12" s="224"/>
      <c r="N12" s="224"/>
      <c r="O12" s="224"/>
      <c r="P12" s="224"/>
      <c r="Q12" s="224"/>
      <c r="R12" s="224"/>
      <c r="S12" s="224"/>
    </row>
    <row r="13" spans="1:19" ht="24" x14ac:dyDescent="0.25">
      <c r="B13" s="5" t="s">
        <v>260</v>
      </c>
      <c r="C13" s="6" t="s">
        <v>45</v>
      </c>
      <c r="D13" s="6" t="s">
        <v>46</v>
      </c>
      <c r="E13" s="6" t="s">
        <v>47</v>
      </c>
      <c r="F13" s="6" t="s">
        <v>165</v>
      </c>
      <c r="G13" s="6" t="s">
        <v>173</v>
      </c>
      <c r="H13" s="98" t="s">
        <v>184</v>
      </c>
      <c r="I13" s="98" t="s">
        <v>183</v>
      </c>
      <c r="J13" s="98" t="s">
        <v>185</v>
      </c>
      <c r="K13" s="98" t="s">
        <v>186</v>
      </c>
      <c r="L13" s="98" t="s">
        <v>187</v>
      </c>
      <c r="M13" s="98" t="s">
        <v>188</v>
      </c>
      <c r="N13" s="98" t="s">
        <v>189</v>
      </c>
      <c r="O13" s="98" t="s">
        <v>269</v>
      </c>
      <c r="P13" s="98" t="s">
        <v>270</v>
      </c>
      <c r="Q13" s="98" t="s">
        <v>271</v>
      </c>
      <c r="R13" s="98" t="s">
        <v>272</v>
      </c>
      <c r="S13" s="98" t="s">
        <v>273</v>
      </c>
    </row>
    <row r="14" spans="1:19" x14ac:dyDescent="0.25">
      <c r="B14" s="23" t="s">
        <v>184</v>
      </c>
      <c r="C14" s="23"/>
      <c r="D14" s="23"/>
      <c r="E14" s="23"/>
      <c r="F14" s="23"/>
      <c r="G14" s="171"/>
      <c r="H14" s="74">
        <f>-$G$10/$C$34/2-$H$8/$C$33/2</f>
        <v>-504.75157333333334</v>
      </c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</row>
    <row r="15" spans="1:19" x14ac:dyDescent="0.25">
      <c r="B15" s="23" t="s">
        <v>183</v>
      </c>
      <c r="C15" s="23"/>
      <c r="D15" s="23"/>
      <c r="E15" s="23"/>
      <c r="F15" s="23"/>
      <c r="G15" s="171"/>
      <c r="H15" s="74"/>
      <c r="I15" s="74">
        <f>I9</f>
        <v>-1406.2395733333333</v>
      </c>
      <c r="J15" s="74"/>
      <c r="K15" s="74"/>
      <c r="L15" s="74"/>
      <c r="M15" s="74"/>
      <c r="N15" s="74"/>
      <c r="O15" s="74"/>
      <c r="P15" s="74"/>
      <c r="Q15" s="74"/>
      <c r="R15" s="74"/>
      <c r="S15" s="74"/>
    </row>
    <row r="16" spans="1:19" x14ac:dyDescent="0.25">
      <c r="B16" s="23" t="s">
        <v>185</v>
      </c>
      <c r="C16" s="23"/>
      <c r="D16" s="23"/>
      <c r="E16" s="23"/>
      <c r="F16" s="23"/>
      <c r="G16" s="171"/>
      <c r="H16" s="74"/>
      <c r="I16" s="74"/>
      <c r="J16" s="74">
        <f t="shared" ref="J16:S16" si="7">-$I$10/$C$34-$J$8/$C$33</f>
        <v>-1366.1942584888893</v>
      </c>
      <c r="K16" s="74">
        <f t="shared" si="7"/>
        <v>-1366.1942584888893</v>
      </c>
      <c r="L16" s="74">
        <f t="shared" si="7"/>
        <v>-1366.1942584888893</v>
      </c>
      <c r="M16" s="74">
        <f t="shared" si="7"/>
        <v>-1366.1942584888893</v>
      </c>
      <c r="N16" s="74">
        <f t="shared" si="7"/>
        <v>-1366.1942584888893</v>
      </c>
      <c r="O16" s="74">
        <f t="shared" si="7"/>
        <v>-1366.1942584888893</v>
      </c>
      <c r="P16" s="74">
        <f t="shared" si="7"/>
        <v>-1366.1942584888893</v>
      </c>
      <c r="Q16" s="74">
        <f t="shared" si="7"/>
        <v>-1366.1942584888893</v>
      </c>
      <c r="R16" s="74">
        <f t="shared" si="7"/>
        <v>-1366.1942584888893</v>
      </c>
      <c r="S16" s="74">
        <f t="shared" si="7"/>
        <v>-1366.1942584888893</v>
      </c>
    </row>
    <row r="17" spans="2:19" x14ac:dyDescent="0.25">
      <c r="B17" s="23" t="s">
        <v>186</v>
      </c>
      <c r="C17" s="23"/>
      <c r="D17" s="23"/>
      <c r="E17" s="23"/>
      <c r="F17" s="23"/>
      <c r="G17" s="171"/>
      <c r="H17" s="74"/>
      <c r="I17" s="74"/>
      <c r="J17" s="74"/>
      <c r="K17" s="74">
        <f t="shared" ref="K17:S17" si="8">-$K$8/$C$33</f>
        <v>-382.534392376889</v>
      </c>
      <c r="L17" s="74">
        <f t="shared" si="8"/>
        <v>-382.534392376889</v>
      </c>
      <c r="M17" s="74">
        <f t="shared" si="8"/>
        <v>-382.534392376889</v>
      </c>
      <c r="N17" s="74">
        <f t="shared" si="8"/>
        <v>-382.534392376889</v>
      </c>
      <c r="O17" s="74">
        <f t="shared" si="8"/>
        <v>-382.534392376889</v>
      </c>
      <c r="P17" s="74">
        <f t="shared" si="8"/>
        <v>-382.534392376889</v>
      </c>
      <c r="Q17" s="74">
        <f t="shared" si="8"/>
        <v>-382.534392376889</v>
      </c>
      <c r="R17" s="74">
        <f t="shared" si="8"/>
        <v>-382.534392376889</v>
      </c>
      <c r="S17" s="74">
        <f t="shared" si="8"/>
        <v>-382.534392376889</v>
      </c>
    </row>
    <row r="18" spans="2:19" x14ac:dyDescent="0.25">
      <c r="B18" s="23" t="s">
        <v>187</v>
      </c>
      <c r="C18" s="23"/>
      <c r="D18" s="23"/>
      <c r="E18" s="23"/>
      <c r="F18" s="23"/>
      <c r="G18" s="171"/>
      <c r="H18" s="74"/>
      <c r="I18" s="74"/>
      <c r="J18" s="74"/>
      <c r="K18" s="74"/>
      <c r="L18" s="74">
        <f t="shared" ref="L18:S18" si="9">-$L$8/$C$33</f>
        <v>-308.21342471509342</v>
      </c>
      <c r="M18" s="74">
        <f t="shared" si="9"/>
        <v>-308.21342471509342</v>
      </c>
      <c r="N18" s="74">
        <f t="shared" si="9"/>
        <v>-308.21342471509342</v>
      </c>
      <c r="O18" s="74">
        <f t="shared" si="9"/>
        <v>-308.21342471509342</v>
      </c>
      <c r="P18" s="74">
        <f t="shared" si="9"/>
        <v>-308.21342471509342</v>
      </c>
      <c r="Q18" s="74">
        <f t="shared" si="9"/>
        <v>-308.21342471509342</v>
      </c>
      <c r="R18" s="74">
        <f t="shared" si="9"/>
        <v>-308.21342471509342</v>
      </c>
      <c r="S18" s="74">
        <f t="shared" si="9"/>
        <v>-308.21342471509342</v>
      </c>
    </row>
    <row r="19" spans="2:19" x14ac:dyDescent="0.25">
      <c r="B19" s="23" t="s">
        <v>188</v>
      </c>
      <c r="C19" s="23"/>
      <c r="D19" s="23"/>
      <c r="E19" s="23"/>
      <c r="F19" s="23"/>
      <c r="G19" s="171"/>
      <c r="H19" s="74"/>
      <c r="I19" s="74"/>
      <c r="J19" s="74"/>
      <c r="K19" s="74"/>
      <c r="L19" s="74"/>
      <c r="M19" s="74">
        <f>-$M$8/$C$33</f>
        <v>-342.43021531703386</v>
      </c>
      <c r="N19" s="74">
        <f t="shared" ref="N19:S19" si="10">-$M$8/$C$33</f>
        <v>-342.43021531703386</v>
      </c>
      <c r="O19" s="74">
        <f t="shared" si="10"/>
        <v>-342.43021531703386</v>
      </c>
      <c r="P19" s="74">
        <f t="shared" si="10"/>
        <v>-342.43021531703386</v>
      </c>
      <c r="Q19" s="74">
        <f t="shared" si="10"/>
        <v>-342.43021531703386</v>
      </c>
      <c r="R19" s="74">
        <f t="shared" si="10"/>
        <v>-342.43021531703386</v>
      </c>
      <c r="S19" s="74">
        <f t="shared" si="10"/>
        <v>-342.43021531703386</v>
      </c>
    </row>
    <row r="20" spans="2:19" x14ac:dyDescent="0.25">
      <c r="B20" s="23" t="s">
        <v>189</v>
      </c>
      <c r="C20" s="23"/>
      <c r="D20" s="23"/>
      <c r="E20" s="23"/>
      <c r="F20" s="23"/>
      <c r="G20" s="171"/>
      <c r="H20" s="74"/>
      <c r="I20" s="74"/>
      <c r="J20" s="74"/>
      <c r="K20" s="74"/>
      <c r="L20" s="74"/>
      <c r="M20" s="74"/>
      <c r="N20" s="74">
        <f t="shared" ref="N20:S20" si="11">-$N$8/$C$33</f>
        <v>-378.92462783513525</v>
      </c>
      <c r="O20" s="74">
        <f t="shared" si="11"/>
        <v>-378.92462783513525</v>
      </c>
      <c r="P20" s="74">
        <f t="shared" si="11"/>
        <v>-378.92462783513525</v>
      </c>
      <c r="Q20" s="74">
        <f t="shared" si="11"/>
        <v>-378.92462783513525</v>
      </c>
      <c r="R20" s="74">
        <f t="shared" si="11"/>
        <v>-378.92462783513525</v>
      </c>
      <c r="S20" s="74">
        <f t="shared" si="11"/>
        <v>-378.92462783513525</v>
      </c>
    </row>
    <row r="21" spans="2:19" x14ac:dyDescent="0.25">
      <c r="B21" s="23" t="s">
        <v>276</v>
      </c>
      <c r="C21" s="23"/>
      <c r="D21" s="23"/>
      <c r="E21" s="23"/>
      <c r="F21" s="23"/>
      <c r="G21" s="171"/>
      <c r="H21" s="74"/>
      <c r="I21" s="74"/>
      <c r="J21" s="74"/>
      <c r="K21" s="74"/>
      <c r="L21" s="74"/>
      <c r="M21" s="74"/>
      <c r="N21" s="74"/>
      <c r="O21" s="74">
        <f>-$O$8/$C$33</f>
        <v>-417.66559448572178</v>
      </c>
      <c r="P21" s="74">
        <f>-$O$8/$C$33</f>
        <v>-417.66559448572178</v>
      </c>
      <c r="Q21" s="74">
        <f>-$O$8/$C$33</f>
        <v>-417.66559448572178</v>
      </c>
      <c r="R21" s="74">
        <f>-$O$8/$C$33</f>
        <v>-417.66559448572178</v>
      </c>
      <c r="S21" s="74">
        <f>-$O$8/$C$33</f>
        <v>-417.66559448572178</v>
      </c>
    </row>
    <row r="22" spans="2:19" x14ac:dyDescent="0.25">
      <c r="B22" s="23" t="s">
        <v>277</v>
      </c>
      <c r="C22" s="23"/>
      <c r="D22" s="23"/>
      <c r="E22" s="23"/>
      <c r="F22" s="23"/>
      <c r="G22" s="171"/>
      <c r="H22" s="74"/>
      <c r="I22" s="74"/>
      <c r="J22" s="74"/>
      <c r="K22" s="74"/>
      <c r="L22" s="74"/>
      <c r="M22" s="74"/>
      <c r="N22" s="74"/>
      <c r="O22" s="74"/>
      <c r="P22" s="74">
        <f>-$P$8/$C$33</f>
        <v>-458.58587987328258</v>
      </c>
      <c r="Q22" s="74">
        <f t="shared" ref="Q22:S22" si="12">-$P$8/$C$33</f>
        <v>-458.58587987328258</v>
      </c>
      <c r="R22" s="74">
        <f t="shared" si="12"/>
        <v>-458.58587987328258</v>
      </c>
      <c r="S22" s="74">
        <f t="shared" si="12"/>
        <v>-458.58587987328258</v>
      </c>
    </row>
    <row r="23" spans="2:19" x14ac:dyDescent="0.25">
      <c r="B23" s="23" t="s">
        <v>278</v>
      </c>
      <c r="C23" s="23"/>
      <c r="D23" s="23"/>
      <c r="E23" s="23"/>
      <c r="F23" s="23"/>
      <c r="G23" s="171"/>
      <c r="H23" s="74"/>
      <c r="I23" s="74"/>
      <c r="J23" s="74"/>
      <c r="K23" s="74"/>
      <c r="L23" s="74"/>
      <c r="M23" s="74"/>
      <c r="N23" s="74"/>
      <c r="O23" s="74"/>
      <c r="P23" s="74"/>
      <c r="Q23" s="74">
        <f>-$Q$8/$C$33</f>
        <v>-501.57574394004519</v>
      </c>
      <c r="R23" s="74">
        <f t="shared" ref="R23:S23" si="13">-$Q$8/$C$33</f>
        <v>-501.57574394004519</v>
      </c>
      <c r="S23" s="74">
        <f t="shared" si="13"/>
        <v>-501.57574394004519</v>
      </c>
    </row>
    <row r="24" spans="2:19" x14ac:dyDescent="0.25">
      <c r="B24" s="23" t="s">
        <v>279</v>
      </c>
      <c r="C24" s="23"/>
      <c r="D24" s="23"/>
      <c r="E24" s="23"/>
      <c r="F24" s="23"/>
      <c r="G24" s="171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>
        <f>-$R$8/$C$33</f>
        <v>-546.47590423429313</v>
      </c>
      <c r="S24" s="74">
        <f>-$R$8/$C$33</f>
        <v>-546.47590423429313</v>
      </c>
    </row>
    <row r="25" spans="2:19" x14ac:dyDescent="0.25">
      <c r="B25" s="23" t="s">
        <v>280</v>
      </c>
      <c r="C25" s="23"/>
      <c r="D25" s="23"/>
      <c r="E25" s="23"/>
      <c r="F25" s="23"/>
      <c r="G25" s="171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>
        <f>-$S$8/$C$33</f>
        <v>-593.06975119759989</v>
      </c>
    </row>
    <row r="26" spans="2:19" ht="13.8" thickBot="1" x14ac:dyDescent="0.3">
      <c r="B26" s="116" t="s">
        <v>85</v>
      </c>
      <c r="C26" s="127">
        <f>C9</f>
        <v>-231.93100000000001</v>
      </c>
      <c r="D26" s="127">
        <f>D9</f>
        <v>-422.59</v>
      </c>
      <c r="E26" s="127">
        <f>E9</f>
        <v>-947.09900000000005</v>
      </c>
      <c r="F26" s="127">
        <f>F9</f>
        <v>-1166.3969999999999</v>
      </c>
      <c r="G26" s="127">
        <f>G9</f>
        <v>-901.48800000000006</v>
      </c>
      <c r="H26" s="127">
        <f>SUM(H14:H25)</f>
        <v>-504.75157333333334</v>
      </c>
      <c r="I26" s="127">
        <f t="shared" ref="I26:S26" si="14">SUM(I14:I25)</f>
        <v>-1406.2395733333333</v>
      </c>
      <c r="J26" s="127">
        <f t="shared" si="14"/>
        <v>-1366.1942584888893</v>
      </c>
      <c r="K26" s="127">
        <f t="shared" si="14"/>
        <v>-1748.7286508657783</v>
      </c>
      <c r="L26" s="127">
        <f t="shared" si="14"/>
        <v>-2056.9420755808715</v>
      </c>
      <c r="M26" s="127">
        <f t="shared" si="14"/>
        <v>-2399.3722908979053</v>
      </c>
      <c r="N26" s="127">
        <f t="shared" si="14"/>
        <v>-2778.2969187330405</v>
      </c>
      <c r="O26" s="127">
        <f t="shared" si="14"/>
        <v>-3195.9625132187621</v>
      </c>
      <c r="P26" s="127">
        <f t="shared" si="14"/>
        <v>-3654.5483930920445</v>
      </c>
      <c r="Q26" s="127">
        <f t="shared" si="14"/>
        <v>-4156.1241370320895</v>
      </c>
      <c r="R26" s="127">
        <f t="shared" si="14"/>
        <v>-4702.6000412663825</v>
      </c>
      <c r="S26" s="127">
        <f t="shared" si="14"/>
        <v>-5295.669792463982</v>
      </c>
    </row>
    <row r="27" spans="2:19" ht="4.95" customHeight="1" x14ac:dyDescent="0.25"/>
    <row r="28" spans="2:19" x14ac:dyDescent="0.25">
      <c r="B28" s="117" t="s">
        <v>87</v>
      </c>
      <c r="C28" s="118">
        <f>C9/C7</f>
        <v>-0.3140594236378359</v>
      </c>
      <c r="D28" s="118">
        <f>D9/D7</f>
        <v>-0.23101602991799444</v>
      </c>
      <c r="E28" s="118">
        <f>E9/E7</f>
        <v>-0.2782856457814602</v>
      </c>
      <c r="F28" s="118">
        <f>F9/F7</f>
        <v>-0.19495326474851815</v>
      </c>
      <c r="G28" s="118">
        <f>G9/G7</f>
        <v>-8.9901373440018376E-2</v>
      </c>
      <c r="H28" s="119">
        <f>AVERAGE($C28:$F28)</f>
        <v>-0.25457859102145219</v>
      </c>
      <c r="I28" s="119">
        <f>AVERAGE($C28:$F28)</f>
        <v>-0.25457859102145219</v>
      </c>
      <c r="J28" s="119">
        <f t="shared" ref="J28:S28" si="15">AVERAGE($C28:$F28)</f>
        <v>-0.25457859102145219</v>
      </c>
      <c r="K28" s="119">
        <f t="shared" si="15"/>
        <v>-0.25457859102145219</v>
      </c>
      <c r="L28" s="119">
        <f t="shared" si="15"/>
        <v>-0.25457859102145219</v>
      </c>
      <c r="M28" s="119">
        <f t="shared" si="15"/>
        <v>-0.25457859102145219</v>
      </c>
      <c r="N28" s="119">
        <f t="shared" si="15"/>
        <v>-0.25457859102145219</v>
      </c>
      <c r="O28" s="119">
        <f t="shared" si="15"/>
        <v>-0.25457859102145219</v>
      </c>
      <c r="P28" s="119">
        <f t="shared" si="15"/>
        <v>-0.25457859102145219</v>
      </c>
      <c r="Q28" s="119">
        <f t="shared" si="15"/>
        <v>-0.25457859102145219</v>
      </c>
      <c r="R28" s="119">
        <f t="shared" si="15"/>
        <v>-0.25457859102145219</v>
      </c>
      <c r="S28" s="119">
        <f t="shared" si="15"/>
        <v>-0.25457859102145219</v>
      </c>
    </row>
    <row r="29" spans="2:19" x14ac:dyDescent="0.25">
      <c r="B29" s="117" t="s">
        <v>88</v>
      </c>
      <c r="C29" s="118">
        <f>C9/'P&amp;L'!C5</f>
        <v>-7.2515692436989507E-2</v>
      </c>
      <c r="D29" s="118">
        <f>D9/'P&amp;L'!D5</f>
        <v>-0.10444572141793487</v>
      </c>
      <c r="E29" s="118">
        <f>E9/'P&amp;L'!E5</f>
        <v>-0.13529730582223309</v>
      </c>
      <c r="F29" s="118">
        <f>F9/'P&amp;L'!F5</f>
        <v>-9.9193953507477103E-2</v>
      </c>
      <c r="G29" s="118">
        <f>G9/'P&amp;L'!G5</f>
        <v>-0.1216421791336155</v>
      </c>
      <c r="H29" s="119">
        <f>H9/'P&amp;L'!H5</f>
        <v>-4.7720564122277459E-2</v>
      </c>
      <c r="I29" s="119">
        <f>I9/'P&amp;L'!I5</f>
        <v>-7.8175599700011006E-2</v>
      </c>
      <c r="J29" s="119">
        <f>J9/'P&amp;L'!J5</f>
        <v>-5.9253746869695333E-2</v>
      </c>
      <c r="K29" s="119">
        <f>K9/'P&amp;L'!K5</f>
        <v>-4.2123037301882965E-2</v>
      </c>
      <c r="L29" s="119">
        <f>L9/'P&amp;L'!L5</f>
        <v>-3.7314524630291029E-2</v>
      </c>
      <c r="M29" s="119">
        <f>M9/'P&amp;L'!M5</f>
        <v>-3.3706808589779855E-2</v>
      </c>
      <c r="N29" s="119">
        <f>N9/'P&amp;L'!N5</f>
        <v>-3.63983063076413E-2</v>
      </c>
      <c r="O29" s="119">
        <f>O9/'P&amp;L'!O5</f>
        <v>-3.9015865714457601E-2</v>
      </c>
      <c r="P29" s="119">
        <f>P9/'P&amp;L'!P5</f>
        <v>-4.2964689780681437E-2</v>
      </c>
      <c r="Q29" s="119">
        <f>Q9/'P&amp;L'!Q5</f>
        <v>-4.7044648103555325E-2</v>
      </c>
      <c r="R29" s="119">
        <f>R9/'P&amp;L'!R5</f>
        <v>-5.2072261720660908E-2</v>
      </c>
      <c r="S29" s="119">
        <f>S9/'P&amp;L'!S5</f>
        <v>-5.7358899861065488E-2</v>
      </c>
    </row>
    <row r="30" spans="2:19" x14ac:dyDescent="0.25">
      <c r="B30" s="117" t="s">
        <v>86</v>
      </c>
      <c r="C30" s="118">
        <f>C8/C7</f>
        <v>1.7910829336460419</v>
      </c>
      <c r="D30" s="118">
        <f>D8/D7</f>
        <v>1.0915065979979957</v>
      </c>
      <c r="E30" s="118">
        <f>E8/E7</f>
        <v>1.0362550369725689</v>
      </c>
      <c r="F30" s="118">
        <f>F8/F7</f>
        <v>0.87096765027727929</v>
      </c>
      <c r="G30" s="118">
        <f>G8/G7</f>
        <v>0.18382547552625653</v>
      </c>
      <c r="H30" s="119">
        <f>AVERAGE($C30:$G30)</f>
        <v>0.99472753888402843</v>
      </c>
      <c r="I30" s="119">
        <v>0.6</v>
      </c>
      <c r="J30" s="119">
        <v>0.4</v>
      </c>
      <c r="K30" s="119">
        <v>0.3</v>
      </c>
      <c r="L30" s="119">
        <v>0.2</v>
      </c>
      <c r="M30" s="119">
        <v>0.2</v>
      </c>
      <c r="N30" s="119">
        <v>0.2</v>
      </c>
      <c r="O30" s="119">
        <v>0.2</v>
      </c>
      <c r="P30" s="119">
        <v>0.2</v>
      </c>
      <c r="Q30" s="119">
        <v>0.2</v>
      </c>
      <c r="R30" s="119">
        <v>0.2</v>
      </c>
      <c r="S30" s="119">
        <v>0.2</v>
      </c>
    </row>
    <row r="31" spans="2:19" x14ac:dyDescent="0.25">
      <c r="B31" s="117" t="s">
        <v>89</v>
      </c>
      <c r="C31" s="118">
        <f>1000*C8/'P&amp;L Input'!C7</f>
        <v>0.41355746514771974</v>
      </c>
      <c r="D31" s="118">
        <f>1000*D8/'P&amp;L Input'!D7</f>
        <v>0.49348607583986748</v>
      </c>
      <c r="E31" s="118">
        <f>1000*E8/'P&amp;L Input'!E7</f>
        <v>0.50380792819335418</v>
      </c>
      <c r="F31" s="118">
        <f>1000*F8/'P&amp;L Input'!F7</f>
        <v>0.44315608009728247</v>
      </c>
      <c r="G31" s="118">
        <f>1000*G8/'P&amp;L Input'!G7</f>
        <v>0.24872736163709466</v>
      </c>
      <c r="H31" s="119">
        <f>AVERAGE($C31:$G31)</f>
        <v>0.42054698218306374</v>
      </c>
      <c r="I31" s="119">
        <f>AVERAGE($C31:$G31)</f>
        <v>0.42054698218306374</v>
      </c>
      <c r="J31" s="119">
        <f t="shared" ref="J31" si="16">AVERAGE($C31:$G31)</f>
        <v>0.42054698218306374</v>
      </c>
      <c r="K31" s="119">
        <v>0.2</v>
      </c>
      <c r="L31" s="119">
        <v>0.15</v>
      </c>
      <c r="M31" s="119">
        <v>0.1</v>
      </c>
      <c r="N31" s="119">
        <v>0.1</v>
      </c>
      <c r="O31" s="119">
        <v>0.1</v>
      </c>
      <c r="P31" s="119">
        <v>0.1</v>
      </c>
      <c r="Q31" s="119">
        <v>0.1</v>
      </c>
      <c r="R31" s="119">
        <v>0.1</v>
      </c>
      <c r="S31" s="119">
        <v>0.1</v>
      </c>
    </row>
    <row r="32" spans="2:19" ht="3.75" customHeight="1" x14ac:dyDescent="0.25">
      <c r="B32" s="23"/>
      <c r="C32" s="4"/>
      <c r="D32" s="4"/>
      <c r="E32" s="4"/>
      <c r="F32" s="4"/>
    </row>
    <row r="33" spans="2:3" x14ac:dyDescent="0.25">
      <c r="B33" s="20" t="s">
        <v>91</v>
      </c>
      <c r="C33" s="21">
        <v>15</v>
      </c>
    </row>
    <row r="34" spans="2:3" x14ac:dyDescent="0.25">
      <c r="B34" s="20" t="s">
        <v>90</v>
      </c>
      <c r="C34" s="21">
        <v>15</v>
      </c>
    </row>
  </sheetData>
  <mergeCells count="2">
    <mergeCell ref="C5:S5"/>
    <mergeCell ref="C12:S12"/>
  </mergeCells>
  <dataValidations count="1">
    <dataValidation type="list" allowBlank="1" showInputMessage="1" showErrorMessage="1" sqref="C3" xr:uid="{A9C92D1A-84F1-4102-A461-50019CA9BC9F}">
      <formula1>"1,2"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AEE8-32EC-42A1-A7FC-690B76486F86}">
  <dimension ref="A1:G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16384" width="9.109375" style="8"/>
  </cols>
  <sheetData>
    <row r="1" spans="1:7" ht="15.6" x14ac:dyDescent="0.25">
      <c r="A1" s="1"/>
      <c r="B1" s="2" t="s">
        <v>248</v>
      </c>
    </row>
    <row r="2" spans="1:7" ht="15.6" x14ac:dyDescent="0.25">
      <c r="A2" s="1"/>
      <c r="B2" s="2"/>
    </row>
    <row r="3" spans="1:7" ht="13.2" x14ac:dyDescent="0.25">
      <c r="A3" s="1"/>
      <c r="B3" s="102" t="s">
        <v>275</v>
      </c>
    </row>
    <row r="5" spans="1:7" ht="12" x14ac:dyDescent="0.25">
      <c r="C5" s="224" t="s">
        <v>87</v>
      </c>
      <c r="D5" s="224"/>
      <c r="F5" s="224" t="s">
        <v>88</v>
      </c>
      <c r="G5" s="224"/>
    </row>
    <row r="6" spans="1:7" ht="12" x14ac:dyDescent="0.25">
      <c r="B6" s="36" t="s">
        <v>356</v>
      </c>
      <c r="C6" s="62" t="s">
        <v>199</v>
      </c>
      <c r="D6" s="62" t="s">
        <v>235</v>
      </c>
      <c r="F6" s="62" t="s">
        <v>199</v>
      </c>
      <c r="G6" s="62" t="s">
        <v>235</v>
      </c>
    </row>
    <row r="7" spans="1:7" x14ac:dyDescent="0.25">
      <c r="B7" s="8" t="s">
        <v>224</v>
      </c>
      <c r="C7" s="111">
        <f>-12261/36253</f>
        <v>-0.33820649325573054</v>
      </c>
      <c r="D7" s="113">
        <f>C7</f>
        <v>-0.33820649325573054</v>
      </c>
      <c r="F7" s="111">
        <f>-12261/145588</f>
        <v>-8.421710580542352E-2</v>
      </c>
      <c r="G7" s="34">
        <f t="shared" ref="G7:G12" si="0">F7</f>
        <v>-8.421710580542352E-2</v>
      </c>
    </row>
    <row r="8" spans="1:7" x14ac:dyDescent="0.25">
      <c r="B8" s="8" t="s">
        <v>225</v>
      </c>
      <c r="C8" s="113">
        <f>-7385/30163</f>
        <v>-0.24483638895335344</v>
      </c>
      <c r="D8" s="113">
        <f>C8</f>
        <v>-0.24483638895335344</v>
      </c>
      <c r="F8" s="113">
        <f>-7385/151800</f>
        <v>-4.8649538866930173E-2</v>
      </c>
      <c r="G8" s="34">
        <f t="shared" si="0"/>
        <v>-4.8649538866930173E-2</v>
      </c>
    </row>
    <row r="9" spans="1:7" x14ac:dyDescent="0.25">
      <c r="B9" s="8" t="s">
        <v>226</v>
      </c>
      <c r="C9" s="113">
        <f>-5890/29014</f>
        <v>-0.20300544564692907</v>
      </c>
      <c r="D9" s="113">
        <f>C9</f>
        <v>-0.20300544564692907</v>
      </c>
      <c r="F9" s="113">
        <f>-5890/110934</f>
        <v>-5.309463284475454E-2</v>
      </c>
      <c r="G9" s="113">
        <f t="shared" si="0"/>
        <v>-5.309463284475454E-2</v>
      </c>
    </row>
    <row r="10" spans="1:7" x14ac:dyDescent="0.25">
      <c r="B10" s="8" t="s">
        <v>227</v>
      </c>
      <c r="C10" s="113">
        <f>-4822/11455</f>
        <v>-0.42095154954168484</v>
      </c>
      <c r="D10" s="113">
        <f t="shared" ref="D10:D14" si="1">C10</f>
        <v>-0.42095154954168484</v>
      </c>
      <c r="F10" s="113">
        <f>-4822/79215</f>
        <v>-6.0872309537335099E-2</v>
      </c>
      <c r="G10" s="34">
        <f t="shared" si="0"/>
        <v>-6.0872309537335099E-2</v>
      </c>
    </row>
    <row r="11" spans="1:7" x14ac:dyDescent="0.25">
      <c r="B11" s="8" t="s">
        <v>228</v>
      </c>
      <c r="C11" s="113">
        <f>-22165/55243</f>
        <v>-0.40122730481689989</v>
      </c>
      <c r="D11" s="113">
        <f t="shared" si="1"/>
        <v>-0.40122730481689989</v>
      </c>
      <c r="F11" s="113">
        <f>-22165/230682</f>
        <v>-9.6084653332292935E-2</v>
      </c>
      <c r="G11" s="34">
        <f t="shared" si="0"/>
        <v>-9.6084653332292935E-2</v>
      </c>
    </row>
    <row r="12" spans="1:7" x14ac:dyDescent="0.25">
      <c r="B12" s="8" t="s">
        <v>229</v>
      </c>
      <c r="C12" s="113">
        <v>-0.28139337298215805</v>
      </c>
      <c r="D12" s="113">
        <f t="shared" si="1"/>
        <v>-0.28139337298215805</v>
      </c>
      <c r="F12" s="113">
        <f>-1656/24339</f>
        <v>-6.8038949833600398E-2</v>
      </c>
      <c r="G12" s="34">
        <f t="shared" si="0"/>
        <v>-6.8038949833600398E-2</v>
      </c>
    </row>
    <row r="13" spans="1:7" x14ac:dyDescent="0.25">
      <c r="B13" s="8" t="s">
        <v>230</v>
      </c>
      <c r="C13" s="113">
        <f>-2276/5903</f>
        <v>-0.38556666101982046</v>
      </c>
      <c r="D13" s="113">
        <f t="shared" si="1"/>
        <v>-0.38556666101982046</v>
      </c>
      <c r="F13" s="113">
        <f>-2276/23491</f>
        <v>-9.6888169937422844E-2</v>
      </c>
      <c r="G13" s="34">
        <f t="shared" ref="G13:G14" si="2">F13</f>
        <v>-9.6888169937422844E-2</v>
      </c>
    </row>
    <row r="14" spans="1:7" x14ac:dyDescent="0.25">
      <c r="B14" s="8" t="s">
        <v>231</v>
      </c>
      <c r="C14" s="113">
        <f>-260606/710260</f>
        <v>-0.36691634049502997</v>
      </c>
      <c r="D14" s="113">
        <f t="shared" si="1"/>
        <v>-0.36691634049502997</v>
      </c>
      <c r="F14" s="113">
        <f>-260606/3416890</f>
        <v>-7.6269941379441542E-2</v>
      </c>
      <c r="G14" s="34">
        <f t="shared" si="2"/>
        <v>-7.6269941379441542E-2</v>
      </c>
    </row>
    <row r="15" spans="1:7" x14ac:dyDescent="0.25">
      <c r="B15" s="8" t="s">
        <v>232</v>
      </c>
      <c r="C15" s="113">
        <f>-3941/29711</f>
        <v>-0.13264447511022853</v>
      </c>
      <c r="D15" s="113">
        <f>C15</f>
        <v>-0.13264447511022853</v>
      </c>
      <c r="F15" s="113">
        <f>-3941/123365</f>
        <v>-3.1945851740769263E-2</v>
      </c>
      <c r="G15" s="113">
        <f>F15</f>
        <v>-3.1945851740769263E-2</v>
      </c>
    </row>
    <row r="16" spans="1:7" x14ac:dyDescent="0.25">
      <c r="B16" s="8" t="s">
        <v>233</v>
      </c>
      <c r="C16" s="113">
        <f>(-358-610)/2639</f>
        <v>-0.36680560818491853</v>
      </c>
      <c r="D16" s="113">
        <f>C16</f>
        <v>-0.36680560818491853</v>
      </c>
      <c r="F16" s="113">
        <f>(-358-610)/14342</f>
        <v>-6.7494073350997066E-2</v>
      </c>
      <c r="G16" s="34">
        <f>F16</f>
        <v>-6.7494073350997066E-2</v>
      </c>
    </row>
    <row r="17" spans="2:7" x14ac:dyDescent="0.25">
      <c r="B17" s="129" t="s">
        <v>234</v>
      </c>
      <c r="C17" s="114"/>
      <c r="D17" s="114"/>
      <c r="E17" s="129"/>
      <c r="F17" s="114"/>
      <c r="G17" s="114"/>
    </row>
    <row r="18" spans="2:7" ht="12" x14ac:dyDescent="0.25">
      <c r="B18" s="9" t="s">
        <v>199</v>
      </c>
      <c r="C18" s="128">
        <f>AVERAGE(C7:C17)</f>
        <v>-0.31415536400067534</v>
      </c>
      <c r="D18" s="128">
        <f>AVERAGE(D7:D17)</f>
        <v>-0.31415536400067534</v>
      </c>
      <c r="F18" s="128">
        <f>AVERAGE(F7:F17)</f>
        <v>-6.8355522662896753E-2</v>
      </c>
      <c r="G18" s="128">
        <f>AVERAGE(G7:G17)</f>
        <v>-6.8355522662896753E-2</v>
      </c>
    </row>
  </sheetData>
  <mergeCells count="2">
    <mergeCell ref="C5:D5"/>
    <mergeCell ref="F5:G5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A15F-8347-4CF2-95A0-3FD476ED76BB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S14"/>
  <sheetViews>
    <sheetView tabSelected="1" workbookViewId="0">
      <selection activeCell="B1" sqref="B1"/>
    </sheetView>
  </sheetViews>
  <sheetFormatPr defaultColWidth="9.109375" defaultRowHeight="13.2" x14ac:dyDescent="0.25"/>
  <cols>
    <col min="1" max="1" width="2" style="19" customWidth="1"/>
    <col min="2" max="2" width="19.109375" style="19" customWidth="1"/>
    <col min="3" max="14" width="9.77734375" style="19" customWidth="1"/>
    <col min="15" max="16384" width="9.109375" style="19"/>
  </cols>
  <sheetData>
    <row r="1" spans="2:19" ht="15.6" x14ac:dyDescent="0.3">
      <c r="B1" s="18" t="s">
        <v>92</v>
      </c>
    </row>
    <row r="3" spans="2:19" x14ac:dyDescent="0.25">
      <c r="C3" s="224" t="s">
        <v>250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</row>
    <row r="4" spans="2:19" ht="28.8" customHeight="1" x14ac:dyDescent="0.25">
      <c r="B4" s="5" t="s">
        <v>260</v>
      </c>
      <c r="C4" s="6" t="s">
        <v>239</v>
      </c>
      <c r="D4" s="6" t="s">
        <v>240</v>
      </c>
      <c r="E4" s="6" t="s">
        <v>241</v>
      </c>
      <c r="F4" s="6" t="s">
        <v>244</v>
      </c>
      <c r="G4" s="6" t="s">
        <v>242</v>
      </c>
      <c r="H4" s="98"/>
      <c r="I4" s="98" t="s">
        <v>295</v>
      </c>
      <c r="J4" s="98" t="s">
        <v>296</v>
      </c>
      <c r="K4" s="98" t="s">
        <v>297</v>
      </c>
      <c r="L4" s="98" t="s">
        <v>298</v>
      </c>
      <c r="M4" s="98" t="s">
        <v>299</v>
      </c>
      <c r="N4" s="98" t="s">
        <v>300</v>
      </c>
      <c r="O4" s="98" t="s">
        <v>301</v>
      </c>
      <c r="P4" s="98" t="s">
        <v>302</v>
      </c>
      <c r="Q4" s="98" t="s">
        <v>303</v>
      </c>
      <c r="R4" s="98" t="s">
        <v>304</v>
      </c>
      <c r="S4" s="98" t="s">
        <v>305</v>
      </c>
    </row>
    <row r="5" spans="2:19" x14ac:dyDescent="0.25">
      <c r="B5" s="8" t="s">
        <v>93</v>
      </c>
      <c r="C5" s="132">
        <f>'Balance Sheet Input'!C6/1000</f>
        <v>226.60400000000001</v>
      </c>
      <c r="D5" s="132">
        <f>'Balance Sheet Input'!D6/1000</f>
        <v>168.965</v>
      </c>
      <c r="E5" s="132">
        <f>'Balance Sheet Input'!E6/1000</f>
        <v>499.142</v>
      </c>
      <c r="F5" s="132">
        <f>'Balance Sheet Input'!F6/1000</f>
        <v>515.38099999999997</v>
      </c>
      <c r="G5" s="172">
        <f>'Balance Sheet Input'!G6/1000</f>
        <v>569.87400000000002</v>
      </c>
      <c r="H5" s="131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</row>
    <row r="6" spans="2:19" x14ac:dyDescent="0.25">
      <c r="B6" s="8" t="s">
        <v>9</v>
      </c>
      <c r="C6" s="132">
        <f>'Balance Sheet Input'!C7/1000</f>
        <v>953.67499999999995</v>
      </c>
      <c r="D6" s="132">
        <f>'Balance Sheet Input'!D7/1000</f>
        <v>1277.838</v>
      </c>
      <c r="E6" s="132">
        <f>'Balance Sheet Input'!E7/1000</f>
        <v>2067.4540000000002</v>
      </c>
      <c r="F6" s="132">
        <f>'Balance Sheet Input'!F7/1000</f>
        <v>2263.5369999999998</v>
      </c>
      <c r="G6" s="172">
        <f>'Balance Sheet Input'!G7/1000</f>
        <v>3324.643</v>
      </c>
      <c r="H6" s="131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</row>
    <row r="7" spans="2:19" x14ac:dyDescent="0.25">
      <c r="B7" s="8" t="s">
        <v>94</v>
      </c>
      <c r="C7" s="132">
        <f>'Balance Sheet Input'!C18/1000</f>
        <v>777.94600000000003</v>
      </c>
      <c r="D7" s="132">
        <f>'Balance Sheet Input'!D18/1000</f>
        <v>916.14800000000002</v>
      </c>
      <c r="E7" s="132">
        <f>'Balance Sheet Input'!E18/1000</f>
        <v>1860.3409999999999</v>
      </c>
      <c r="F7" s="132">
        <f>'Balance Sheet Input'!F18/1000</f>
        <v>2390.25</v>
      </c>
      <c r="G7" s="172">
        <f>'Balance Sheet Input'!G18/1000</f>
        <v>3030.4929999999999</v>
      </c>
      <c r="H7" s="131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</row>
    <row r="8" spans="2:19" ht="13.8" thickBot="1" x14ac:dyDescent="0.3">
      <c r="B8" s="116" t="s">
        <v>249</v>
      </c>
      <c r="C8" s="127">
        <f>C5+C6-C7</f>
        <v>402.33299999999997</v>
      </c>
      <c r="D8" s="127">
        <f>D5+D6-D7</f>
        <v>530.65499999999986</v>
      </c>
      <c r="E8" s="127">
        <f>E5+E6-E7</f>
        <v>706.25500000000011</v>
      </c>
      <c r="F8" s="127">
        <f>F5+F6-F7</f>
        <v>388.66799999999967</v>
      </c>
      <c r="G8" s="127">
        <f>G5+G6-G7</f>
        <v>864.02399999999989</v>
      </c>
      <c r="H8" s="127"/>
      <c r="I8" s="127">
        <f t="shared" ref="I8:N8" si="0">I5+I6-I7</f>
        <v>0</v>
      </c>
      <c r="J8" s="127">
        <f t="shared" si="0"/>
        <v>0</v>
      </c>
      <c r="K8" s="127">
        <f t="shared" si="0"/>
        <v>0</v>
      </c>
      <c r="L8" s="127">
        <f t="shared" si="0"/>
        <v>0</v>
      </c>
      <c r="M8" s="127">
        <f t="shared" si="0"/>
        <v>0</v>
      </c>
      <c r="N8" s="127">
        <f t="shared" si="0"/>
        <v>0</v>
      </c>
      <c r="O8" s="127">
        <f t="shared" ref="O8:S8" si="1">O5+O6-O7</f>
        <v>0</v>
      </c>
      <c r="P8" s="127">
        <f t="shared" si="1"/>
        <v>0</v>
      </c>
      <c r="Q8" s="127">
        <f t="shared" si="1"/>
        <v>0</v>
      </c>
      <c r="R8" s="127">
        <f t="shared" si="1"/>
        <v>0</v>
      </c>
      <c r="S8" s="127">
        <f t="shared" si="1"/>
        <v>0</v>
      </c>
    </row>
    <row r="9" spans="2:19" x14ac:dyDescent="0.25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2:19" x14ac:dyDescent="0.25">
      <c r="B10" s="108" t="s">
        <v>70</v>
      </c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</row>
    <row r="11" spans="2:19" s="26" customFormat="1" x14ac:dyDescent="0.25">
      <c r="B11" s="92" t="s">
        <v>51</v>
      </c>
      <c r="C11" s="130">
        <f>'Balance Sheet Input'!C39</f>
        <v>25.506053735106413</v>
      </c>
      <c r="D11" s="130">
        <f>'Balance Sheet Input'!D39</f>
        <v>15.033866572747325</v>
      </c>
      <c r="E11" s="130">
        <f>'Balance Sheet Input'!E39</f>
        <v>25.66967594325364</v>
      </c>
      <c r="F11" s="130">
        <f>'Balance Sheet Input'!F39</f>
        <v>15.77864519794662</v>
      </c>
      <c r="G11" s="130">
        <f>'Balance Sheet Input'!G39</f>
        <v>13.841258823729435</v>
      </c>
      <c r="H11" s="130">
        <f>AVERAGE($C11:$G11)</f>
        <v>19.165900054556683</v>
      </c>
      <c r="I11" s="130">
        <f t="shared" ref="I11:S13" si="2">AVERAGE($C11:$G11)</f>
        <v>19.165900054556683</v>
      </c>
      <c r="J11" s="130">
        <f t="shared" si="2"/>
        <v>19.165900054556683</v>
      </c>
      <c r="K11" s="130">
        <f t="shared" si="2"/>
        <v>19.165900054556683</v>
      </c>
      <c r="L11" s="130">
        <f t="shared" si="2"/>
        <v>19.165900054556683</v>
      </c>
      <c r="M11" s="130">
        <f t="shared" si="2"/>
        <v>19.165900054556683</v>
      </c>
      <c r="N11" s="130">
        <f t="shared" si="2"/>
        <v>19.165900054556683</v>
      </c>
      <c r="O11" s="130">
        <f t="shared" si="2"/>
        <v>19.165900054556683</v>
      </c>
      <c r="P11" s="130">
        <f t="shared" si="2"/>
        <v>19.165900054556683</v>
      </c>
      <c r="Q11" s="130">
        <f t="shared" si="2"/>
        <v>19.165900054556683</v>
      </c>
      <c r="R11" s="130">
        <f t="shared" si="2"/>
        <v>19.165900054556683</v>
      </c>
      <c r="S11" s="130">
        <f t="shared" si="2"/>
        <v>19.165900054556683</v>
      </c>
    </row>
    <row r="12" spans="2:19" s="26" customFormat="1" x14ac:dyDescent="0.25">
      <c r="B12" s="92" t="s">
        <v>52</v>
      </c>
      <c r="C12" s="130">
        <f>'Balance Sheet Input'!C40</f>
        <v>148.19580564470351</v>
      </c>
      <c r="D12" s="130">
        <f>'Balance Sheet Input'!D40</f>
        <v>147.32375944829212</v>
      </c>
      <c r="E12" s="130">
        <f>'Balance Sheet Input'!E40</f>
        <v>137.80793667692734</v>
      </c>
      <c r="F12" s="130">
        <f>'Balance Sheet Input'!F40</f>
        <v>85.449953986173199</v>
      </c>
      <c r="G12" s="130">
        <f>'Balance Sheet Input'!G40</f>
        <v>94.457151624032477</v>
      </c>
      <c r="H12" s="130">
        <f t="shared" ref="H12:H13" si="3">AVERAGE($C12:$G12)</f>
        <v>122.64692147602572</v>
      </c>
      <c r="I12" s="130">
        <f t="shared" si="2"/>
        <v>122.64692147602572</v>
      </c>
      <c r="J12" s="130">
        <f t="shared" si="2"/>
        <v>122.64692147602572</v>
      </c>
      <c r="K12" s="130">
        <f t="shared" si="2"/>
        <v>122.64692147602572</v>
      </c>
      <c r="L12" s="130">
        <f t="shared" si="2"/>
        <v>122.64692147602572</v>
      </c>
      <c r="M12" s="130">
        <f t="shared" si="2"/>
        <v>122.64692147602572</v>
      </c>
      <c r="N12" s="130">
        <f t="shared" si="2"/>
        <v>122.64692147602572</v>
      </c>
      <c r="O12" s="130">
        <f t="shared" si="2"/>
        <v>122.64692147602572</v>
      </c>
      <c r="P12" s="130">
        <f t="shared" si="2"/>
        <v>122.64692147602572</v>
      </c>
      <c r="Q12" s="130">
        <f t="shared" si="2"/>
        <v>122.64692147602572</v>
      </c>
      <c r="R12" s="130">
        <f t="shared" si="2"/>
        <v>122.64692147602572</v>
      </c>
      <c r="S12" s="130">
        <f t="shared" si="2"/>
        <v>122.64692147602572</v>
      </c>
    </row>
    <row r="13" spans="2:19" s="26" customFormat="1" x14ac:dyDescent="0.25">
      <c r="B13" s="92" t="s">
        <v>53</v>
      </c>
      <c r="C13" s="130">
        <f>'Balance Sheet Input'!C41</f>
        <v>120.88849368817945</v>
      </c>
      <c r="D13" s="130">
        <f>'Balance Sheet Input'!D41</f>
        <v>105.62400521117225</v>
      </c>
      <c r="E13" s="130">
        <f>'Balance Sheet Input'!E41</f>
        <v>124.00264031291226</v>
      </c>
      <c r="F13" s="130">
        <f>'Balance Sheet Input'!F41</f>
        <v>90.233449912879919</v>
      </c>
      <c r="G13" s="130">
        <f>'Balance Sheet Input'!G41</f>
        <v>86.099992328971581</v>
      </c>
      <c r="H13" s="130">
        <f t="shared" si="3"/>
        <v>105.36971629082309</v>
      </c>
      <c r="I13" s="130">
        <f t="shared" si="2"/>
        <v>105.36971629082309</v>
      </c>
      <c r="J13" s="130">
        <f t="shared" si="2"/>
        <v>105.36971629082309</v>
      </c>
      <c r="K13" s="130">
        <f t="shared" si="2"/>
        <v>105.36971629082309</v>
      </c>
      <c r="L13" s="130">
        <f t="shared" si="2"/>
        <v>105.36971629082309</v>
      </c>
      <c r="M13" s="130">
        <f t="shared" si="2"/>
        <v>105.36971629082309</v>
      </c>
      <c r="N13" s="130">
        <f t="shared" si="2"/>
        <v>105.36971629082309</v>
      </c>
      <c r="O13" s="130">
        <f t="shared" si="2"/>
        <v>105.36971629082309</v>
      </c>
      <c r="P13" s="130">
        <f t="shared" si="2"/>
        <v>105.36971629082309</v>
      </c>
      <c r="Q13" s="130">
        <f t="shared" si="2"/>
        <v>105.36971629082309</v>
      </c>
      <c r="R13" s="130">
        <f t="shared" si="2"/>
        <v>105.36971629082309</v>
      </c>
      <c r="S13" s="130">
        <f t="shared" si="2"/>
        <v>105.36971629082309</v>
      </c>
    </row>
    <row r="14" spans="2:19" x14ac:dyDescent="0.25">
      <c r="B14" s="140" t="s">
        <v>249</v>
      </c>
      <c r="C14" s="130">
        <f>C11+C12-C13</f>
        <v>52.813365691630466</v>
      </c>
      <c r="D14" s="130">
        <f>D11+D12-D13</f>
        <v>56.73362080986719</v>
      </c>
      <c r="E14" s="130">
        <f>E11+E12-E13</f>
        <v>39.474972307268729</v>
      </c>
      <c r="F14" s="130">
        <f>F11+F12-F13</f>
        <v>10.995149271239896</v>
      </c>
      <c r="G14" s="130">
        <f>G11+G12-G13</f>
        <v>22.198418118790329</v>
      </c>
      <c r="H14" s="130">
        <f t="shared" ref="H14:S14" si="4">H11+H12-H13</f>
        <v>36.443105239759305</v>
      </c>
      <c r="I14" s="130">
        <f t="shared" si="4"/>
        <v>36.443105239759305</v>
      </c>
      <c r="J14" s="130">
        <f t="shared" si="4"/>
        <v>36.443105239759305</v>
      </c>
      <c r="K14" s="130">
        <f t="shared" si="4"/>
        <v>36.443105239759305</v>
      </c>
      <c r="L14" s="130">
        <f t="shared" si="4"/>
        <v>36.443105239759305</v>
      </c>
      <c r="M14" s="130">
        <f t="shared" si="4"/>
        <v>36.443105239759305</v>
      </c>
      <c r="N14" s="130">
        <f t="shared" si="4"/>
        <v>36.443105239759305</v>
      </c>
      <c r="O14" s="130">
        <f t="shared" si="4"/>
        <v>36.443105239759305</v>
      </c>
      <c r="P14" s="130">
        <f t="shared" si="4"/>
        <v>36.443105239759305</v>
      </c>
      <c r="Q14" s="130">
        <f t="shared" si="4"/>
        <v>36.443105239759305</v>
      </c>
      <c r="R14" s="130">
        <f t="shared" si="4"/>
        <v>36.443105239759305</v>
      </c>
      <c r="S14" s="130">
        <f t="shared" si="4"/>
        <v>36.443105239759305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F980-E91C-42CD-8BD9-14F711B36EBB}">
  <dimension ref="A1:M18"/>
  <sheetViews>
    <sheetView workbookViewId="0">
      <selection activeCell="D35" sqref="D35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8" width="2" style="8" customWidth="1"/>
    <col min="9" max="10" width="9.109375" style="8"/>
    <col min="11" max="11" width="2" style="8" customWidth="1"/>
    <col min="12" max="16384" width="9.109375" style="8"/>
  </cols>
  <sheetData>
    <row r="1" spans="1:13" ht="15.6" x14ac:dyDescent="0.25">
      <c r="A1" s="1"/>
      <c r="B1" s="2" t="s">
        <v>309</v>
      </c>
    </row>
    <row r="2" spans="1:13" ht="15.6" x14ac:dyDescent="0.25">
      <c r="A2" s="1"/>
      <c r="B2" s="2"/>
    </row>
    <row r="3" spans="1:13" ht="13.2" x14ac:dyDescent="0.25">
      <c r="A3" s="1"/>
      <c r="B3" s="102" t="s">
        <v>275</v>
      </c>
    </row>
    <row r="5" spans="1:13" ht="12" x14ac:dyDescent="0.25">
      <c r="C5" s="224" t="s">
        <v>51</v>
      </c>
      <c r="D5" s="224"/>
      <c r="F5" s="224" t="s">
        <v>52</v>
      </c>
      <c r="G5" s="224"/>
      <c r="I5" s="224" t="s">
        <v>53</v>
      </c>
      <c r="J5" s="224"/>
      <c r="L5" s="224" t="s">
        <v>249</v>
      </c>
      <c r="M5" s="224"/>
    </row>
    <row r="6" spans="1:13" ht="24" x14ac:dyDescent="0.25">
      <c r="B6" s="36" t="s">
        <v>172</v>
      </c>
      <c r="C6" s="62" t="s">
        <v>199</v>
      </c>
      <c r="D6" s="62" t="s">
        <v>235</v>
      </c>
      <c r="F6" s="62" t="s">
        <v>199</v>
      </c>
      <c r="G6" s="62" t="s">
        <v>235</v>
      </c>
      <c r="I6" s="62" t="s">
        <v>199</v>
      </c>
      <c r="J6" s="62" t="s">
        <v>235</v>
      </c>
      <c r="L6" s="65" t="s">
        <v>199</v>
      </c>
      <c r="M6" s="65" t="s">
        <v>235</v>
      </c>
    </row>
    <row r="7" spans="1:13" x14ac:dyDescent="0.25">
      <c r="B7" s="8" t="s">
        <v>224</v>
      </c>
      <c r="C7" s="16">
        <f>8164/133449*360</f>
        <v>22.023694445068902</v>
      </c>
      <c r="D7" s="138">
        <f>C7</f>
        <v>22.023694445068902</v>
      </c>
      <c r="F7" s="134">
        <f>10663/133449*360</f>
        <v>28.765146235640582</v>
      </c>
      <c r="G7" s="138">
        <f>F7</f>
        <v>28.765146235640582</v>
      </c>
      <c r="I7" s="134">
        <f>23929/114869*360</f>
        <v>74.993601406819948</v>
      </c>
      <c r="J7" s="138">
        <f>I7</f>
        <v>74.993601406819948</v>
      </c>
      <c r="L7" s="135">
        <f>C7+F7-I7</f>
        <v>-24.204760726110464</v>
      </c>
      <c r="M7" s="139">
        <f>L7</f>
        <v>-24.204760726110464</v>
      </c>
    </row>
    <row r="8" spans="1:13" x14ac:dyDescent="0.25">
      <c r="B8" s="8" t="s">
        <v>225</v>
      </c>
      <c r="C8" s="16">
        <f>11102/141546*360</f>
        <v>28.236191768047135</v>
      </c>
      <c r="D8" s="138">
        <f t="shared" ref="D8:D11" si="0">C8</f>
        <v>28.236191768047135</v>
      </c>
      <c r="F8" s="16">
        <f>8319/141546*360</f>
        <v>21.1580687550337</v>
      </c>
      <c r="G8" s="138">
        <f t="shared" ref="G8:G11" si="1">F8</f>
        <v>21.1580687550337</v>
      </c>
      <c r="I8" s="16">
        <f>21296/126584*360</f>
        <v>60.565000315995704</v>
      </c>
      <c r="J8" s="138">
        <f t="shared" ref="J8:J11" si="2">I8</f>
        <v>60.565000315995704</v>
      </c>
      <c r="L8" s="135">
        <f t="shared" ref="L8:M17" si="3">C8+F8-I8</f>
        <v>-11.170739792914873</v>
      </c>
      <c r="M8" s="139">
        <f t="shared" ref="M8:M11" si="4">L8</f>
        <v>-11.170739792914873</v>
      </c>
    </row>
    <row r="9" spans="1:13" x14ac:dyDescent="0.25">
      <c r="B9" s="8" t="s">
        <v>226</v>
      </c>
      <c r="C9" s="16">
        <f>7887/110936*360</f>
        <v>25.594216485180642</v>
      </c>
      <c r="D9" s="138">
        <f t="shared" si="0"/>
        <v>25.594216485180642</v>
      </c>
      <c r="F9" s="16">
        <f>12922/110936*360</f>
        <v>41.933366986370515</v>
      </c>
      <c r="G9" s="138">
        <f t="shared" si="1"/>
        <v>41.933366986370515</v>
      </c>
      <c r="I9" s="16">
        <f>21939/93975*360</f>
        <v>84.044054269752593</v>
      </c>
      <c r="J9" s="138">
        <f t="shared" si="2"/>
        <v>84.044054269752593</v>
      </c>
      <c r="L9" s="135">
        <f t="shared" si="3"/>
        <v>-16.516470798201439</v>
      </c>
      <c r="M9" s="139">
        <f t="shared" si="4"/>
        <v>-16.516470798201439</v>
      </c>
    </row>
    <row r="10" spans="1:13" x14ac:dyDescent="0.25">
      <c r="B10" s="8" t="s">
        <v>227</v>
      </c>
      <c r="C10" s="16">
        <f>(2667)/98678*360</f>
        <v>9.7298283305296014</v>
      </c>
      <c r="D10" s="138">
        <f t="shared" si="0"/>
        <v>9.7298283305296014</v>
      </c>
      <c r="F10" s="16">
        <f>(12707)/98678*360</f>
        <v>46.358053466831514</v>
      </c>
      <c r="G10" s="138">
        <f t="shared" si="1"/>
        <v>46.358053466831514</v>
      </c>
      <c r="I10" s="16">
        <f>9731/78744*360</f>
        <v>44.487960987503811</v>
      </c>
      <c r="J10" s="138">
        <f t="shared" si="2"/>
        <v>44.487960987503811</v>
      </c>
      <c r="L10" s="135">
        <f t="shared" si="3"/>
        <v>11.599920809857302</v>
      </c>
      <c r="M10" s="139">
        <f t="shared" si="4"/>
        <v>11.599920809857302</v>
      </c>
    </row>
    <row r="11" spans="1:13" x14ac:dyDescent="0.25">
      <c r="B11" s="8" t="s">
        <v>228</v>
      </c>
      <c r="C11" s="16">
        <f>13357/230682*360</f>
        <v>20.844799334148309</v>
      </c>
      <c r="D11" s="138">
        <f t="shared" si="0"/>
        <v>20.844799334148309</v>
      </c>
      <c r="F11" s="16">
        <f>40415/230682*360</f>
        <v>63.071240929071188</v>
      </c>
      <c r="G11" s="138">
        <f t="shared" si="1"/>
        <v>63.071240929071188</v>
      </c>
      <c r="I11" s="16">
        <f>23046/188140*360</f>
        <v>44.097799511002449</v>
      </c>
      <c r="J11" s="138">
        <f t="shared" si="2"/>
        <v>44.097799511002449</v>
      </c>
      <c r="L11" s="135">
        <f t="shared" si="3"/>
        <v>39.818240752217051</v>
      </c>
      <c r="M11" s="139">
        <f t="shared" si="4"/>
        <v>39.818240752217051</v>
      </c>
    </row>
    <row r="12" spans="1:13" x14ac:dyDescent="0.25">
      <c r="B12" s="129" t="s">
        <v>229</v>
      </c>
      <c r="C12" s="137">
        <f>1273/24339*360</f>
        <v>18.829039812646371</v>
      </c>
      <c r="D12" s="114"/>
      <c r="E12" s="129"/>
      <c r="F12" s="137">
        <f>3464/24339*360</f>
        <v>51.236287439911251</v>
      </c>
      <c r="G12" s="114"/>
      <c r="H12" s="129"/>
      <c r="I12" s="137">
        <f>6508/15071*360</f>
        <v>155.45617410921639</v>
      </c>
      <c r="J12" s="114"/>
      <c r="L12" s="135">
        <f t="shared" si="3"/>
        <v>-85.390846856658769</v>
      </c>
      <c r="M12" s="114"/>
    </row>
    <row r="13" spans="1:13" x14ac:dyDescent="0.25">
      <c r="B13" s="8" t="s">
        <v>230</v>
      </c>
      <c r="C13" s="16">
        <f>598/23491*360</f>
        <v>9.1643608190370784</v>
      </c>
      <c r="D13" s="138">
        <f t="shared" ref="D13:D15" si="5">C13</f>
        <v>9.1643608190370784</v>
      </c>
      <c r="F13" s="16">
        <f>3051/23491*360</f>
        <v>46.756630198799542</v>
      </c>
      <c r="G13" s="138">
        <f t="shared" ref="G13:G15" si="6">F13</f>
        <v>46.756630198799542</v>
      </c>
      <c r="I13" s="16">
        <f>3048/16872*360</f>
        <v>65.035561877667135</v>
      </c>
      <c r="J13" s="138">
        <f t="shared" ref="J13:J15" si="7">I13</f>
        <v>65.035561877667135</v>
      </c>
      <c r="L13" s="135">
        <f t="shared" si="3"/>
        <v>-9.1145708598305148</v>
      </c>
      <c r="M13" s="139">
        <f t="shared" ref="M13:M15" si="8">L13</f>
        <v>-9.1145708598305148</v>
      </c>
    </row>
    <row r="14" spans="1:13" x14ac:dyDescent="0.25">
      <c r="B14" s="8" t="s">
        <v>231</v>
      </c>
      <c r="C14" s="16">
        <f>239410/3416890*360</f>
        <v>25.223990236735744</v>
      </c>
      <c r="D14" s="138">
        <f t="shared" si="5"/>
        <v>25.223990236735744</v>
      </c>
      <c r="F14" s="16">
        <f>393765/3416890*360</f>
        <v>41.486673554021351</v>
      </c>
      <c r="G14" s="138">
        <f t="shared" si="6"/>
        <v>41.486673554021351</v>
      </c>
      <c r="I14" s="16">
        <f>607505/1650860*360</f>
        <v>132.47749657754142</v>
      </c>
      <c r="J14" s="138">
        <f t="shared" si="7"/>
        <v>132.47749657754142</v>
      </c>
      <c r="L14" s="135">
        <f t="shared" si="3"/>
        <v>-65.76683278678432</v>
      </c>
      <c r="M14" s="139">
        <f t="shared" si="8"/>
        <v>-65.76683278678432</v>
      </c>
    </row>
    <row r="15" spans="1:13" x14ac:dyDescent="0.25">
      <c r="B15" s="8" t="s">
        <v>232</v>
      </c>
      <c r="C15" s="16">
        <f>9024/119713*360</f>
        <v>27.136902424966379</v>
      </c>
      <c r="D15" s="138">
        <f t="shared" si="5"/>
        <v>27.136902424966379</v>
      </c>
      <c r="F15" s="16">
        <f>21589/119713*360</f>
        <v>64.922272434906816</v>
      </c>
      <c r="G15" s="138">
        <f t="shared" si="6"/>
        <v>64.922272434906816</v>
      </c>
      <c r="I15" s="16">
        <f>14016/90238*360</f>
        <v>55.91613289301624</v>
      </c>
      <c r="J15" s="138">
        <f t="shared" si="7"/>
        <v>55.91613289301624</v>
      </c>
      <c r="L15" s="135">
        <f t="shared" si="3"/>
        <v>36.143041966856956</v>
      </c>
      <c r="M15" s="139">
        <f t="shared" si="8"/>
        <v>36.143041966856956</v>
      </c>
    </row>
    <row r="16" spans="1:13" x14ac:dyDescent="0.25">
      <c r="B16" s="129" t="s">
        <v>233</v>
      </c>
      <c r="C16" s="137">
        <f>2171/14342*360</f>
        <v>54.494491702691398</v>
      </c>
      <c r="D16" s="114"/>
      <c r="E16" s="129"/>
      <c r="F16" s="137">
        <f>3397/14342*360</f>
        <v>85.268442337191473</v>
      </c>
      <c r="G16" s="114"/>
      <c r="H16" s="129"/>
      <c r="I16" s="137">
        <f>1925/11671*360</f>
        <v>59.377945334590009</v>
      </c>
      <c r="J16" s="114"/>
      <c r="L16" s="135">
        <f t="shared" si="3"/>
        <v>80.384988705292869</v>
      </c>
      <c r="M16" s="114"/>
    </row>
    <row r="17" spans="2:13" x14ac:dyDescent="0.25">
      <c r="B17" s="8" t="s">
        <v>234</v>
      </c>
      <c r="C17" s="16">
        <f>1127.9/18187.5*360</f>
        <v>22.325443298969073</v>
      </c>
      <c r="D17" s="138">
        <f>C17</f>
        <v>22.325443298969073</v>
      </c>
      <c r="F17" s="16">
        <f>928.4/18187.5*360</f>
        <v>18.376577319587629</v>
      </c>
      <c r="G17" s="138">
        <f>F17</f>
        <v>18.376577319587629</v>
      </c>
      <c r="I17" s="16">
        <f>2569.5/15593.7*360</f>
        <v>59.320110044441016</v>
      </c>
      <c r="J17" s="138">
        <f>I17</f>
        <v>59.320110044441016</v>
      </c>
      <c r="L17" s="135">
        <f t="shared" si="3"/>
        <v>-18.618089425884314</v>
      </c>
      <c r="M17" s="135">
        <f t="shared" si="3"/>
        <v>-18.618089425884314</v>
      </c>
    </row>
    <row r="18" spans="2:13" ht="12" x14ac:dyDescent="0.25">
      <c r="B18" s="9" t="s">
        <v>199</v>
      </c>
      <c r="C18" s="141">
        <f>AVERAGE(C7:C17)</f>
        <v>23.963905332547327</v>
      </c>
      <c r="D18" s="141">
        <f>AVERAGE(D7:D17)</f>
        <v>21.142158571409208</v>
      </c>
      <c r="F18" s="141">
        <f>AVERAGE(F7:F17)</f>
        <v>46.302978150669595</v>
      </c>
      <c r="G18" s="141">
        <f>AVERAGE(G7:G17)</f>
        <v>41.425336653362535</v>
      </c>
      <c r="I18" s="141">
        <f>AVERAGE(I7:I17)</f>
        <v>75.979257938867875</v>
      </c>
      <c r="J18" s="141">
        <f>AVERAGE(J7:J17)</f>
        <v>68.993079764860028</v>
      </c>
      <c r="L18" s="136">
        <f>AVERAGE(L7:L17)</f>
        <v>-5.7123744556509575</v>
      </c>
      <c r="M18" s="136">
        <f>AVERAGE(M7:M17)</f>
        <v>-6.4255845400882912</v>
      </c>
    </row>
  </sheetData>
  <mergeCells count="4">
    <mergeCell ref="C5:D5"/>
    <mergeCell ref="F5:G5"/>
    <mergeCell ref="I5:J5"/>
    <mergeCell ref="L5:M5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19BB-8F65-4CBF-B186-7ADBEC03EC4E}">
  <dimension ref="B1"/>
  <sheetViews>
    <sheetView workbookViewId="0"/>
  </sheetViews>
  <sheetFormatPr defaultColWidth="9.109375" defaultRowHeight="13.2" x14ac:dyDescent="0.25"/>
  <cols>
    <col min="1" max="1" width="2" style="19" customWidth="1"/>
    <col min="2" max="2" width="19.109375" style="19" customWidth="1"/>
    <col min="3" max="14" width="9.77734375" style="19" customWidth="1"/>
    <col min="15" max="16384" width="9.109375" style="19"/>
  </cols>
  <sheetData>
    <row r="1" spans="2:2" ht="15.6" x14ac:dyDescent="0.3">
      <c r="B1" s="18"/>
    </row>
  </sheetData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F2B3-ACA7-4D38-9118-B9003E910A5A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21"/>
  <sheetViews>
    <sheetView workbookViewId="0">
      <selection activeCell="H32" sqref="H32:H33"/>
    </sheetView>
  </sheetViews>
  <sheetFormatPr defaultColWidth="9.109375" defaultRowHeight="11.4" x14ac:dyDescent="0.2"/>
  <cols>
    <col min="1" max="1" width="2" style="20" customWidth="1"/>
    <col min="2" max="2" width="36.5546875" style="20" customWidth="1"/>
    <col min="3" max="14" width="9.77734375" style="20" customWidth="1"/>
    <col min="15" max="16384" width="9.109375" style="20"/>
  </cols>
  <sheetData>
    <row r="1" spans="1:19" ht="15.6" x14ac:dyDescent="0.3">
      <c r="B1" s="18" t="s">
        <v>96</v>
      </c>
      <c r="C1" s="28"/>
    </row>
    <row r="3" spans="1:19" x14ac:dyDescent="0.2">
      <c r="B3" s="20" t="s">
        <v>139</v>
      </c>
    </row>
    <row r="4" spans="1:19" ht="12" x14ac:dyDescent="0.25">
      <c r="B4" s="20" t="s">
        <v>140</v>
      </c>
      <c r="C4" s="142">
        <v>0.5</v>
      </c>
    </row>
    <row r="5" spans="1:19" ht="12" x14ac:dyDescent="0.25">
      <c r="B5" s="20" t="s">
        <v>116</v>
      </c>
      <c r="C5" s="142">
        <v>0.5</v>
      </c>
    </row>
    <row r="6" spans="1:19" x14ac:dyDescent="0.2">
      <c r="C6" s="46"/>
    </row>
    <row r="7" spans="1:19" x14ac:dyDescent="0.2">
      <c r="B7" s="20" t="s">
        <v>361</v>
      </c>
      <c r="C7" s="45">
        <f>Drivers!C11</f>
        <v>7.4999999999999997E-2</v>
      </c>
    </row>
    <row r="8" spans="1:19" x14ac:dyDescent="0.2">
      <c r="C8" s="46"/>
    </row>
    <row r="9" spans="1:19" ht="12" x14ac:dyDescent="0.2">
      <c r="C9" s="224" t="s">
        <v>254</v>
      </c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24"/>
      <c r="O9" s="224"/>
      <c r="P9" s="224"/>
      <c r="Q9" s="224"/>
      <c r="R9" s="224"/>
      <c r="S9" s="224"/>
    </row>
    <row r="10" spans="1:19" ht="27" customHeight="1" x14ac:dyDescent="0.25">
      <c r="B10" s="5" t="s">
        <v>260</v>
      </c>
      <c r="C10" s="6" t="s">
        <v>239</v>
      </c>
      <c r="D10" s="6" t="s">
        <v>240</v>
      </c>
      <c r="E10" s="6" t="s">
        <v>241</v>
      </c>
      <c r="F10" s="6" t="s">
        <v>244</v>
      </c>
      <c r="G10" s="6" t="s">
        <v>242</v>
      </c>
      <c r="H10" s="98"/>
      <c r="I10" s="98" t="s">
        <v>295</v>
      </c>
      <c r="J10" s="98" t="s">
        <v>296</v>
      </c>
      <c r="K10" s="98" t="s">
        <v>297</v>
      </c>
      <c r="L10" s="98" t="s">
        <v>298</v>
      </c>
      <c r="M10" s="98" t="s">
        <v>299</v>
      </c>
      <c r="N10" s="98" t="s">
        <v>300</v>
      </c>
      <c r="O10" s="98" t="s">
        <v>301</v>
      </c>
      <c r="P10" s="98" t="s">
        <v>302</v>
      </c>
      <c r="Q10" s="98" t="s">
        <v>303</v>
      </c>
      <c r="R10" s="98" t="s">
        <v>304</v>
      </c>
      <c r="S10" s="98" t="s">
        <v>305</v>
      </c>
    </row>
    <row r="11" spans="1:19" s="24" customFormat="1" x14ac:dyDescent="0.2">
      <c r="A11" s="20"/>
      <c r="B11" s="8" t="s">
        <v>28</v>
      </c>
      <c r="C11" s="27">
        <f>'Balance Sheet Input'!C28/1000</f>
        <v>1818.7850000000001</v>
      </c>
      <c r="D11" s="27">
        <f>'Balance Sheet Input'!D28/1000</f>
        <v>2021.0930000000001</v>
      </c>
      <c r="E11" s="27">
        <f>'Balance Sheet Input'!E28/1000</f>
        <v>5860.049</v>
      </c>
      <c r="F11" s="27">
        <f>'Balance Sheet Input'!F28/1000</f>
        <v>9415.7000000000007</v>
      </c>
      <c r="G11" s="27">
        <f>'Balance Sheet Input'!G28/1000</f>
        <v>9513.39</v>
      </c>
      <c r="H11" s="144"/>
      <c r="I11" s="198">
        <f>G11+H19</f>
        <v>9513.39</v>
      </c>
      <c r="J11" s="198">
        <f>I11+I19</f>
        <v>9513.39</v>
      </c>
      <c r="K11" s="198">
        <f t="shared" ref="K11:N11" si="0">J11+J19</f>
        <v>9711.7079240963067</v>
      </c>
      <c r="L11" s="198">
        <f t="shared" si="0"/>
        <v>9711.7079240963067</v>
      </c>
      <c r="M11" s="198">
        <f t="shared" si="0"/>
        <v>9711.7079240963067</v>
      </c>
      <c r="N11" s="198">
        <f t="shared" si="0"/>
        <v>9711.7079240963067</v>
      </c>
      <c r="O11" s="198">
        <f t="shared" ref="O11" si="1">N11+N19</f>
        <v>9711.7079240963067</v>
      </c>
      <c r="P11" s="198">
        <f t="shared" ref="P11" si="2">O11+O19</f>
        <v>9711.7079240963067</v>
      </c>
      <c r="Q11" s="198">
        <f t="shared" ref="Q11" si="3">P11+P19</f>
        <v>9711.7079240963067</v>
      </c>
      <c r="R11" s="198">
        <f t="shared" ref="R11" si="4">Q11+Q19</f>
        <v>9711.7079240963067</v>
      </c>
      <c r="S11" s="198">
        <f t="shared" ref="S11" si="5">R11+R19</f>
        <v>9711.7079240963067</v>
      </c>
    </row>
    <row r="12" spans="1:19" s="24" customFormat="1" x14ac:dyDescent="0.2">
      <c r="A12" s="20"/>
      <c r="B12" s="20" t="str">
        <f>'P&amp;L Input'!B17</f>
        <v>Interest expense</v>
      </c>
      <c r="C12" s="27">
        <f>'P&amp;L Input'!C17/1000</f>
        <v>-100.886</v>
      </c>
      <c r="D12" s="27">
        <f>'P&amp;L Input'!D17/1000</f>
        <v>-118.851</v>
      </c>
      <c r="E12" s="27">
        <f>'P&amp;L Input'!E17/1000</f>
        <v>-198.81</v>
      </c>
      <c r="F12" s="27">
        <f>'P&amp;L Input'!F17/1000</f>
        <v>-471.25900000000001</v>
      </c>
      <c r="G12" s="27">
        <f>'P&amp;L Input'!G17/1000</f>
        <v>-313.12799999999999</v>
      </c>
      <c r="H12" s="143">
        <f>I12-G12</f>
        <v>-400.37624999999997</v>
      </c>
      <c r="I12" s="199">
        <f>-I11*I13</f>
        <v>-713.50424999999996</v>
      </c>
      <c r="J12" s="199">
        <f t="shared" ref="J12:S12" si="6">-J11*J13</f>
        <v>-713.50424999999996</v>
      </c>
      <c r="K12" s="199">
        <f t="shared" si="6"/>
        <v>-728.37809430722302</v>
      </c>
      <c r="L12" s="199">
        <f t="shared" si="6"/>
        <v>-728.37809430722302</v>
      </c>
      <c r="M12" s="199">
        <f t="shared" si="6"/>
        <v>-728.37809430722302</v>
      </c>
      <c r="N12" s="199">
        <f t="shared" si="6"/>
        <v>-728.37809430722302</v>
      </c>
      <c r="O12" s="199">
        <f t="shared" si="6"/>
        <v>-728.37809430722302</v>
      </c>
      <c r="P12" s="199">
        <f t="shared" si="6"/>
        <v>-728.37809430722302</v>
      </c>
      <c r="Q12" s="199">
        <f t="shared" si="6"/>
        <v>-728.37809430722302</v>
      </c>
      <c r="R12" s="199">
        <f t="shared" si="6"/>
        <v>-728.37809430722302</v>
      </c>
      <c r="S12" s="199">
        <f t="shared" si="6"/>
        <v>-728.37809430722302</v>
      </c>
    </row>
    <row r="13" spans="1:19" x14ac:dyDescent="0.2">
      <c r="B13" s="20" t="s">
        <v>126</v>
      </c>
      <c r="C13" s="44">
        <f>C12/C11</f>
        <v>-5.546889819302446E-2</v>
      </c>
      <c r="D13" s="44">
        <f>D12/D11</f>
        <v>-5.8805309800192267E-2</v>
      </c>
      <c r="E13" s="44">
        <f>E12/E11</f>
        <v>-3.3926337476017691E-2</v>
      </c>
      <c r="F13" s="44">
        <f>F12/F11</f>
        <v>-5.0050341450980806E-2</v>
      </c>
      <c r="G13" s="44">
        <f>G12/G11*2</f>
        <v>-6.5828900108163335E-2</v>
      </c>
      <c r="H13" s="146"/>
      <c r="I13" s="145">
        <f t="shared" ref="I13:S13" si="7">$C$7</f>
        <v>7.4999999999999997E-2</v>
      </c>
      <c r="J13" s="145">
        <f t="shared" si="7"/>
        <v>7.4999999999999997E-2</v>
      </c>
      <c r="K13" s="145">
        <f t="shared" si="7"/>
        <v>7.4999999999999997E-2</v>
      </c>
      <c r="L13" s="145">
        <f t="shared" si="7"/>
        <v>7.4999999999999997E-2</v>
      </c>
      <c r="M13" s="145">
        <f t="shared" si="7"/>
        <v>7.4999999999999997E-2</v>
      </c>
      <c r="N13" s="145">
        <f t="shared" si="7"/>
        <v>7.4999999999999997E-2</v>
      </c>
      <c r="O13" s="145">
        <f t="shared" si="7"/>
        <v>7.4999999999999997E-2</v>
      </c>
      <c r="P13" s="145">
        <f t="shared" si="7"/>
        <v>7.4999999999999997E-2</v>
      </c>
      <c r="Q13" s="145">
        <f t="shared" si="7"/>
        <v>7.4999999999999997E-2</v>
      </c>
      <c r="R13" s="145">
        <f t="shared" si="7"/>
        <v>7.4999999999999997E-2</v>
      </c>
      <c r="S13" s="145">
        <f t="shared" si="7"/>
        <v>7.4999999999999997E-2</v>
      </c>
    </row>
    <row r="14" spans="1:19" x14ac:dyDescent="0.2">
      <c r="C14" s="44"/>
      <c r="D14" s="44"/>
      <c r="E14" s="44"/>
      <c r="F14" s="44"/>
      <c r="G14" s="44"/>
      <c r="H14" s="45"/>
      <c r="I14" s="45"/>
      <c r="J14" s="45"/>
      <c r="K14" s="45"/>
      <c r="L14" s="45"/>
      <c r="M14" s="45"/>
      <c r="N14" s="45"/>
    </row>
    <row r="15" spans="1:19" x14ac:dyDescent="0.2">
      <c r="C15" s="44"/>
      <c r="D15" s="44"/>
      <c r="E15" s="44"/>
      <c r="F15" s="44"/>
      <c r="G15" s="44"/>
      <c r="H15" s="45"/>
      <c r="I15" s="45"/>
      <c r="J15" s="45"/>
      <c r="K15" s="45"/>
      <c r="L15" s="45"/>
      <c r="M15" s="45"/>
      <c r="N15" s="45"/>
    </row>
    <row r="16" spans="1:19" ht="12" x14ac:dyDescent="0.2">
      <c r="C16" s="224" t="s">
        <v>257</v>
      </c>
      <c r="D16" s="224"/>
      <c r="E16" s="224"/>
      <c r="F16" s="224"/>
      <c r="G16" s="224"/>
      <c r="H16" s="224"/>
      <c r="I16" s="224"/>
      <c r="J16" s="224"/>
      <c r="K16" s="224"/>
      <c r="L16" s="224"/>
      <c r="M16" s="224"/>
      <c r="N16" s="224"/>
      <c r="O16" s="224"/>
      <c r="P16" s="224"/>
      <c r="Q16" s="224"/>
      <c r="R16" s="224"/>
      <c r="S16" s="224"/>
    </row>
    <row r="17" spans="2:19" ht="24" x14ac:dyDescent="0.2">
      <c r="C17" s="6" t="s">
        <v>45</v>
      </c>
      <c r="D17" s="6" t="s">
        <v>46</v>
      </c>
      <c r="E17" s="6" t="s">
        <v>47</v>
      </c>
      <c r="F17" s="6" t="s">
        <v>165</v>
      </c>
      <c r="G17" s="6" t="s">
        <v>173</v>
      </c>
      <c r="H17" s="98" t="s">
        <v>184</v>
      </c>
      <c r="I17" s="98" t="s">
        <v>183</v>
      </c>
      <c r="J17" s="98" t="s">
        <v>185</v>
      </c>
      <c r="K17" s="98" t="s">
        <v>186</v>
      </c>
      <c r="L17" s="98" t="s">
        <v>187</v>
      </c>
      <c r="M17" s="98" t="s">
        <v>188</v>
      </c>
      <c r="N17" s="98" t="s">
        <v>189</v>
      </c>
      <c r="O17" s="98" t="s">
        <v>269</v>
      </c>
      <c r="P17" s="98" t="s">
        <v>270</v>
      </c>
      <c r="Q17" s="98" t="s">
        <v>271</v>
      </c>
      <c r="R17" s="98" t="s">
        <v>272</v>
      </c>
      <c r="S17" s="98" t="s">
        <v>273</v>
      </c>
    </row>
    <row r="18" spans="2:19" ht="12" x14ac:dyDescent="0.25">
      <c r="B18" s="30" t="s">
        <v>130</v>
      </c>
      <c r="C18" s="30"/>
      <c r="D18" s="30"/>
      <c r="E18" s="30"/>
      <c r="F18" s="30"/>
      <c r="G18" s="47"/>
      <c r="H18" s="197">
        <f>'Cash Flow'!H20</f>
        <v>2972.7125278555859</v>
      </c>
      <c r="I18" s="197"/>
      <c r="J18" s="197">
        <f>'Cash Flow'!J20</f>
        <v>-396.63584819261541</v>
      </c>
      <c r="K18" s="197">
        <f>'Cash Flow'!K20</f>
        <v>10190.671314179541</v>
      </c>
      <c r="L18" s="197">
        <f>'Cash Flow'!L20</f>
        <v>8651.0996903322593</v>
      </c>
      <c r="M18" s="197">
        <f>'Cash Flow'!M20</f>
        <v>10838.520912761629</v>
      </c>
      <c r="N18" s="197">
        <f>'Cash Flow'!N20</f>
        <v>3029.8090401795162</v>
      </c>
      <c r="O18" s="197">
        <f>'Cash Flow'!O20</f>
        <v>3366.4672239853135</v>
      </c>
      <c r="P18" s="197">
        <f>'Cash Flow'!P20</f>
        <v>1574.5603900865262</v>
      </c>
      <c r="Q18" s="197">
        <f>'Cash Flow'!Q20</f>
        <v>1645.9637413920509</v>
      </c>
      <c r="R18" s="197">
        <f>'Cash Flow'!R20</f>
        <v>630.30884397338195</v>
      </c>
      <c r="S18" s="197">
        <f>'Cash Flow'!S20</f>
        <v>618.65818852123812</v>
      </c>
    </row>
    <row r="19" spans="2:19" x14ac:dyDescent="0.2">
      <c r="B19" s="20" t="s">
        <v>140</v>
      </c>
      <c r="G19" s="24"/>
      <c r="H19" s="198">
        <f t="shared" ref="H19:J20" si="8">IF(H$18&lt;0,-H$18*$C4,0)</f>
        <v>0</v>
      </c>
      <c r="I19" s="198">
        <f t="shared" si="8"/>
        <v>0</v>
      </c>
      <c r="J19" s="198">
        <f t="shared" si="8"/>
        <v>198.31792409630771</v>
      </c>
      <c r="K19" s="198">
        <f t="shared" ref="K19:S19" si="9">IF(K$18&lt;0,-K$18*$C4,0)</f>
        <v>0</v>
      </c>
      <c r="L19" s="198">
        <f t="shared" si="9"/>
        <v>0</v>
      </c>
      <c r="M19" s="198">
        <f t="shared" si="9"/>
        <v>0</v>
      </c>
      <c r="N19" s="198">
        <f t="shared" si="9"/>
        <v>0</v>
      </c>
      <c r="O19" s="198">
        <f t="shared" si="9"/>
        <v>0</v>
      </c>
      <c r="P19" s="198">
        <f t="shared" si="9"/>
        <v>0</v>
      </c>
      <c r="Q19" s="198">
        <f t="shared" si="9"/>
        <v>0</v>
      </c>
      <c r="R19" s="198">
        <f t="shared" si="9"/>
        <v>0</v>
      </c>
      <c r="S19" s="198">
        <f t="shared" si="9"/>
        <v>0</v>
      </c>
    </row>
    <row r="20" spans="2:19" x14ac:dyDescent="0.2">
      <c r="B20" s="20" t="s">
        <v>116</v>
      </c>
      <c r="G20" s="24"/>
      <c r="H20" s="198">
        <f t="shared" si="8"/>
        <v>0</v>
      </c>
      <c r="I20" s="198">
        <f t="shared" si="8"/>
        <v>0</v>
      </c>
      <c r="J20" s="198">
        <f t="shared" si="8"/>
        <v>198.31792409630771</v>
      </c>
      <c r="K20" s="198">
        <f t="shared" ref="K20:S20" si="10">IF(K$18&lt;0,-K$18*$C5,0)</f>
        <v>0</v>
      </c>
      <c r="L20" s="198">
        <f t="shared" si="10"/>
        <v>0</v>
      </c>
      <c r="M20" s="198">
        <f t="shared" si="10"/>
        <v>0</v>
      </c>
      <c r="N20" s="198">
        <f t="shared" si="10"/>
        <v>0</v>
      </c>
      <c r="O20" s="198">
        <f t="shared" si="10"/>
        <v>0</v>
      </c>
      <c r="P20" s="198">
        <f t="shared" si="10"/>
        <v>0</v>
      </c>
      <c r="Q20" s="198">
        <f t="shared" si="10"/>
        <v>0</v>
      </c>
      <c r="R20" s="198">
        <f t="shared" si="10"/>
        <v>0</v>
      </c>
      <c r="S20" s="198">
        <f t="shared" si="10"/>
        <v>0</v>
      </c>
    </row>
    <row r="21" spans="2:19" x14ac:dyDescent="0.2">
      <c r="I21" s="206"/>
    </row>
  </sheetData>
  <mergeCells count="2">
    <mergeCell ref="C9:S9"/>
    <mergeCell ref="C16:S16"/>
  </mergeCells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S24"/>
  <sheetViews>
    <sheetView topLeftCell="A2" workbookViewId="0">
      <selection activeCell="C6" sqref="C6"/>
    </sheetView>
  </sheetViews>
  <sheetFormatPr defaultColWidth="9.109375" defaultRowHeight="11.4" x14ac:dyDescent="0.2"/>
  <cols>
    <col min="1" max="1" width="2" style="20" customWidth="1"/>
    <col min="2" max="2" width="27.109375" style="20" bestFit="1" customWidth="1"/>
    <col min="3" max="14" width="9.77734375" style="20" customWidth="1"/>
    <col min="15" max="16384" width="9.109375" style="20"/>
  </cols>
  <sheetData>
    <row r="1" spans="2:19" ht="15.6" x14ac:dyDescent="0.3">
      <c r="B1" s="18" t="s">
        <v>98</v>
      </c>
      <c r="C1" s="28"/>
    </row>
    <row r="4" spans="2:19" x14ac:dyDescent="0.2">
      <c r="B4" s="20" t="s">
        <v>99</v>
      </c>
      <c r="C4" s="29">
        <f>Drivers!C7</f>
        <v>3.0700000000000002E-2</v>
      </c>
    </row>
    <row r="5" spans="2:19" x14ac:dyDescent="0.2">
      <c r="B5" s="20" t="s">
        <v>100</v>
      </c>
      <c r="C5" s="29">
        <f>Drivers!C8</f>
        <v>0.05</v>
      </c>
    </row>
    <row r="6" spans="2:19" x14ac:dyDescent="0.2">
      <c r="B6" s="20" t="s">
        <v>362</v>
      </c>
      <c r="C6" s="20">
        <f>Drivers!C9</f>
        <v>0.78</v>
      </c>
    </row>
    <row r="7" spans="2:19" x14ac:dyDescent="0.2">
      <c r="B7" s="20" t="s">
        <v>265</v>
      </c>
      <c r="C7" s="46">
        <f>Drivers!C12</f>
        <v>0.3</v>
      </c>
    </row>
    <row r="9" spans="2:19" ht="12" x14ac:dyDescent="0.25">
      <c r="B9" s="30" t="s">
        <v>157</v>
      </c>
      <c r="C9" s="31">
        <f>C4+C5*C6</f>
        <v>6.9700000000000012E-2</v>
      </c>
    </row>
    <row r="10" spans="2:19" ht="12" x14ac:dyDescent="0.25">
      <c r="B10" s="30" t="s">
        <v>363</v>
      </c>
      <c r="C10" s="31">
        <f>Drivers!C11</f>
        <v>7.4999999999999997E-2</v>
      </c>
    </row>
    <row r="13" spans="2:19" ht="12" x14ac:dyDescent="0.2">
      <c r="C13" s="224" t="s">
        <v>255</v>
      </c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224"/>
      <c r="P13" s="224"/>
      <c r="Q13" s="224"/>
      <c r="R13" s="224"/>
      <c r="S13" s="224"/>
    </row>
    <row r="14" spans="2:19" ht="28.2" customHeight="1" x14ac:dyDescent="0.25">
      <c r="B14" s="5" t="s">
        <v>260</v>
      </c>
      <c r="C14" s="6" t="s">
        <v>239</v>
      </c>
      <c r="D14" s="6" t="s">
        <v>240</v>
      </c>
      <c r="E14" s="6" t="s">
        <v>241</v>
      </c>
      <c r="F14" s="6" t="s">
        <v>244</v>
      </c>
      <c r="G14" s="6" t="s">
        <v>242</v>
      </c>
      <c r="H14" s="98"/>
      <c r="I14" s="98" t="s">
        <v>295</v>
      </c>
      <c r="J14" s="98" t="s">
        <v>296</v>
      </c>
      <c r="K14" s="98" t="s">
        <v>297</v>
      </c>
      <c r="L14" s="98" t="s">
        <v>298</v>
      </c>
      <c r="M14" s="98" t="s">
        <v>299</v>
      </c>
      <c r="N14" s="98" t="s">
        <v>300</v>
      </c>
      <c r="O14" s="98" t="s">
        <v>301</v>
      </c>
      <c r="P14" s="98" t="s">
        <v>302</v>
      </c>
      <c r="Q14" s="98" t="s">
        <v>303</v>
      </c>
      <c r="R14" s="98" t="s">
        <v>304</v>
      </c>
      <c r="S14" s="98" t="s">
        <v>305</v>
      </c>
    </row>
    <row r="15" spans="2:19" x14ac:dyDescent="0.2">
      <c r="B15" s="20" t="s">
        <v>140</v>
      </c>
      <c r="C15" s="207">
        <f>'Balance Sheet'!C28</f>
        <v>2429.884</v>
      </c>
      <c r="D15" s="207">
        <f>'Balance Sheet'!D28</f>
        <v>2649.02</v>
      </c>
      <c r="E15" s="207">
        <f>'Balance Sheet'!E28</f>
        <v>6844.26</v>
      </c>
      <c r="F15" s="207">
        <f>'Balance Sheet'!F28</f>
        <v>10212.249</v>
      </c>
      <c r="G15" s="207">
        <f>'Balance Sheet'!G28</f>
        <v>11616.575000000001</v>
      </c>
      <c r="H15" s="165"/>
      <c r="I15" s="165">
        <f>'Balance Sheet'!I28</f>
        <v>11616.575000000001</v>
      </c>
      <c r="J15" s="165">
        <f>'Balance Sheet'!J28</f>
        <v>11814.892924096308</v>
      </c>
      <c r="K15" s="165">
        <f>'Balance Sheet'!K28</f>
        <v>11814.892924096308</v>
      </c>
      <c r="L15" s="165">
        <f>'Balance Sheet'!L28</f>
        <v>11814.892924096308</v>
      </c>
      <c r="M15" s="165">
        <f>'Balance Sheet'!M28</f>
        <v>11814.892924096308</v>
      </c>
      <c r="N15" s="165">
        <f>'Balance Sheet'!N28</f>
        <v>11814.892924096308</v>
      </c>
      <c r="O15" s="165">
        <f>'Balance Sheet'!O28</f>
        <v>11814.892924096308</v>
      </c>
      <c r="P15" s="165">
        <f>'Balance Sheet'!P28</f>
        <v>11814.892924096308</v>
      </c>
      <c r="Q15" s="165">
        <f>'Balance Sheet'!Q28</f>
        <v>11814.892924096308</v>
      </c>
      <c r="R15" s="165">
        <f>'Balance Sheet'!R28</f>
        <v>11814.892924096308</v>
      </c>
      <c r="S15" s="165">
        <f>'Balance Sheet'!S28</f>
        <v>11814.892924096308</v>
      </c>
    </row>
    <row r="16" spans="2:19" x14ac:dyDescent="0.2">
      <c r="B16" s="20" t="s">
        <v>116</v>
      </c>
      <c r="C16" s="207">
        <f>'Balance Sheet'!C32</f>
        <v>911.71</v>
      </c>
      <c r="D16" s="207">
        <f>'Balance Sheet'!D32</f>
        <v>1083.704</v>
      </c>
      <c r="E16" s="207">
        <f>'Balance Sheet'!E32</f>
        <v>5538.0860000000002</v>
      </c>
      <c r="F16" s="207">
        <f>'Balance Sheet'!F32</f>
        <v>5234.5879999999997</v>
      </c>
      <c r="G16" s="207">
        <f>'Balance Sheet'!G32</f>
        <v>5267.1130000000003</v>
      </c>
      <c r="H16" s="165"/>
      <c r="I16" s="165">
        <f>'Balance Sheet'!I32</f>
        <v>4087.6481711328315</v>
      </c>
      <c r="J16" s="165">
        <f>'Balance Sheet'!J32</f>
        <v>4235.7455911665711</v>
      </c>
      <c r="K16" s="165">
        <f>'Balance Sheet'!K32</f>
        <v>4693.5693677454592</v>
      </c>
      <c r="L16" s="165">
        <f>'Balance Sheet'!L32</f>
        <v>5659.3052693674963</v>
      </c>
      <c r="M16" s="165">
        <f>'Balance Sheet'!M32</f>
        <v>7229.9230602897496</v>
      </c>
      <c r="N16" s="165">
        <f>'Balance Sheet'!N32</f>
        <v>8971.3862942728865</v>
      </c>
      <c r="O16" s="165">
        <f>'Balance Sheet'!O32</f>
        <v>10899.965547052949</v>
      </c>
      <c r="P16" s="165">
        <f>'Balance Sheet'!P32</f>
        <v>12937.780000353261</v>
      </c>
      <c r="Q16" s="165">
        <f>'Balance Sheet'!Q32</f>
        <v>15090.064436137718</v>
      </c>
      <c r="R16" s="165">
        <f>'Balance Sheet'!R32</f>
        <v>17298.598815002133</v>
      </c>
      <c r="S16" s="165">
        <f>'Balance Sheet'!S32</f>
        <v>19564.68855347078</v>
      </c>
    </row>
    <row r="17" spans="2:19" x14ac:dyDescent="0.2"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</row>
    <row r="18" spans="2:19" x14ac:dyDescent="0.2">
      <c r="B18" s="20" t="s">
        <v>158</v>
      </c>
      <c r="C18" s="46">
        <f t="shared" ref="C18:G19" si="0">C15/(C$15+C$16)</f>
        <v>0.72716314429580609</v>
      </c>
      <c r="D18" s="46">
        <f t="shared" si="0"/>
        <v>0.70967475763008459</v>
      </c>
      <c r="E18" s="46">
        <f t="shared" si="0"/>
        <v>0.55274339773739156</v>
      </c>
      <c r="F18" s="46">
        <f t="shared" si="0"/>
        <v>0.66112233850852442</v>
      </c>
      <c r="G18" s="46">
        <f t="shared" si="0"/>
        <v>0.68803539842716821</v>
      </c>
      <c r="H18" s="208"/>
      <c r="I18" s="208">
        <f t="shared" ref="I18:N19" si="1">I15/(I$15+I$16)</f>
        <v>0.73971025968055149</v>
      </c>
      <c r="J18" s="208">
        <f t="shared" si="1"/>
        <v>0.73610111603107165</v>
      </c>
      <c r="K18" s="208">
        <f t="shared" si="1"/>
        <v>0.71568706492639533</v>
      </c>
      <c r="L18" s="208">
        <f t="shared" si="1"/>
        <v>0.67613362245803366</v>
      </c>
      <c r="M18" s="208">
        <f t="shared" si="1"/>
        <v>0.62037317313975515</v>
      </c>
      <c r="N18" s="208">
        <f t="shared" si="1"/>
        <v>0.56839864412363339</v>
      </c>
      <c r="O18" s="208">
        <f t="shared" ref="O18:S18" si="2">O15/(O$15+O$16)</f>
        <v>0.52013940298605499</v>
      </c>
      <c r="P18" s="208">
        <f t="shared" si="2"/>
        <v>0.47731786220251354</v>
      </c>
      <c r="Q18" s="208">
        <f t="shared" si="2"/>
        <v>0.43913442292084492</v>
      </c>
      <c r="R18" s="208">
        <f t="shared" si="2"/>
        <v>0.40582191342680152</v>
      </c>
      <c r="S18" s="208">
        <f t="shared" si="2"/>
        <v>0.37651531243470032</v>
      </c>
    </row>
    <row r="19" spans="2:19" x14ac:dyDescent="0.2">
      <c r="B19" s="20" t="s">
        <v>159</v>
      </c>
      <c r="C19" s="46">
        <f t="shared" si="0"/>
        <v>0.27283685570419386</v>
      </c>
      <c r="D19" s="46">
        <f t="shared" si="0"/>
        <v>0.29032524236991536</v>
      </c>
      <c r="E19" s="46">
        <f t="shared" si="0"/>
        <v>0.44725660226260838</v>
      </c>
      <c r="F19" s="46">
        <f t="shared" si="0"/>
        <v>0.33887766149147558</v>
      </c>
      <c r="G19" s="46">
        <f t="shared" si="0"/>
        <v>0.31196460157283168</v>
      </c>
      <c r="H19" s="208"/>
      <c r="I19" s="208">
        <f t="shared" si="1"/>
        <v>0.26028974031944857</v>
      </c>
      <c r="J19" s="208">
        <f t="shared" si="1"/>
        <v>0.26389888396892835</v>
      </c>
      <c r="K19" s="208">
        <f t="shared" si="1"/>
        <v>0.28431293507360467</v>
      </c>
      <c r="L19" s="208">
        <f t="shared" si="1"/>
        <v>0.32386637754196645</v>
      </c>
      <c r="M19" s="208">
        <f t="shared" si="1"/>
        <v>0.3796268268602449</v>
      </c>
      <c r="N19" s="208">
        <f t="shared" si="1"/>
        <v>0.43160135587636667</v>
      </c>
      <c r="O19" s="208">
        <f t="shared" ref="O19:S19" si="3">O16/(O$15+O$16)</f>
        <v>0.47986059701394496</v>
      </c>
      <c r="P19" s="208">
        <f t="shared" si="3"/>
        <v>0.5226821377974864</v>
      </c>
      <c r="Q19" s="208">
        <f t="shared" si="3"/>
        <v>0.56086557707915508</v>
      </c>
      <c r="R19" s="208">
        <f t="shared" si="3"/>
        <v>0.59417808657319848</v>
      </c>
      <c r="S19" s="208">
        <f t="shared" si="3"/>
        <v>0.62348468756529962</v>
      </c>
    </row>
    <row r="20" spans="2:19" x14ac:dyDescent="0.2">
      <c r="G20" s="59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8"/>
    </row>
    <row r="21" spans="2:19" x14ac:dyDescent="0.2">
      <c r="B21" s="20" t="s">
        <v>157</v>
      </c>
      <c r="C21" s="45">
        <f>$C$9</f>
        <v>6.9700000000000012E-2</v>
      </c>
      <c r="D21" s="45">
        <f>$C$9</f>
        <v>6.9700000000000012E-2</v>
      </c>
      <c r="E21" s="45">
        <f>$C$9</f>
        <v>6.9700000000000012E-2</v>
      </c>
      <c r="F21" s="45">
        <f>$C$9</f>
        <v>6.9700000000000012E-2</v>
      </c>
      <c r="G21" s="45">
        <f>$C$9</f>
        <v>6.9700000000000012E-2</v>
      </c>
      <c r="H21" s="146"/>
      <c r="I21" s="146">
        <f t="shared" ref="I21:S21" si="4">$C$9</f>
        <v>6.9700000000000012E-2</v>
      </c>
      <c r="J21" s="146">
        <f t="shared" si="4"/>
        <v>6.9700000000000012E-2</v>
      </c>
      <c r="K21" s="146">
        <f t="shared" si="4"/>
        <v>6.9700000000000012E-2</v>
      </c>
      <c r="L21" s="146">
        <f t="shared" si="4"/>
        <v>6.9700000000000012E-2</v>
      </c>
      <c r="M21" s="146">
        <f t="shared" si="4"/>
        <v>6.9700000000000012E-2</v>
      </c>
      <c r="N21" s="146">
        <f t="shared" si="4"/>
        <v>6.9700000000000012E-2</v>
      </c>
      <c r="O21" s="146">
        <f t="shared" si="4"/>
        <v>6.9700000000000012E-2</v>
      </c>
      <c r="P21" s="146">
        <f t="shared" si="4"/>
        <v>6.9700000000000012E-2</v>
      </c>
      <c r="Q21" s="146">
        <f t="shared" si="4"/>
        <v>6.9700000000000012E-2</v>
      </c>
      <c r="R21" s="146">
        <f t="shared" si="4"/>
        <v>6.9700000000000012E-2</v>
      </c>
      <c r="S21" s="146">
        <f t="shared" si="4"/>
        <v>6.9700000000000012E-2</v>
      </c>
    </row>
    <row r="22" spans="2:19" x14ac:dyDescent="0.2">
      <c r="B22" s="20" t="s">
        <v>256</v>
      </c>
      <c r="C22" s="45">
        <f>$C$10</f>
        <v>7.4999999999999997E-2</v>
      </c>
      <c r="D22" s="45">
        <f>$C$10</f>
        <v>7.4999999999999997E-2</v>
      </c>
      <c r="E22" s="45">
        <f>$C$10</f>
        <v>7.4999999999999997E-2</v>
      </c>
      <c r="F22" s="45">
        <f>$C$10</f>
        <v>7.4999999999999997E-2</v>
      </c>
      <c r="G22" s="45">
        <f>$C$10</f>
        <v>7.4999999999999997E-2</v>
      </c>
      <c r="H22" s="146"/>
      <c r="I22" s="146">
        <f>$C$10</f>
        <v>7.4999999999999997E-2</v>
      </c>
      <c r="J22" s="146">
        <f t="shared" ref="J22:S22" si="5">$C$10</f>
        <v>7.4999999999999997E-2</v>
      </c>
      <c r="K22" s="146">
        <f t="shared" si="5"/>
        <v>7.4999999999999997E-2</v>
      </c>
      <c r="L22" s="146">
        <f t="shared" si="5"/>
        <v>7.4999999999999997E-2</v>
      </c>
      <c r="M22" s="146">
        <f t="shared" si="5"/>
        <v>7.4999999999999997E-2</v>
      </c>
      <c r="N22" s="146">
        <f t="shared" si="5"/>
        <v>7.4999999999999997E-2</v>
      </c>
      <c r="O22" s="146">
        <f t="shared" si="5"/>
        <v>7.4999999999999997E-2</v>
      </c>
      <c r="P22" s="146">
        <f t="shared" si="5"/>
        <v>7.4999999999999997E-2</v>
      </c>
      <c r="Q22" s="146">
        <f t="shared" si="5"/>
        <v>7.4999999999999997E-2</v>
      </c>
      <c r="R22" s="146">
        <f t="shared" si="5"/>
        <v>7.4999999999999997E-2</v>
      </c>
      <c r="S22" s="146">
        <f t="shared" si="5"/>
        <v>7.4999999999999997E-2</v>
      </c>
    </row>
    <row r="23" spans="2:19" x14ac:dyDescent="0.2">
      <c r="G23" s="59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</row>
    <row r="24" spans="2:19" ht="12.6" thickBot="1" x14ac:dyDescent="0.3">
      <c r="B24" s="116" t="s">
        <v>98</v>
      </c>
      <c r="C24" s="209">
        <f>C18*C22*(1-$C$7)+C19*C21</f>
        <v>5.7192793918112134E-2</v>
      </c>
      <c r="D24" s="209">
        <f t="shared" ref="D24:G24" si="6">D18*D22*(1-$C$7)+D19*D21</f>
        <v>5.7493594168762541E-2</v>
      </c>
      <c r="E24" s="209">
        <f t="shared" si="6"/>
        <v>6.0192813558916862E-2</v>
      </c>
      <c r="F24" s="209">
        <f t="shared" si="6"/>
        <v>5.8328695777653379E-2</v>
      </c>
      <c r="G24" s="209">
        <f t="shared" si="6"/>
        <v>5.7865791147052703E-2</v>
      </c>
      <c r="H24" s="209"/>
      <c r="I24" s="209">
        <f>I18*I22*(1-$C$7)+I19*I21</f>
        <v>5.6976983533494521E-2</v>
      </c>
      <c r="J24" s="209">
        <f t="shared" ref="J24:N24" si="7">J18*J22*(1-$C$7)+J19*J21</f>
        <v>5.7039060804265573E-2</v>
      </c>
      <c r="K24" s="209">
        <f t="shared" si="7"/>
        <v>5.7390182483265995E-2</v>
      </c>
      <c r="L24" s="209">
        <f t="shared" si="7"/>
        <v>5.8070501693721827E-2</v>
      </c>
      <c r="M24" s="209">
        <f t="shared" si="7"/>
        <v>5.9029581421996213E-2</v>
      </c>
      <c r="N24" s="209">
        <f t="shared" si="7"/>
        <v>5.9923543321073511E-2</v>
      </c>
      <c r="O24" s="209">
        <f t="shared" ref="O24:S24" si="8">O18*O22*(1-$C$7)+O19*O21</f>
        <v>6.0753602268639857E-2</v>
      </c>
      <c r="P24" s="209">
        <f t="shared" si="8"/>
        <v>6.1490132770116765E-2</v>
      </c>
      <c r="Q24" s="209">
        <f t="shared" si="8"/>
        <v>6.2146887925761472E-2</v>
      </c>
      <c r="R24" s="209">
        <f t="shared" si="8"/>
        <v>6.2719863089059025E-2</v>
      </c>
      <c r="S24" s="209">
        <f t="shared" si="8"/>
        <v>6.3223936626123162E-2</v>
      </c>
    </row>
  </sheetData>
  <mergeCells count="1">
    <mergeCell ref="C13:S13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S18"/>
  <sheetViews>
    <sheetView topLeftCell="C1" workbookViewId="0">
      <selection activeCell="W12" sqref="W12"/>
    </sheetView>
  </sheetViews>
  <sheetFormatPr defaultColWidth="9.109375" defaultRowHeight="13.2" x14ac:dyDescent="0.25"/>
  <cols>
    <col min="1" max="1" width="2" style="19" customWidth="1"/>
    <col min="2" max="2" width="22.44140625" style="19" bestFit="1" customWidth="1"/>
    <col min="3" max="14" width="9.77734375" style="19" customWidth="1"/>
    <col min="15" max="16384" width="9.109375" style="19"/>
  </cols>
  <sheetData>
    <row r="1" spans="2:19" ht="15.6" x14ac:dyDescent="0.3">
      <c r="B1" s="18" t="s">
        <v>101</v>
      </c>
      <c r="C1" s="18"/>
    </row>
    <row r="3" spans="2:19" x14ac:dyDescent="0.25">
      <c r="C3" s="224" t="s">
        <v>258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</row>
    <row r="4" spans="2:19" ht="24" x14ac:dyDescent="0.25">
      <c r="B4" s="5" t="s">
        <v>260</v>
      </c>
      <c r="C4" s="6" t="s">
        <v>45</v>
      </c>
      <c r="D4" s="6" t="s">
        <v>46</v>
      </c>
      <c r="E4" s="6" t="s">
        <v>47</v>
      </c>
      <c r="F4" s="6" t="s">
        <v>165</v>
      </c>
      <c r="G4" s="6" t="s">
        <v>173</v>
      </c>
      <c r="H4" s="98" t="s">
        <v>184</v>
      </c>
      <c r="I4" s="98" t="s">
        <v>183</v>
      </c>
      <c r="J4" s="98" t="s">
        <v>185</v>
      </c>
      <c r="K4" s="98" t="s">
        <v>186</v>
      </c>
      <c r="L4" s="98" t="s">
        <v>187</v>
      </c>
      <c r="M4" s="98" t="s">
        <v>188</v>
      </c>
      <c r="N4" s="98" t="s">
        <v>189</v>
      </c>
      <c r="O4" s="98" t="s">
        <v>269</v>
      </c>
      <c r="P4" s="98" t="s">
        <v>270</v>
      </c>
      <c r="Q4" s="98" t="s">
        <v>271</v>
      </c>
      <c r="R4" s="98" t="s">
        <v>272</v>
      </c>
      <c r="S4" s="98" t="s">
        <v>273</v>
      </c>
    </row>
    <row r="5" spans="2:19" x14ac:dyDescent="0.25">
      <c r="B5" s="25" t="s">
        <v>104</v>
      </c>
      <c r="C5" s="160">
        <f>'Revenue automotive'!C11+'Revenue Energy &amp; Other'!C7</f>
        <v>3198.3560000000002</v>
      </c>
      <c r="D5" s="160">
        <f>'Revenue automotive'!D11+'Revenue Energy &amp; Other'!D7</f>
        <v>4046.0250000000001</v>
      </c>
      <c r="E5" s="160">
        <f>'Revenue automotive'!E11+'Revenue Energy &amp; Other'!E7</f>
        <v>7000.1319999999996</v>
      </c>
      <c r="F5" s="160">
        <f>'Revenue automotive'!F11+'Revenue Energy &amp; Other'!F7</f>
        <v>11758.751</v>
      </c>
      <c r="G5" s="14">
        <f>'Revenue automotive'!G11+'Revenue Energy &amp; Other'!G7</f>
        <v>7410.982</v>
      </c>
      <c r="H5" s="161">
        <f>'Revenue automotive'!H11+'Revenue Energy &amp; Other'!H7</f>
        <v>10577.234</v>
      </c>
      <c r="I5" s="161">
        <f>G5+H5</f>
        <v>17988.216</v>
      </c>
      <c r="J5" s="161">
        <f>'Revenue automotive'!J11+'Revenue Energy &amp; Other'!J7</f>
        <v>23056.672880000002</v>
      </c>
      <c r="K5" s="161">
        <f>'Revenue automotive'!K11+'Revenue Energy &amp; Other'!K7</f>
        <v>41514.780577980957</v>
      </c>
      <c r="L5" s="161">
        <f>'Revenue automotive'!L11+'Revenue Energy &amp; Other'!L7</f>
        <v>55124.434679548234</v>
      </c>
      <c r="M5" s="161">
        <f>'Revenue automotive'!M11+'Revenue Energy &amp; Other'!M7</f>
        <v>71183.609225627253</v>
      </c>
      <c r="N5" s="161">
        <f>'Revenue automotive'!N11+'Revenue Energy &amp; Other'!N7</f>
        <v>76330.390080534518</v>
      </c>
      <c r="O5" s="161">
        <f>'Revenue automotive'!O11+'Revenue Energy &amp; Other'!O7</f>
        <v>81914.432877353174</v>
      </c>
      <c r="P5" s="161">
        <f>'Revenue automotive'!P11+'Revenue Energy &amp; Other'!P7</f>
        <v>85059.345517147638</v>
      </c>
      <c r="Q5" s="161">
        <f>'Revenue automotive'!Q11+'Revenue Energy &amp; Other'!Q7</f>
        <v>88344.249655849737</v>
      </c>
      <c r="R5" s="161">
        <f>'Revenue automotive'!R11+'Revenue Energy &amp; Other'!R7</f>
        <v>90309.118249813109</v>
      </c>
      <c r="S5" s="161">
        <f>'Revenue automotive'!S11+'Revenue Energy &amp; Other'!S7</f>
        <v>92325.163231706567</v>
      </c>
    </row>
    <row r="6" spans="2:19" x14ac:dyDescent="0.25">
      <c r="B6" s="25" t="s">
        <v>95</v>
      </c>
      <c r="C6" s="160">
        <f>'Cost of sales Energy &amp; Other'!C7+'Cost of sales automotive'!C11</f>
        <v>-2316.6849999999999</v>
      </c>
      <c r="D6" s="160">
        <f>'Cost of sales Energy &amp; Other'!D7+'Cost of sales automotive'!D11</f>
        <v>-3122.5219999999999</v>
      </c>
      <c r="E6" s="160">
        <f>'Cost of sales Energy &amp; Other'!E7+'Cost of sales automotive'!E11</f>
        <v>-5400.875</v>
      </c>
      <c r="F6" s="160">
        <f>'Cost of sales Energy &amp; Other'!F7+'Cost of sales automotive'!F11</f>
        <v>-9536.2639999999992</v>
      </c>
      <c r="G6" s="14">
        <f>'Cost of sales Energy &amp; Other'!G7+'Cost of sales automotive'!G11</f>
        <v>-6335.5259999999998</v>
      </c>
      <c r="H6" s="169">
        <f>'Cost of sales Energy &amp; Other'!H9+'Cost of sales automotive'!H11</f>
        <v>-8555.197457912911</v>
      </c>
      <c r="I6" s="161">
        <f>G6+H6</f>
        <v>-14890.723457912911</v>
      </c>
      <c r="J6" s="169">
        <f>'Cost of sales Energy &amp; Other'!J9+'Cost of sales automotive'!J11</f>
        <v>-19513.198063046879</v>
      </c>
      <c r="K6" s="169">
        <f>'Cost of sales Energy &amp; Other'!K9+'Cost of sales automotive'!K11</f>
        <v>-34946.429463471555</v>
      </c>
      <c r="L6" s="169">
        <f>'Cost of sales Energy &amp; Other'!L9+'Cost of sales automotive'!L11</f>
        <v>-46130.405455729357</v>
      </c>
      <c r="M6" s="169">
        <f>'Cost of sales Energy &amp; Other'!M9+'Cost of sales automotive'!M11</f>
        <v>-59319.384717061999</v>
      </c>
      <c r="N6" s="169">
        <f>'Cost of sales Energy &amp; Other'!N9+'Cost of sales automotive'!N11</f>
        <v>-63579.175616384266</v>
      </c>
      <c r="O6" s="169">
        <f>'Cost of sales Energy &amp; Other'!O9+'Cost of sales automotive'!O11</f>
        <v>-68198.362936095145</v>
      </c>
      <c r="P6" s="169">
        <f>'Cost of sales Energy &amp; Other'!P9+'Cost of sales automotive'!P11</f>
        <v>-70794.369418535076</v>
      </c>
      <c r="Q6" s="169">
        <f>'Cost of sales Energy &amp; Other'!Q9+'Cost of sales automotive'!Q11</f>
        <v>-73505.401696395842</v>
      </c>
      <c r="R6" s="169">
        <f>'Cost of sales Energy &amp; Other'!R9+'Cost of sales automotive'!R11</f>
        <v>-75144.465977623404</v>
      </c>
      <c r="S6" s="169">
        <f>'Cost of sales Energy &amp; Other'!S9+'Cost of sales automotive'!S11</f>
        <v>-76826.44891931348</v>
      </c>
    </row>
    <row r="7" spans="2:19" x14ac:dyDescent="0.25">
      <c r="B7" s="32" t="s">
        <v>1</v>
      </c>
      <c r="C7" s="162">
        <f>SUM(C5:C6)</f>
        <v>881.67100000000028</v>
      </c>
      <c r="D7" s="162">
        <f t="shared" ref="D7:I9" si="0">SUM(D5:D6)</f>
        <v>923.50300000000016</v>
      </c>
      <c r="E7" s="162">
        <f t="shared" si="0"/>
        <v>1599.2569999999996</v>
      </c>
      <c r="F7" s="162">
        <f t="shared" si="0"/>
        <v>2222.487000000001</v>
      </c>
      <c r="G7" s="173">
        <f t="shared" si="0"/>
        <v>1075.4560000000001</v>
      </c>
      <c r="H7" s="163">
        <f t="shared" si="0"/>
        <v>2022.0365420870894</v>
      </c>
      <c r="I7" s="163">
        <f t="shared" si="0"/>
        <v>3097.4925420870895</v>
      </c>
      <c r="J7" s="163">
        <f t="shared" ref="J7:S7" si="1">SUM(J5:J6)</f>
        <v>3543.4748169531231</v>
      </c>
      <c r="K7" s="163">
        <f t="shared" si="1"/>
        <v>6568.3511145094017</v>
      </c>
      <c r="L7" s="163">
        <f t="shared" si="1"/>
        <v>8994.0292238188777</v>
      </c>
      <c r="M7" s="163">
        <f t="shared" si="1"/>
        <v>11864.224508565254</v>
      </c>
      <c r="N7" s="163">
        <f t="shared" si="1"/>
        <v>12751.214464150253</v>
      </c>
      <c r="O7" s="163">
        <f t="shared" si="1"/>
        <v>13716.069941258029</v>
      </c>
      <c r="P7" s="163">
        <f t="shared" si="1"/>
        <v>14264.976098612562</v>
      </c>
      <c r="Q7" s="163">
        <f t="shared" si="1"/>
        <v>14838.847959453895</v>
      </c>
      <c r="R7" s="163">
        <f t="shared" si="1"/>
        <v>15164.652272189705</v>
      </c>
      <c r="S7" s="163">
        <f t="shared" si="1"/>
        <v>15498.714312393087</v>
      </c>
    </row>
    <row r="8" spans="2:19" x14ac:dyDescent="0.25">
      <c r="B8" s="25" t="s">
        <v>105</v>
      </c>
      <c r="C8" s="160">
        <f>Opex!C7</f>
        <v>-1068.3599999999999</v>
      </c>
      <c r="D8" s="160">
        <f>Opex!D7</f>
        <v>-1640.1320000000001</v>
      </c>
      <c r="E8" s="160">
        <f>Opex!E7</f>
        <v>-2266.5970000000002</v>
      </c>
      <c r="F8" s="160">
        <f>Opex!F7</f>
        <v>-3854.5729999999999</v>
      </c>
      <c r="G8" s="14">
        <f>Opex!G7</f>
        <v>-2293.8220000000001</v>
      </c>
      <c r="H8" s="161">
        <f>Opex!H7</f>
        <v>-2801.1251209542579</v>
      </c>
      <c r="I8" s="161">
        <f>G8+H8</f>
        <v>-5094.947120954258</v>
      </c>
      <c r="J8" s="161">
        <f>Opex!J7</f>
        <v>-2880.1910710156908</v>
      </c>
      <c r="K8" s="161">
        <f>Opex!K7</f>
        <v>-5185.9390536609098</v>
      </c>
      <c r="L8" s="161">
        <f>Opex!L7</f>
        <v>-6886.0284129087449</v>
      </c>
      <c r="M8" s="161">
        <f>Opex!M7</f>
        <v>-8892.1067129405255</v>
      </c>
      <c r="N8" s="161">
        <f>Opex!N7</f>
        <v>-9535.0317498671193</v>
      </c>
      <c r="O8" s="161">
        <f>Opex!O7</f>
        <v>-10232.578628693575</v>
      </c>
      <c r="P8" s="161">
        <f>Opex!P7</f>
        <v>-10625.434499590607</v>
      </c>
      <c r="Q8" s="161">
        <f>Opex!Q7</f>
        <v>-11035.77781402602</v>
      </c>
      <c r="R8" s="161">
        <f>Opex!R7</f>
        <v>-11281.225065219031</v>
      </c>
      <c r="S8" s="161">
        <f>Opex!S7</f>
        <v>-11533.065163130655</v>
      </c>
    </row>
    <row r="9" spans="2:19" x14ac:dyDescent="0.25">
      <c r="B9" s="32" t="s">
        <v>43</v>
      </c>
      <c r="C9" s="162">
        <f>SUM(C7:C8)</f>
        <v>-186.68899999999962</v>
      </c>
      <c r="D9" s="164">
        <f t="shared" ref="D9:F9" si="2">SUM(D7:D8)</f>
        <v>-716.62899999999991</v>
      </c>
      <c r="E9" s="164">
        <f t="shared" si="2"/>
        <v>-667.3400000000006</v>
      </c>
      <c r="F9" s="164">
        <f t="shared" si="2"/>
        <v>-1632.0859999999989</v>
      </c>
      <c r="G9" s="173">
        <f t="shared" si="0"/>
        <v>-1218.366</v>
      </c>
      <c r="H9" s="163">
        <f t="shared" si="0"/>
        <v>-779.08857886716851</v>
      </c>
      <c r="I9" s="163">
        <f t="shared" si="0"/>
        <v>-1997.4545788671685</v>
      </c>
      <c r="J9" s="163">
        <f t="shared" ref="J9:S9" si="3">SUM(J7:J8)</f>
        <v>663.28374593743229</v>
      </c>
      <c r="K9" s="163">
        <f t="shared" si="3"/>
        <v>1382.4120608484918</v>
      </c>
      <c r="L9" s="163">
        <f t="shared" si="3"/>
        <v>2108.0008109101327</v>
      </c>
      <c r="M9" s="163">
        <f t="shared" si="3"/>
        <v>2972.1177956247284</v>
      </c>
      <c r="N9" s="163">
        <f t="shared" si="3"/>
        <v>3216.1827142831335</v>
      </c>
      <c r="O9" s="163">
        <f t="shared" si="3"/>
        <v>3483.4913125644543</v>
      </c>
      <c r="P9" s="163">
        <f t="shared" si="3"/>
        <v>3639.5415990219553</v>
      </c>
      <c r="Q9" s="163">
        <f t="shared" si="3"/>
        <v>3803.0701454278751</v>
      </c>
      <c r="R9" s="163">
        <f t="shared" si="3"/>
        <v>3883.4272069706749</v>
      </c>
      <c r="S9" s="163">
        <f t="shared" si="3"/>
        <v>3965.6491492624318</v>
      </c>
    </row>
    <row r="10" spans="2:19" x14ac:dyDescent="0.25">
      <c r="B10" s="25" t="s">
        <v>106</v>
      </c>
      <c r="C10" s="160">
        <f>Financing!C12+('P&amp;L Input'!C16+'P&amp;L Input'!C18)/1000</f>
        <v>-97.947000000000003</v>
      </c>
      <c r="D10" s="160">
        <f>Financing!D12+('P&amp;L Input'!D16+'P&amp;L Input'!D18)/1000</f>
        <v>-158.995</v>
      </c>
      <c r="E10" s="160">
        <f>Financing!E12+('P&amp;L Input'!E16+'P&amp;L Input'!E18)/1000</f>
        <v>-79.007999999999996</v>
      </c>
      <c r="F10" s="160">
        <f>Financing!F12+('P&amp;L Input'!F16+'P&amp;L Input'!F18)/1000</f>
        <v>-576.94600000000003</v>
      </c>
      <c r="G10" s="14">
        <f>Financing!G12+('P&amp;L Input'!G16+'P&amp;L Input'!G18)/1000</f>
        <v>-289.65499999999997</v>
      </c>
      <c r="H10" s="161">
        <f>Financing!H12</f>
        <v>-400.37624999999997</v>
      </c>
      <c r="I10" s="161">
        <f>Financing!I12</f>
        <v>-713.50424999999996</v>
      </c>
      <c r="J10" s="161">
        <f>Financing!J12</f>
        <v>-713.50424999999996</v>
      </c>
      <c r="K10" s="161">
        <f>Financing!K12</f>
        <v>-728.37809430722302</v>
      </c>
      <c r="L10" s="161">
        <f>Financing!L12</f>
        <v>-728.37809430722302</v>
      </c>
      <c r="M10" s="161">
        <f>Financing!M12</f>
        <v>-728.37809430722302</v>
      </c>
      <c r="N10" s="161">
        <f>Financing!N12</f>
        <v>-728.37809430722302</v>
      </c>
      <c r="O10" s="161">
        <f>Financing!O12</f>
        <v>-728.37809430722302</v>
      </c>
      <c r="P10" s="161">
        <f>Financing!P12</f>
        <v>-728.37809430722302</v>
      </c>
      <c r="Q10" s="161">
        <f>Financing!Q12</f>
        <v>-728.37809430722302</v>
      </c>
      <c r="R10" s="161">
        <f>Financing!R12</f>
        <v>-728.37809430722302</v>
      </c>
      <c r="S10" s="161">
        <f>Financing!S12</f>
        <v>-728.37809430722302</v>
      </c>
    </row>
    <row r="11" spans="2:19" x14ac:dyDescent="0.25">
      <c r="B11" s="32" t="s">
        <v>44</v>
      </c>
      <c r="C11" s="164">
        <f t="shared" ref="C11:S11" si="4">SUM(C9:C10)</f>
        <v>-284.63599999999963</v>
      </c>
      <c r="D11" s="164">
        <f t="shared" si="4"/>
        <v>-875.62399999999991</v>
      </c>
      <c r="E11" s="164">
        <f t="shared" si="4"/>
        <v>-746.34800000000064</v>
      </c>
      <c r="F11" s="164">
        <f t="shared" si="4"/>
        <v>-2209.0319999999988</v>
      </c>
      <c r="G11" s="164">
        <f t="shared" si="4"/>
        <v>-1508.021</v>
      </c>
      <c r="H11" s="163">
        <f t="shared" si="4"/>
        <v>-1179.4648288671685</v>
      </c>
      <c r="I11" s="163">
        <f t="shared" si="4"/>
        <v>-2710.9588288671684</v>
      </c>
      <c r="J11" s="163">
        <f t="shared" si="4"/>
        <v>-50.22050406256767</v>
      </c>
      <c r="K11" s="163">
        <f t="shared" si="4"/>
        <v>654.0339665412688</v>
      </c>
      <c r="L11" s="163">
        <f t="shared" si="4"/>
        <v>1379.6227166029098</v>
      </c>
      <c r="M11" s="163">
        <f t="shared" si="4"/>
        <v>2243.7397013175055</v>
      </c>
      <c r="N11" s="163">
        <f t="shared" si="4"/>
        <v>2487.8046199759106</v>
      </c>
      <c r="O11" s="163">
        <f t="shared" si="4"/>
        <v>2755.1132182572314</v>
      </c>
      <c r="P11" s="163">
        <f t="shared" si="4"/>
        <v>2911.1635047147324</v>
      </c>
      <c r="Q11" s="163">
        <f t="shared" si="4"/>
        <v>3074.6920511206522</v>
      </c>
      <c r="R11" s="163">
        <f t="shared" si="4"/>
        <v>3155.049112663452</v>
      </c>
      <c r="S11" s="163">
        <f t="shared" si="4"/>
        <v>3237.2710549552089</v>
      </c>
    </row>
    <row r="12" spans="2:19" x14ac:dyDescent="0.25">
      <c r="B12" s="25" t="s">
        <v>102</v>
      </c>
      <c r="C12" s="160">
        <f>'P&amp;L Input'!C20/1000</f>
        <v>-9.4039999999999999</v>
      </c>
      <c r="D12" s="160">
        <f>'P&amp;L Input'!D20/1000</f>
        <v>-13.039</v>
      </c>
      <c r="E12" s="160">
        <f>'P&amp;L Input'!E20/1000</f>
        <v>-26.698</v>
      </c>
      <c r="F12" s="160">
        <f>'P&amp;L Input'!F20/1000</f>
        <v>-31.545999999999999</v>
      </c>
      <c r="G12" s="160">
        <f>'P&amp;L Input'!G20/1000</f>
        <v>-19.312000000000001</v>
      </c>
      <c r="H12" s="165">
        <f>IF(H11&gt;0,-H11*Drivers!$C$12,0)</f>
        <v>0</v>
      </c>
      <c r="I12" s="165">
        <f>IF(I11&gt;0,-I11*Drivers!$C$12,0)</f>
        <v>0</v>
      </c>
      <c r="J12" s="165">
        <f>IF(J11&gt;0,-J11*Drivers!$C$12,0)</f>
        <v>0</v>
      </c>
      <c r="K12" s="165">
        <f>IF(K11&gt;0,-K11*Drivers!$C$12,0)</f>
        <v>-196.21018996238064</v>
      </c>
      <c r="L12" s="165">
        <f>IF(L11&gt;0,-L11*Drivers!$C$12,0)</f>
        <v>-413.88681498087294</v>
      </c>
      <c r="M12" s="165">
        <f>IF(M11&gt;0,-M11*Drivers!$C$12,0)</f>
        <v>-673.12191039525158</v>
      </c>
      <c r="N12" s="165">
        <f>IF(N11&gt;0,-N11*Drivers!$C$12,0)</f>
        <v>-746.3413859927731</v>
      </c>
      <c r="O12" s="165">
        <f>IF(O11&gt;0,-O11*Drivers!$C$12,0)</f>
        <v>-826.53396547716943</v>
      </c>
      <c r="P12" s="165">
        <f>IF(P11&gt;0,-P11*Drivers!$C$12,0)</f>
        <v>-873.3490514144197</v>
      </c>
      <c r="Q12" s="165">
        <f>IF(Q11&gt;0,-Q11*Drivers!$C$12,0)</f>
        <v>-922.40761533619559</v>
      </c>
      <c r="R12" s="165">
        <f>IF(R11&gt;0,-R11*Drivers!$C$12,0)</f>
        <v>-946.51473379903553</v>
      </c>
      <c r="S12" s="165">
        <f>IF(S11&gt;0,-S11*Drivers!$C$12,0)</f>
        <v>-971.18131648656265</v>
      </c>
    </row>
    <row r="13" spans="2:19" x14ac:dyDescent="0.25">
      <c r="B13" s="25" t="s">
        <v>263</v>
      </c>
      <c r="C13" s="160">
        <f>'P&amp;L Input'!C22/1000</f>
        <v>0</v>
      </c>
      <c r="D13" s="160">
        <f>'P&amp;L Input'!D22/1000</f>
        <v>0</v>
      </c>
      <c r="E13" s="160">
        <f>'P&amp;L Input'!E22/1000</f>
        <v>98.132000000000005</v>
      </c>
      <c r="F13" s="160">
        <f>'P&amp;L Input'!F22/1000</f>
        <v>279.178</v>
      </c>
      <c r="G13" s="160">
        <f>'P&amp;L Input'!G22/1000</f>
        <v>100.24299999999999</v>
      </c>
      <c r="H13" s="165">
        <v>0</v>
      </c>
      <c r="I13" s="165">
        <v>0</v>
      </c>
      <c r="J13" s="165">
        <v>0</v>
      </c>
      <c r="K13" s="165">
        <v>0</v>
      </c>
      <c r="L13" s="165">
        <v>0</v>
      </c>
      <c r="M13" s="165">
        <v>0</v>
      </c>
      <c r="N13" s="165">
        <v>0</v>
      </c>
      <c r="O13" s="165">
        <v>0</v>
      </c>
      <c r="P13" s="165">
        <v>0</v>
      </c>
      <c r="Q13" s="165">
        <v>0</v>
      </c>
      <c r="R13" s="165">
        <v>0</v>
      </c>
      <c r="S13" s="165">
        <v>0</v>
      </c>
    </row>
    <row r="14" spans="2:19" ht="13.8" thickBot="1" x14ac:dyDescent="0.3">
      <c r="B14" s="116" t="s">
        <v>103</v>
      </c>
      <c r="C14" s="127">
        <f>SUM(C11:C12)</f>
        <v>-294.03999999999962</v>
      </c>
      <c r="D14" s="127">
        <f t="shared" ref="D14" si="5">SUM(D11:D12)</f>
        <v>-888.6629999999999</v>
      </c>
      <c r="E14" s="127">
        <f>SUM(E11:E13)</f>
        <v>-674.91400000000067</v>
      </c>
      <c r="F14" s="127">
        <f>SUM(F11:F13)</f>
        <v>-1961.3999999999987</v>
      </c>
      <c r="G14" s="127">
        <f>SUM(G11:G13)</f>
        <v>-1427.09</v>
      </c>
      <c r="H14" s="127">
        <f t="shared" ref="H14:N14" si="6">SUM(H11:H13)</f>
        <v>-1179.4648288671685</v>
      </c>
      <c r="I14" s="127">
        <f t="shared" si="6"/>
        <v>-2710.9588288671684</v>
      </c>
      <c r="J14" s="127">
        <f t="shared" si="6"/>
        <v>-50.22050406256767</v>
      </c>
      <c r="K14" s="127">
        <f t="shared" si="6"/>
        <v>457.82377657888816</v>
      </c>
      <c r="L14" s="127">
        <f t="shared" si="6"/>
        <v>965.73590162203686</v>
      </c>
      <c r="M14" s="127">
        <f t="shared" si="6"/>
        <v>1570.6177909222538</v>
      </c>
      <c r="N14" s="127">
        <f t="shared" si="6"/>
        <v>1741.4632339831373</v>
      </c>
      <c r="O14" s="127">
        <f t="shared" ref="O14:S14" si="7">SUM(O11:O13)</f>
        <v>1928.579252780062</v>
      </c>
      <c r="P14" s="127">
        <f t="shared" si="7"/>
        <v>2037.8144533003128</v>
      </c>
      <c r="Q14" s="127">
        <f t="shared" si="7"/>
        <v>2152.2844357844565</v>
      </c>
      <c r="R14" s="127">
        <f t="shared" si="7"/>
        <v>2208.5343788644163</v>
      </c>
      <c r="S14" s="127">
        <f t="shared" si="7"/>
        <v>2266.0897384686464</v>
      </c>
    </row>
    <row r="15" spans="2:19" x14ac:dyDescent="0.25">
      <c r="C15" s="33"/>
    </row>
    <row r="16" spans="2:19" x14ac:dyDescent="0.25">
      <c r="B16" s="168" t="s">
        <v>117</v>
      </c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</row>
    <row r="17" spans="2:19" x14ac:dyDescent="0.25">
      <c r="B17" s="167" t="s">
        <v>262</v>
      </c>
      <c r="C17" s="176">
        <f>'P&amp;L Input'!C23/1000</f>
        <v>-294.04000000000002</v>
      </c>
      <c r="D17" s="176">
        <f>'P&amp;L Input'!D23/1000</f>
        <v>-888.66300000000001</v>
      </c>
      <c r="E17" s="176">
        <f>'P&amp;L Input'!E23/1000</f>
        <v>-674.91399999999999</v>
      </c>
      <c r="F17" s="176">
        <f>'P&amp;L Input'!F23/1000</f>
        <v>-1961.4</v>
      </c>
      <c r="G17" s="176">
        <f>'P&amp;L Input'!G23/1000</f>
        <v>-1427.09</v>
      </c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</row>
    <row r="18" spans="2:19" x14ac:dyDescent="0.25">
      <c r="B18" s="167" t="s">
        <v>76</v>
      </c>
      <c r="C18" s="177">
        <f>C14-C17</f>
        <v>0</v>
      </c>
      <c r="D18" s="177">
        <f>D14-D17</f>
        <v>0</v>
      </c>
      <c r="E18" s="177">
        <f>E14-E17</f>
        <v>0</v>
      </c>
      <c r="F18" s="177">
        <f>F14-F17</f>
        <v>0</v>
      </c>
      <c r="G18" s="177">
        <f>G14-G17</f>
        <v>0</v>
      </c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U40"/>
  <sheetViews>
    <sheetView topLeftCell="A3" workbookViewId="0">
      <selection activeCell="S31" sqref="S31"/>
    </sheetView>
  </sheetViews>
  <sheetFormatPr defaultColWidth="9.109375" defaultRowHeight="13.2" x14ac:dyDescent="0.25"/>
  <cols>
    <col min="1" max="1" width="2" style="1" customWidth="1"/>
    <col min="2" max="2" width="22.44140625" style="1" customWidth="1"/>
    <col min="3" max="3" width="9.5546875" style="1" bestFit="1" customWidth="1"/>
    <col min="4" max="4" width="9.33203125" style="1" bestFit="1" customWidth="1"/>
    <col min="5" max="6" width="10.33203125" style="1" bestFit="1" customWidth="1"/>
    <col min="7" max="7" width="9.33203125" style="1" bestFit="1" customWidth="1"/>
    <col min="8" max="8" width="3.33203125" style="1" customWidth="1"/>
    <col min="9" max="9" width="9.33203125" style="1" bestFit="1" customWidth="1"/>
    <col min="10" max="11" width="9.88671875" style="1" bestFit="1" customWidth="1"/>
    <col min="12" max="14" width="10" style="1" bestFit="1" customWidth="1"/>
    <col min="15" max="19" width="9.77734375" style="1" customWidth="1"/>
    <col min="20" max="20" width="1.109375" style="1" customWidth="1"/>
    <col min="21" max="21" width="11.88671875" style="1" customWidth="1"/>
    <col min="22" max="16384" width="9.109375" style="1"/>
  </cols>
  <sheetData>
    <row r="1" spans="2:21" ht="15.6" x14ac:dyDescent="0.3">
      <c r="B1" s="18" t="s">
        <v>259</v>
      </c>
    </row>
    <row r="2" spans="2:21" ht="15.6" x14ac:dyDescent="0.3">
      <c r="B2" s="18"/>
    </row>
    <row r="3" spans="2:21" x14ac:dyDescent="0.25">
      <c r="C3" s="224" t="s">
        <v>264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</row>
    <row r="4" spans="2:21" s="8" customFormat="1" ht="24" x14ac:dyDescent="0.25">
      <c r="B4" s="5" t="s">
        <v>260</v>
      </c>
      <c r="C4" s="6" t="s">
        <v>239</v>
      </c>
      <c r="D4" s="6" t="s">
        <v>240</v>
      </c>
      <c r="E4" s="6" t="s">
        <v>241</v>
      </c>
      <c r="F4" s="6" t="s">
        <v>244</v>
      </c>
      <c r="G4" s="6" t="s">
        <v>242</v>
      </c>
      <c r="H4" s="98"/>
      <c r="I4" s="98" t="s">
        <v>295</v>
      </c>
      <c r="J4" s="98" t="s">
        <v>296</v>
      </c>
      <c r="K4" s="98" t="s">
        <v>297</v>
      </c>
      <c r="L4" s="98" t="s">
        <v>298</v>
      </c>
      <c r="M4" s="98" t="s">
        <v>299</v>
      </c>
      <c r="N4" s="98" t="s">
        <v>300</v>
      </c>
      <c r="O4" s="98" t="s">
        <v>301</v>
      </c>
      <c r="P4" s="98" t="s">
        <v>302</v>
      </c>
      <c r="Q4" s="98" t="s">
        <v>303</v>
      </c>
      <c r="R4" s="98" t="s">
        <v>304</v>
      </c>
      <c r="S4" s="98" t="s">
        <v>305</v>
      </c>
      <c r="U4" s="36" t="s">
        <v>120</v>
      </c>
    </row>
    <row r="5" spans="2:21" s="8" customFormat="1" ht="11.4" x14ac:dyDescent="0.2">
      <c r="B5" s="8" t="s">
        <v>108</v>
      </c>
      <c r="C5" s="160">
        <f>('Balance Sheet Input'!C4)/1000</f>
        <v>1905.713</v>
      </c>
      <c r="D5" s="160">
        <f>('Balance Sheet Input'!D4)/1000</f>
        <v>1196.9079999999999</v>
      </c>
      <c r="E5" s="160">
        <f>('Balance Sheet Input'!E4)/1000</f>
        <v>3393.2159999999999</v>
      </c>
      <c r="F5" s="160">
        <f>('Balance Sheet Input'!F4)/1000</f>
        <v>3367.9140000000002</v>
      </c>
      <c r="G5" s="200">
        <f>('Balance Sheet Input'!G4)/1000</f>
        <v>2236.424</v>
      </c>
      <c r="H5" s="161"/>
      <c r="I5" s="161">
        <f>G5+'Cash Flow'!H28</f>
        <v>4808.7602778555865</v>
      </c>
      <c r="J5" s="161">
        <f>I5+'Cash Flow'!J28</f>
        <v>4294.2411516368156</v>
      </c>
      <c r="K5" s="161">
        <f>J5+'Cash Flow'!K28</f>
        <v>13975.047799801299</v>
      </c>
      <c r="L5" s="161">
        <f>K5+'Cash Flow'!L28</f>
        <v>22116.282824118502</v>
      </c>
      <c r="M5" s="161">
        <f>L5+'Cash Flow'!M28</f>
        <v>32444.939070865075</v>
      </c>
      <c r="N5" s="161">
        <f>M5+'Cash Flow'!N28</f>
        <v>34964.883445029533</v>
      </c>
      <c r="O5" s="161">
        <f>N5+'Cash Flow'!O28</f>
        <v>37821.486002999787</v>
      </c>
      <c r="P5" s="161">
        <f>O5+'Cash Flow'!P28</f>
        <v>38886.181727071256</v>
      </c>
      <c r="Q5" s="161">
        <f>P5+'Cash Flow'!Q28</f>
        <v>40022.280802448251</v>
      </c>
      <c r="R5" s="161">
        <f>Q5+'Cash Flow'!R28</f>
        <v>40142.72498040658</v>
      </c>
      <c r="S5" s="161">
        <f>R5+'Cash Flow'!S28</f>
        <v>40251.518502912761</v>
      </c>
      <c r="U5" s="8" t="s">
        <v>123</v>
      </c>
    </row>
    <row r="6" spans="2:21" s="8" customFormat="1" ht="11.4" x14ac:dyDescent="0.2">
      <c r="B6" s="8" t="s">
        <v>137</v>
      </c>
      <c r="C6" s="160">
        <f>+'Balance Sheet Input'!C5/1000</f>
        <v>17.946999999999999</v>
      </c>
      <c r="D6" s="160">
        <f>+'Balance Sheet Input'!D5/1000</f>
        <v>22.628</v>
      </c>
      <c r="E6" s="160">
        <f>+'Balance Sheet Input'!E5/1000</f>
        <v>105.51900000000001</v>
      </c>
      <c r="F6" s="160">
        <f>+'Balance Sheet Input'!F5/1000</f>
        <v>155.32300000000001</v>
      </c>
      <c r="G6" s="200">
        <f>+'Balance Sheet Input'!G5/1000</f>
        <v>146.822</v>
      </c>
      <c r="H6" s="161"/>
      <c r="I6" s="161">
        <f>$G$6</f>
        <v>146.822</v>
      </c>
      <c r="J6" s="161">
        <f t="shared" ref="J6:S6" si="0">$G$6</f>
        <v>146.822</v>
      </c>
      <c r="K6" s="161">
        <f t="shared" si="0"/>
        <v>146.822</v>
      </c>
      <c r="L6" s="161">
        <f t="shared" si="0"/>
        <v>146.822</v>
      </c>
      <c r="M6" s="161">
        <f t="shared" si="0"/>
        <v>146.822</v>
      </c>
      <c r="N6" s="161">
        <f t="shared" si="0"/>
        <v>146.822</v>
      </c>
      <c r="O6" s="161">
        <f t="shared" si="0"/>
        <v>146.822</v>
      </c>
      <c r="P6" s="161">
        <f t="shared" si="0"/>
        <v>146.822</v>
      </c>
      <c r="Q6" s="161">
        <f t="shared" si="0"/>
        <v>146.822</v>
      </c>
      <c r="R6" s="161">
        <f t="shared" si="0"/>
        <v>146.822</v>
      </c>
      <c r="S6" s="161">
        <f t="shared" si="0"/>
        <v>146.822</v>
      </c>
      <c r="U6" s="8" t="s">
        <v>119</v>
      </c>
    </row>
    <row r="7" spans="2:21" s="7" customFormat="1" ht="11.4" x14ac:dyDescent="0.2">
      <c r="B7" s="7" t="s">
        <v>93</v>
      </c>
      <c r="C7" s="160">
        <f>('Balance Sheet Input'!C6)/1000</f>
        <v>226.60400000000001</v>
      </c>
      <c r="D7" s="160">
        <f>('Balance Sheet Input'!D6)/1000</f>
        <v>168.965</v>
      </c>
      <c r="E7" s="160">
        <f>('Balance Sheet Input'!E6)/1000</f>
        <v>499.142</v>
      </c>
      <c r="F7" s="160">
        <f>('Balance Sheet Input'!F6)/1000</f>
        <v>515.38099999999997</v>
      </c>
      <c r="G7" s="201">
        <f>('Balance Sheet Input'!G6)/1000</f>
        <v>569.87400000000002</v>
      </c>
      <c r="H7" s="202"/>
      <c r="I7" s="202">
        <f>'Working capital'!I5</f>
        <v>0</v>
      </c>
      <c r="J7" s="202">
        <f>'Working capital'!J5</f>
        <v>0</v>
      </c>
      <c r="K7" s="202">
        <f>'Working capital'!K5</f>
        <v>0</v>
      </c>
      <c r="L7" s="202">
        <f>'Working capital'!L5</f>
        <v>0</v>
      </c>
      <c r="M7" s="202">
        <f>'Working capital'!M5</f>
        <v>0</v>
      </c>
      <c r="N7" s="202">
        <f>'Working capital'!N5</f>
        <v>0</v>
      </c>
      <c r="O7" s="202">
        <f>'Working capital'!O5</f>
        <v>0</v>
      </c>
      <c r="P7" s="202">
        <f>'Working capital'!P5</f>
        <v>0</v>
      </c>
      <c r="Q7" s="202">
        <f>'Working capital'!Q5</f>
        <v>0</v>
      </c>
      <c r="R7" s="202">
        <f>'Working capital'!R5</f>
        <v>0</v>
      </c>
      <c r="S7" s="202">
        <f>'Working capital'!S5</f>
        <v>0</v>
      </c>
      <c r="U7" s="7" t="s">
        <v>122</v>
      </c>
    </row>
    <row r="8" spans="2:21" s="8" customFormat="1" ht="11.4" x14ac:dyDescent="0.2">
      <c r="B8" s="8" t="s">
        <v>9</v>
      </c>
      <c r="C8" s="160">
        <f>('Balance Sheet Input'!C7)/1000</f>
        <v>953.67499999999995</v>
      </c>
      <c r="D8" s="160">
        <f>('Balance Sheet Input'!D7)/1000</f>
        <v>1277.838</v>
      </c>
      <c r="E8" s="160">
        <f>('Balance Sheet Input'!E7)/1000</f>
        <v>2067.4540000000002</v>
      </c>
      <c r="F8" s="160">
        <f>('Balance Sheet Input'!F7)/1000</f>
        <v>2263.5369999999998</v>
      </c>
      <c r="G8" s="201">
        <f>('Balance Sheet Input'!G7)/1000</f>
        <v>3324.643</v>
      </c>
      <c r="H8" s="202"/>
      <c r="I8" s="202">
        <f>'Working capital'!I6</f>
        <v>0</v>
      </c>
      <c r="J8" s="202">
        <f>'Working capital'!J6</f>
        <v>0</v>
      </c>
      <c r="K8" s="202">
        <f>'Working capital'!K6</f>
        <v>0</v>
      </c>
      <c r="L8" s="202">
        <f>'Working capital'!L6</f>
        <v>0</v>
      </c>
      <c r="M8" s="202">
        <f>'Working capital'!M6</f>
        <v>0</v>
      </c>
      <c r="N8" s="202">
        <f>'Working capital'!N6</f>
        <v>0</v>
      </c>
      <c r="O8" s="202">
        <f>'Working capital'!O6</f>
        <v>0</v>
      </c>
      <c r="P8" s="202">
        <f>'Working capital'!P6</f>
        <v>0</v>
      </c>
      <c r="Q8" s="202">
        <f>'Working capital'!Q6</f>
        <v>0</v>
      </c>
      <c r="R8" s="202">
        <f>'Working capital'!R6</f>
        <v>0</v>
      </c>
      <c r="S8" s="202">
        <f>'Working capital'!S6</f>
        <v>0</v>
      </c>
      <c r="U8" s="8" t="s">
        <v>122</v>
      </c>
    </row>
    <row r="9" spans="2:21" s="8" customFormat="1" ht="11.4" x14ac:dyDescent="0.2">
      <c r="B9" s="8" t="s">
        <v>109</v>
      </c>
      <c r="C9" s="160">
        <f>('Balance Sheet Input'!C8)/1000</f>
        <v>76.134</v>
      </c>
      <c r="D9" s="160">
        <f>('Balance Sheet Input'!D8)/1000</f>
        <v>115.667</v>
      </c>
      <c r="E9" s="160">
        <f>('Balance Sheet Input'!E8)/1000</f>
        <v>194.465</v>
      </c>
      <c r="F9" s="160">
        <f>('Balance Sheet Input'!F8)/1000</f>
        <v>268.36500000000001</v>
      </c>
      <c r="G9" s="200">
        <f>('Balance Sheet Input'!G8)/1000</f>
        <v>422.03399999999999</v>
      </c>
      <c r="H9" s="161"/>
      <c r="I9" s="161">
        <f>I10*('P&amp;L'!I$5)</f>
        <v>575.41350148758636</v>
      </c>
      <c r="J9" s="161">
        <f>J10*('P&amp;L'!J$5)</f>
        <v>737.5451170107516</v>
      </c>
      <c r="K9" s="161">
        <f>K10*('P&amp;L'!K$5)</f>
        <v>1327.9896825713492</v>
      </c>
      <c r="L9" s="161">
        <f>L10*('P&amp;L'!L$5)</f>
        <v>1763.3401765068079</v>
      </c>
      <c r="M9" s="161">
        <f>M10*('P&amp;L'!M$5)</f>
        <v>2277.0468084796312</v>
      </c>
      <c r="N9" s="161">
        <f>N10*('P&amp;L'!N$5)</f>
        <v>2441.6838793882448</v>
      </c>
      <c r="O9" s="161">
        <f>O10*('P&amp;L'!O$5)</f>
        <v>2620.3082420362116</v>
      </c>
      <c r="P9" s="161">
        <f>P10*('P&amp;L'!P$5)</f>
        <v>2720.9088348874816</v>
      </c>
      <c r="Q9" s="161">
        <f>Q10*('P&amp;L'!Q$5)</f>
        <v>2825.9875259873461</v>
      </c>
      <c r="R9" s="161">
        <f>R10*('P&amp;L'!R$5)</f>
        <v>2888.840446900429</v>
      </c>
      <c r="S9" s="161">
        <f>S10*('P&amp;L'!S$5)</f>
        <v>2953.3304164553751</v>
      </c>
      <c r="U9" s="8" t="s">
        <v>124</v>
      </c>
    </row>
    <row r="10" spans="2:21" s="8" customFormat="1" ht="11.4" x14ac:dyDescent="0.25">
      <c r="B10" s="193" t="s">
        <v>118</v>
      </c>
      <c r="C10" s="194">
        <f>C9/('P&amp;L'!C$5)</f>
        <v>2.3804104358614235E-2</v>
      </c>
      <c r="D10" s="194">
        <f>D9/('P&amp;L'!D$5)</f>
        <v>2.8587811493997195E-2</v>
      </c>
      <c r="E10" s="194">
        <f>E9/('P&amp;L'!E$5)</f>
        <v>2.7780190430694737E-2</v>
      </c>
      <c r="F10" s="194">
        <f>F9/('P&amp;L'!F$5)</f>
        <v>2.2822576989681983E-2</v>
      </c>
      <c r="G10" s="195">
        <f>G9/('P&amp;L'!G$5)</f>
        <v>5.6947109033593658E-2</v>
      </c>
      <c r="H10" s="196"/>
      <c r="I10" s="196">
        <f>AVERAGE($C$10:$G$10)</f>
        <v>3.1988358461316362E-2</v>
      </c>
      <c r="J10" s="196">
        <f t="shared" ref="J10:S10" si="1">AVERAGE($C$10:$G$10)</f>
        <v>3.1988358461316362E-2</v>
      </c>
      <c r="K10" s="196">
        <f t="shared" si="1"/>
        <v>3.1988358461316362E-2</v>
      </c>
      <c r="L10" s="196">
        <f t="shared" si="1"/>
        <v>3.1988358461316362E-2</v>
      </c>
      <c r="M10" s="196">
        <f t="shared" si="1"/>
        <v>3.1988358461316362E-2</v>
      </c>
      <c r="N10" s="196">
        <f t="shared" si="1"/>
        <v>3.1988358461316362E-2</v>
      </c>
      <c r="O10" s="196">
        <f t="shared" si="1"/>
        <v>3.1988358461316362E-2</v>
      </c>
      <c r="P10" s="196">
        <f t="shared" si="1"/>
        <v>3.1988358461316362E-2</v>
      </c>
      <c r="Q10" s="196">
        <f t="shared" si="1"/>
        <v>3.1988358461316362E-2</v>
      </c>
      <c r="R10" s="196">
        <f t="shared" si="1"/>
        <v>3.1988358461316362E-2</v>
      </c>
      <c r="S10" s="196">
        <f t="shared" si="1"/>
        <v>3.1988358461316362E-2</v>
      </c>
    </row>
    <row r="11" spans="2:21" s="8" customFormat="1" ht="11.4" x14ac:dyDescent="0.2">
      <c r="B11" s="8" t="s">
        <v>110</v>
      </c>
      <c r="C11" s="160">
        <f>('Balance Sheet Input'!C10)/1000</f>
        <v>766.74400000000003</v>
      </c>
      <c r="D11" s="160">
        <f>('Balance Sheet Input'!D10)/1000</f>
        <v>1791.403</v>
      </c>
      <c r="E11" s="160">
        <f>('Balance Sheet Input'!E10)/1000</f>
        <v>3134.08</v>
      </c>
      <c r="F11" s="160">
        <f>('Balance Sheet Input'!F10)/1000</f>
        <v>4116.6040000000003</v>
      </c>
      <c r="G11" s="200">
        <f>('Balance Sheet Input'!G10)/1000</f>
        <v>2282.047</v>
      </c>
      <c r="H11" s="161"/>
      <c r="I11" s="161">
        <f t="shared" ref="I11:S11" si="2">$G$11</f>
        <v>2282.047</v>
      </c>
      <c r="J11" s="161">
        <f t="shared" si="2"/>
        <v>2282.047</v>
      </c>
      <c r="K11" s="161">
        <f t="shared" si="2"/>
        <v>2282.047</v>
      </c>
      <c r="L11" s="161">
        <f t="shared" si="2"/>
        <v>2282.047</v>
      </c>
      <c r="M11" s="161">
        <f t="shared" si="2"/>
        <v>2282.047</v>
      </c>
      <c r="N11" s="161">
        <f t="shared" si="2"/>
        <v>2282.047</v>
      </c>
      <c r="O11" s="161">
        <f t="shared" si="2"/>
        <v>2282.047</v>
      </c>
      <c r="P11" s="161">
        <f t="shared" si="2"/>
        <v>2282.047</v>
      </c>
      <c r="Q11" s="161">
        <f t="shared" si="2"/>
        <v>2282.047</v>
      </c>
      <c r="R11" s="161">
        <f t="shared" si="2"/>
        <v>2282.047</v>
      </c>
      <c r="S11" s="161">
        <f t="shared" si="2"/>
        <v>2282.047</v>
      </c>
      <c r="U11" s="8" t="s">
        <v>119</v>
      </c>
    </row>
    <row r="12" spans="2:21" s="8" customFormat="1" ht="11.4" x14ac:dyDescent="0.2">
      <c r="B12" s="8" t="s">
        <v>111</v>
      </c>
      <c r="C12" s="160">
        <f>('Balance Sheet Input'!C11)/1000</f>
        <v>0</v>
      </c>
      <c r="D12" s="160">
        <f>('Balance Sheet Input'!D11)/1000</f>
        <v>0</v>
      </c>
      <c r="E12" s="160">
        <f>('Balance Sheet Input'!E11)/1000</f>
        <v>5919.88</v>
      </c>
      <c r="F12" s="160">
        <f>('Balance Sheet Input'!F11)/1000</f>
        <v>6347.49</v>
      </c>
      <c r="G12" s="200">
        <f>('Balance Sheet Input'!G11)/1000</f>
        <v>6340.0309999999999</v>
      </c>
      <c r="H12" s="161"/>
      <c r="I12" s="161">
        <f>$G$12</f>
        <v>6340.0309999999999</v>
      </c>
      <c r="J12" s="161">
        <f t="shared" ref="J12:S12" si="3">$G$12</f>
        <v>6340.0309999999999</v>
      </c>
      <c r="K12" s="161">
        <f t="shared" si="3"/>
        <v>6340.0309999999999</v>
      </c>
      <c r="L12" s="161">
        <f t="shared" si="3"/>
        <v>6340.0309999999999</v>
      </c>
      <c r="M12" s="161">
        <f t="shared" si="3"/>
        <v>6340.0309999999999</v>
      </c>
      <c r="N12" s="161">
        <f t="shared" si="3"/>
        <v>6340.0309999999999</v>
      </c>
      <c r="O12" s="161">
        <f t="shared" si="3"/>
        <v>6340.0309999999999</v>
      </c>
      <c r="P12" s="161">
        <f t="shared" si="3"/>
        <v>6340.0309999999999</v>
      </c>
      <c r="Q12" s="161">
        <f t="shared" si="3"/>
        <v>6340.0309999999999</v>
      </c>
      <c r="R12" s="161">
        <f t="shared" si="3"/>
        <v>6340.0309999999999</v>
      </c>
      <c r="S12" s="161">
        <f t="shared" si="3"/>
        <v>6340.0309999999999</v>
      </c>
      <c r="U12" s="8" t="s">
        <v>119</v>
      </c>
    </row>
    <row r="13" spans="2:21" s="8" customFormat="1" ht="11.4" x14ac:dyDescent="0.2">
      <c r="B13" s="8" t="s">
        <v>112</v>
      </c>
      <c r="C13" s="160">
        <f>('Balance Sheet Input'!C12)/1000</f>
        <v>1829.2670000000001</v>
      </c>
      <c r="D13" s="160">
        <f>('Balance Sheet Input'!D12)/1000</f>
        <v>3403.3339999999998</v>
      </c>
      <c r="E13" s="160">
        <f>('Balance Sheet Input'!E12)/1000</f>
        <v>5982.9570000000003</v>
      </c>
      <c r="F13" s="160">
        <f>('Balance Sheet Input'!F12)/1000</f>
        <v>10027.522000000001</v>
      </c>
      <c r="G13" s="200">
        <f>('Balance Sheet Input'!G12)/1000</f>
        <v>10969.348</v>
      </c>
      <c r="H13" s="161"/>
      <c r="I13" s="161">
        <f>'PP&amp;E'!I10</f>
        <v>14637.79562666667</v>
      </c>
      <c r="J13" s="161">
        <f>'PP&amp;E'!J10</f>
        <v>19126.71961884445</v>
      </c>
      <c r="K13" s="161">
        <f>'PP&amp;E'!K10</f>
        <v>23116.006853632007</v>
      </c>
      <c r="L13" s="161">
        <f>'PP&amp;E'!L10</f>
        <v>25682.266148777537</v>
      </c>
      <c r="M13" s="161">
        <f>'PP&amp;E'!M10</f>
        <v>28419.347087635142</v>
      </c>
      <c r="N13" s="161">
        <f>'PP&amp;E'!N10</f>
        <v>31324.919586429129</v>
      </c>
      <c r="O13" s="161">
        <f>'PP&amp;E'!O10</f>
        <v>34393.940990496194</v>
      </c>
      <c r="P13" s="161">
        <f>'PP&amp;E'!P10</f>
        <v>37618.180795503387</v>
      </c>
      <c r="Q13" s="161">
        <f>'PP&amp;E'!Q10</f>
        <v>40985.69281757198</v>
      </c>
      <c r="R13" s="161">
        <f>'PP&amp;E'!R10</f>
        <v>44480.231339819991</v>
      </c>
      <c r="S13" s="161">
        <f>'PP&amp;E'!S10</f>
        <v>48080.607815320007</v>
      </c>
      <c r="U13" s="8" t="s">
        <v>121</v>
      </c>
    </row>
    <row r="14" spans="2:21" s="8" customFormat="1" ht="11.4" x14ac:dyDescent="0.2">
      <c r="B14" s="8" t="s">
        <v>114</v>
      </c>
      <c r="C14" s="160">
        <f>('Balance Sheet Input'!C13)/1000</f>
        <v>0</v>
      </c>
      <c r="D14" s="160">
        <f>('Balance Sheet Input'!D13)/1000</f>
        <v>12.816000000000001</v>
      </c>
      <c r="E14" s="160">
        <f>('Balance Sheet Input'!E13)/1000</f>
        <v>376.14499999999998</v>
      </c>
      <c r="F14" s="160">
        <f>('Balance Sheet Input'!F13)/1000</f>
        <v>361.50200000000001</v>
      </c>
      <c r="G14" s="200">
        <f>('Balance Sheet Input'!G13)/1000</f>
        <v>364.69</v>
      </c>
      <c r="H14" s="161"/>
      <c r="I14" s="161">
        <f>$G$14</f>
        <v>364.69</v>
      </c>
      <c r="J14" s="161">
        <f t="shared" ref="J14:S14" si="4">$G$14</f>
        <v>364.69</v>
      </c>
      <c r="K14" s="161">
        <f t="shared" si="4"/>
        <v>364.69</v>
      </c>
      <c r="L14" s="161">
        <f t="shared" si="4"/>
        <v>364.69</v>
      </c>
      <c r="M14" s="161">
        <f t="shared" si="4"/>
        <v>364.69</v>
      </c>
      <c r="N14" s="161">
        <f t="shared" si="4"/>
        <v>364.69</v>
      </c>
      <c r="O14" s="161">
        <f t="shared" si="4"/>
        <v>364.69</v>
      </c>
      <c r="P14" s="161">
        <f t="shared" si="4"/>
        <v>364.69</v>
      </c>
      <c r="Q14" s="161">
        <f t="shared" si="4"/>
        <v>364.69</v>
      </c>
      <c r="R14" s="161">
        <f t="shared" si="4"/>
        <v>364.69</v>
      </c>
      <c r="S14" s="161">
        <f t="shared" si="4"/>
        <v>364.69</v>
      </c>
      <c r="U14" s="8" t="s">
        <v>119</v>
      </c>
    </row>
    <row r="15" spans="2:21" s="8" customFormat="1" ht="11.4" x14ac:dyDescent="0.2">
      <c r="B15" s="8" t="s">
        <v>18</v>
      </c>
      <c r="C15" s="160">
        <f>('Balance Sheet Input'!C16+'Balance Sheet Input'!C15+'Balance Sheet Input'!C14)/1000</f>
        <v>54.582999999999998</v>
      </c>
      <c r="D15" s="160">
        <f>('Balance Sheet Input'!D16+'Balance Sheet Input'!D15+'Balance Sheet Input'!D14)/1000</f>
        <v>78.38</v>
      </c>
      <c r="E15" s="160">
        <f>('Balance Sheet Input'!E16+'Balance Sheet Input'!E15+'Balance Sheet Input'!E14)/1000</f>
        <v>991.21799999999996</v>
      </c>
      <c r="F15" s="160">
        <f>('Balance Sheet Input'!F16+'Balance Sheet Input'!F15+'Balance Sheet Input'!F14)/1000</f>
        <v>1231.7339999999999</v>
      </c>
      <c r="G15" s="200">
        <f>('Balance Sheet Input'!G16+'Balance Sheet Input'!G15+'Balance Sheet Input'!G14)/1000</f>
        <v>1254.087</v>
      </c>
      <c r="H15" s="161"/>
      <c r="I15" s="161">
        <f>I16*('P&amp;L'!I$5)</f>
        <v>2491.7900197694539</v>
      </c>
      <c r="J15" s="161">
        <f>J16*('P&amp;L'!J$5)</f>
        <v>3193.8902318869773</v>
      </c>
      <c r="K15" s="161">
        <f>K16*('P&amp;L'!K$5)</f>
        <v>5750.7712781040491</v>
      </c>
      <c r="L15" s="161">
        <f>L16*('P&amp;L'!L$5)</f>
        <v>7636.0277294830939</v>
      </c>
      <c r="M15" s="161">
        <f>M16*('P&amp;L'!M$5)</f>
        <v>9860.6002418242479</v>
      </c>
      <c r="N15" s="161">
        <f>N16*('P&amp;L'!N$5)</f>
        <v>10573.550162383264</v>
      </c>
      <c r="O15" s="161">
        <f>O16*('P&amp;L'!O$5)</f>
        <v>11347.071122498388</v>
      </c>
      <c r="P15" s="161">
        <f>P16*('P&amp;L'!P$5)</f>
        <v>11782.715320282463</v>
      </c>
      <c r="Q15" s="161">
        <f>Q16*('P&amp;L'!Q$5)</f>
        <v>12237.751625645777</v>
      </c>
      <c r="R15" s="161">
        <f>R16*('P&amp;L'!R$5)</f>
        <v>12509.932032674265</v>
      </c>
      <c r="S15" s="161">
        <f>S16*('P&amp;L'!S$5)</f>
        <v>12789.201570314264</v>
      </c>
      <c r="U15" s="8" t="s">
        <v>124</v>
      </c>
    </row>
    <row r="16" spans="2:21" s="8" customFormat="1" ht="11.4" x14ac:dyDescent="0.25">
      <c r="B16" s="193" t="s">
        <v>118</v>
      </c>
      <c r="C16" s="194">
        <f>C15/('P&amp;L'!C$5)</f>
        <v>1.7065955134450323E-2</v>
      </c>
      <c r="D16" s="194">
        <f>D15/('P&amp;L'!D$5)</f>
        <v>1.9372099776941563E-2</v>
      </c>
      <c r="E16" s="194">
        <f>E15/('P&amp;L'!E$5)</f>
        <v>0.14159990125900485</v>
      </c>
      <c r="F16" s="194">
        <f>F15/('P&amp;L'!F$5)</f>
        <v>0.10475041099177965</v>
      </c>
      <c r="G16" s="195">
        <f>G15/('P&amp;L'!G$5)</f>
        <v>0.16922008446384029</v>
      </c>
      <c r="H16" s="196"/>
      <c r="I16" s="196">
        <f>AVERAGE($E$16:$G$16)</f>
        <v>0.1385234655715416</v>
      </c>
      <c r="J16" s="196">
        <f t="shared" ref="J16:S16" si="5">AVERAGE($E$16:$G$16)</f>
        <v>0.1385234655715416</v>
      </c>
      <c r="K16" s="196">
        <f t="shared" si="5"/>
        <v>0.1385234655715416</v>
      </c>
      <c r="L16" s="196">
        <f t="shared" si="5"/>
        <v>0.1385234655715416</v>
      </c>
      <c r="M16" s="196">
        <f t="shared" si="5"/>
        <v>0.1385234655715416</v>
      </c>
      <c r="N16" s="196">
        <f t="shared" si="5"/>
        <v>0.1385234655715416</v>
      </c>
      <c r="O16" s="196">
        <f t="shared" si="5"/>
        <v>0.1385234655715416</v>
      </c>
      <c r="P16" s="196">
        <f t="shared" si="5"/>
        <v>0.1385234655715416</v>
      </c>
      <c r="Q16" s="196">
        <f t="shared" si="5"/>
        <v>0.1385234655715416</v>
      </c>
      <c r="R16" s="196">
        <f t="shared" si="5"/>
        <v>0.1385234655715416</v>
      </c>
      <c r="S16" s="196">
        <f t="shared" si="5"/>
        <v>0.1385234655715416</v>
      </c>
    </row>
    <row r="17" spans="2:21" s="8" customFormat="1" ht="12.6" thickBot="1" x14ac:dyDescent="0.3">
      <c r="B17" s="116" t="s">
        <v>19</v>
      </c>
      <c r="C17" s="127">
        <f>C5+C6+C7+C8+C9+C11+C13+C15+C12+C14</f>
        <v>5830.6669999999995</v>
      </c>
      <c r="D17" s="127">
        <f>D5+D6+D7+D8+D9+D11+D13+D15+D12+D14</f>
        <v>8067.9389999999994</v>
      </c>
      <c r="E17" s="127">
        <f>E5+E6+E7+E8+E9+E11+E13+E15+E12+E14</f>
        <v>22664.076000000001</v>
      </c>
      <c r="F17" s="127">
        <f>F5+F6+F7+F8+F9+F11+F13+F15+F12+F14</f>
        <v>28655.372000000003</v>
      </c>
      <c r="G17" s="127">
        <f>G5+G6+G7+G8+G9+G11+G13+G15+G12+G14</f>
        <v>27909.999999999996</v>
      </c>
      <c r="H17" s="127"/>
      <c r="I17" s="127">
        <f t="shared" ref="I17:S17" si="6">I5+I6+I7+I8+I9+I11+I13+I15+I12+I14</f>
        <v>31647.349425779295</v>
      </c>
      <c r="J17" s="127">
        <f t="shared" si="6"/>
        <v>36485.986119378998</v>
      </c>
      <c r="K17" s="127">
        <f t="shared" si="6"/>
        <v>53303.405614108706</v>
      </c>
      <c r="L17" s="127">
        <f t="shared" si="6"/>
        <v>66331.506878885935</v>
      </c>
      <c r="M17" s="127">
        <f t="shared" si="6"/>
        <v>82135.523208804094</v>
      </c>
      <c r="N17" s="127">
        <f t="shared" si="6"/>
        <v>88438.627073230178</v>
      </c>
      <c r="O17" s="127">
        <f t="shared" si="6"/>
        <v>95316.396358030586</v>
      </c>
      <c r="P17" s="127">
        <f t="shared" si="6"/>
        <v>100141.57667774458</v>
      </c>
      <c r="Q17" s="127">
        <f t="shared" si="6"/>
        <v>105205.30277165335</v>
      </c>
      <c r="R17" s="127">
        <f t="shared" si="6"/>
        <v>109155.31879980127</v>
      </c>
      <c r="S17" s="127">
        <f t="shared" si="6"/>
        <v>113208.24830500242</v>
      </c>
    </row>
    <row r="18" spans="2:21" s="8" customFormat="1" ht="11.4" x14ac:dyDescent="0.25"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</row>
    <row r="19" spans="2:21" s="8" customFormat="1" ht="11.4" x14ac:dyDescent="0.2">
      <c r="B19" s="8" t="s">
        <v>20</v>
      </c>
      <c r="C19" s="160">
        <f>'Balance Sheet Input'!C18/1000</f>
        <v>777.94600000000003</v>
      </c>
      <c r="D19" s="160">
        <f>'Balance Sheet Input'!D18/1000</f>
        <v>916.14800000000002</v>
      </c>
      <c r="E19" s="160">
        <f>'Balance Sheet Input'!E18/1000</f>
        <v>1860.3409999999999</v>
      </c>
      <c r="F19" s="160">
        <f>'Balance Sheet Input'!F18/1000</f>
        <v>2390.25</v>
      </c>
      <c r="G19" s="200">
        <f>'Balance Sheet Input'!G18/1000</f>
        <v>3030.4929999999999</v>
      </c>
      <c r="H19" s="161"/>
      <c r="I19" s="161">
        <f>'Working capital'!I7</f>
        <v>0</v>
      </c>
      <c r="J19" s="161">
        <f>'Working capital'!J7</f>
        <v>0</v>
      </c>
      <c r="K19" s="161">
        <f>'Working capital'!K7</f>
        <v>0</v>
      </c>
      <c r="L19" s="161">
        <f>'Working capital'!L7</f>
        <v>0</v>
      </c>
      <c r="M19" s="161">
        <f>'Working capital'!M7</f>
        <v>0</v>
      </c>
      <c r="N19" s="161">
        <f>'Working capital'!N7</f>
        <v>0</v>
      </c>
      <c r="O19" s="161">
        <f>'Working capital'!O7</f>
        <v>0</v>
      </c>
      <c r="P19" s="161">
        <f>'Working capital'!P7</f>
        <v>0</v>
      </c>
      <c r="Q19" s="161">
        <f>'Working capital'!Q7</f>
        <v>0</v>
      </c>
      <c r="R19" s="161">
        <f>'Working capital'!R7</f>
        <v>0</v>
      </c>
      <c r="S19" s="161">
        <f>'Working capital'!S7</f>
        <v>0</v>
      </c>
      <c r="U19" s="8" t="s">
        <v>122</v>
      </c>
    </row>
    <row r="20" spans="2:21" s="8" customFormat="1" ht="11.4" x14ac:dyDescent="0.2">
      <c r="B20" s="8" t="s">
        <v>38</v>
      </c>
      <c r="C20" s="160">
        <f>'Balance Sheet Input'!C19/1000</f>
        <v>268.88299999999998</v>
      </c>
      <c r="D20" s="160">
        <f>'Balance Sheet Input'!D19/1000</f>
        <v>422.798</v>
      </c>
      <c r="E20" s="160">
        <f>'Balance Sheet Input'!E19/1000</f>
        <v>1210.028</v>
      </c>
      <c r="F20" s="160">
        <f>'Balance Sheet Input'!F19/1000</f>
        <v>1731.366</v>
      </c>
      <c r="G20" s="200">
        <f>'Balance Sheet Input'!G19/1000</f>
        <v>1814.979</v>
      </c>
      <c r="H20" s="161"/>
      <c r="I20" s="161">
        <f>I21*('P&amp;L'!I$5)</f>
        <v>2287.4929800617629</v>
      </c>
      <c r="J20" s="161">
        <f>J21*('P&amp;L'!J$5)</f>
        <v>2932.029355027782</v>
      </c>
      <c r="K20" s="161">
        <f>K21*('P&amp;L'!K$5)</f>
        <v>5279.2766742925396</v>
      </c>
      <c r="L20" s="161">
        <f>L21*('P&amp;L'!L$5)</f>
        <v>7009.9645990096942</v>
      </c>
      <c r="M20" s="161">
        <f>M21*('P&amp;L'!M$5)</f>
        <v>9052.1487177540057</v>
      </c>
      <c r="N20" s="161">
        <f>N21*('P&amp;L'!N$5)</f>
        <v>9706.6452545710326</v>
      </c>
      <c r="O20" s="161">
        <f>O21*('P&amp;L'!O$5)</f>
        <v>10416.746728674252</v>
      </c>
      <c r="P20" s="161">
        <f>P21*('P&amp;L'!P$5)</f>
        <v>10816.673302073046</v>
      </c>
      <c r="Q20" s="161">
        <f>Q21*('P&amp;L'!Q$5)</f>
        <v>11234.402061693059</v>
      </c>
      <c r="R20" s="161">
        <f>R21*('P&amp;L'!R$5)</f>
        <v>11484.266924080472</v>
      </c>
      <c r="S20" s="161">
        <f>S21*('P&amp;L'!S$5)</f>
        <v>11740.639692984849</v>
      </c>
      <c r="U20" s="8" t="s">
        <v>124</v>
      </c>
    </row>
    <row r="21" spans="2:21" s="8" customFormat="1" ht="11.4" x14ac:dyDescent="0.25">
      <c r="B21" s="193" t="s">
        <v>118</v>
      </c>
      <c r="C21" s="194">
        <f>C20/('P&amp;L'!C$5)</f>
        <v>8.406912801451745E-2</v>
      </c>
      <c r="D21" s="194">
        <f>D20/('P&amp;L'!D$5)</f>
        <v>0.1044971298990985</v>
      </c>
      <c r="E21" s="194">
        <f>E20/('P&amp;L'!E$5)</f>
        <v>0.17285788325134441</v>
      </c>
      <c r="F21" s="194">
        <f>F20/('P&amp;L'!F$5)</f>
        <v>0.14724063805756241</v>
      </c>
      <c r="G21" s="195">
        <f>G20/('P&amp;L'!G$5)</f>
        <v>0.24490398168555802</v>
      </c>
      <c r="H21" s="196"/>
      <c r="I21" s="196">
        <f>AVERAGE($C$21:$F$21)</f>
        <v>0.12716619480563068</v>
      </c>
      <c r="J21" s="196">
        <f t="shared" ref="J21:S21" si="7">AVERAGE($C$21:$F$21)</f>
        <v>0.12716619480563068</v>
      </c>
      <c r="K21" s="196">
        <f t="shared" si="7"/>
        <v>0.12716619480563068</v>
      </c>
      <c r="L21" s="196">
        <f t="shared" si="7"/>
        <v>0.12716619480563068</v>
      </c>
      <c r="M21" s="196">
        <f t="shared" si="7"/>
        <v>0.12716619480563068</v>
      </c>
      <c r="N21" s="196">
        <f t="shared" si="7"/>
        <v>0.12716619480563068</v>
      </c>
      <c r="O21" s="196">
        <f t="shared" si="7"/>
        <v>0.12716619480563068</v>
      </c>
      <c r="P21" s="196">
        <f t="shared" si="7"/>
        <v>0.12716619480563068</v>
      </c>
      <c r="Q21" s="196">
        <f t="shared" si="7"/>
        <v>0.12716619480563068</v>
      </c>
      <c r="R21" s="196">
        <f t="shared" si="7"/>
        <v>0.12716619480563068</v>
      </c>
      <c r="S21" s="196">
        <f t="shared" si="7"/>
        <v>0.12716619480563068</v>
      </c>
    </row>
    <row r="22" spans="2:21" s="8" customFormat="1" ht="11.4" x14ac:dyDescent="0.2">
      <c r="B22" s="8" t="s">
        <v>21</v>
      </c>
      <c r="C22" s="160">
        <f>'Balance Sheet Input'!C20/1000</f>
        <v>191.65100000000001</v>
      </c>
      <c r="D22" s="160">
        <f>'Balance Sheet Input'!D20/1000</f>
        <v>423.96100000000001</v>
      </c>
      <c r="E22" s="160">
        <f>'Balance Sheet Input'!E20/1000</f>
        <v>763.12599999999998</v>
      </c>
      <c r="F22" s="160">
        <f>'Balance Sheet Input'!F20/1000</f>
        <v>1015.253</v>
      </c>
      <c r="G22" s="200">
        <f>'Balance Sheet Input'!G20/1000</f>
        <v>576.32100000000003</v>
      </c>
      <c r="H22" s="161"/>
      <c r="I22" s="161">
        <f>I23*('P&amp;L'!I$5)</f>
        <v>1619.2202650990901</v>
      </c>
      <c r="J22" s="161">
        <f>J23*('P&amp;L'!J$5)</f>
        <v>2075.4605110955195</v>
      </c>
      <c r="K22" s="161">
        <f>K23*('P&amp;L'!K$5)</f>
        <v>3736.9783647810809</v>
      </c>
      <c r="L22" s="161">
        <f>L23*('P&amp;L'!L$5)</f>
        <v>4962.0597025994994</v>
      </c>
      <c r="M22" s="161">
        <f>M23*('P&amp;L'!M$5)</f>
        <v>6407.6361213935943</v>
      </c>
      <c r="N22" s="161">
        <f>N23*('P&amp;L'!N$5)</f>
        <v>6870.9267478954025</v>
      </c>
      <c r="O22" s="161">
        <f>O23*('P&amp;L'!O$5)</f>
        <v>7373.5777755342397</v>
      </c>
      <c r="P22" s="161">
        <f>P23*('P&amp;L'!P$5)</f>
        <v>7656.6690102804459</v>
      </c>
      <c r="Q22" s="161">
        <f>Q23*('P&amp;L'!Q$5)</f>
        <v>7952.3616654216958</v>
      </c>
      <c r="R22" s="161">
        <f>R23*('P&amp;L'!R$5)</f>
        <v>8129.2305136500163</v>
      </c>
      <c r="S22" s="161">
        <f>S23*('P&amp;L'!S$5)</f>
        <v>8310.7060357380997</v>
      </c>
      <c r="U22" s="8" t="s">
        <v>124</v>
      </c>
    </row>
    <row r="23" spans="2:21" s="8" customFormat="1" ht="11.4" x14ac:dyDescent="0.25">
      <c r="B23" s="193" t="s">
        <v>118</v>
      </c>
      <c r="C23" s="194">
        <f>C22/('P&amp;L'!C$5)</f>
        <v>5.9921722284823828E-2</v>
      </c>
      <c r="D23" s="194">
        <f>D22/('P&amp;L'!D$5)</f>
        <v>0.10478457251252773</v>
      </c>
      <c r="E23" s="194">
        <f>E22/('P&amp;L'!E$5)</f>
        <v>0.10901594427076518</v>
      </c>
      <c r="F23" s="194">
        <f>F22/('P&amp;L'!F$5)</f>
        <v>8.6340207391074106E-2</v>
      </c>
      <c r="G23" s="195">
        <f>G22/('P&amp;L'!G$5)</f>
        <v>7.7765807554248556E-2</v>
      </c>
      <c r="H23" s="196"/>
      <c r="I23" s="196">
        <f t="shared" ref="I23:S23" si="8">AVERAGE($C$23:$F$23)</f>
        <v>9.0015611614797708E-2</v>
      </c>
      <c r="J23" s="196">
        <f t="shared" si="8"/>
        <v>9.0015611614797708E-2</v>
      </c>
      <c r="K23" s="196">
        <f t="shared" si="8"/>
        <v>9.0015611614797708E-2</v>
      </c>
      <c r="L23" s="196">
        <f t="shared" si="8"/>
        <v>9.0015611614797708E-2</v>
      </c>
      <c r="M23" s="196">
        <f t="shared" si="8"/>
        <v>9.0015611614797708E-2</v>
      </c>
      <c r="N23" s="196">
        <f t="shared" si="8"/>
        <v>9.0015611614797708E-2</v>
      </c>
      <c r="O23" s="196">
        <f t="shared" si="8"/>
        <v>9.0015611614797708E-2</v>
      </c>
      <c r="P23" s="196">
        <f t="shared" si="8"/>
        <v>9.0015611614797708E-2</v>
      </c>
      <c r="Q23" s="196">
        <f t="shared" si="8"/>
        <v>9.0015611614797708E-2</v>
      </c>
      <c r="R23" s="196">
        <f t="shared" si="8"/>
        <v>9.0015611614797708E-2</v>
      </c>
      <c r="S23" s="196">
        <f t="shared" si="8"/>
        <v>9.0015611614797708E-2</v>
      </c>
    </row>
    <row r="24" spans="2:21" s="8" customFormat="1" ht="11.4" x14ac:dyDescent="0.2">
      <c r="B24" s="8" t="s">
        <v>22</v>
      </c>
      <c r="C24" s="160">
        <f>'Balance Sheet Input'!C21/1000</f>
        <v>0</v>
      </c>
      <c r="D24" s="160">
        <f>'Balance Sheet Input'!D21/1000</f>
        <v>136.83099999999999</v>
      </c>
      <c r="E24" s="160">
        <f>'Balance Sheet Input'!E21/1000</f>
        <v>179.50399999999999</v>
      </c>
      <c r="F24" s="160">
        <f>'Balance Sheet Input'!F21/1000</f>
        <v>787.33299999999997</v>
      </c>
      <c r="G24" s="200">
        <f>'Balance Sheet Input'!G21/1000</f>
        <v>674.255</v>
      </c>
      <c r="H24" s="161"/>
      <c r="I24" s="161">
        <f>I25*('P&amp;L'!I$5)</f>
        <v>758.01602225043655</v>
      </c>
      <c r="J24" s="161">
        <f>J25*('P&amp;L'!J$5)</f>
        <v>971.59871011261589</v>
      </c>
      <c r="K24" s="161">
        <f>K25*('P&amp;L'!K$5)</f>
        <v>1749.4157752119947</v>
      </c>
      <c r="L24" s="161">
        <f>L25*('P&amp;L'!L$5)</f>
        <v>2322.9210003146045</v>
      </c>
      <c r="M24" s="161">
        <f>M25*('P&amp;L'!M$5)</f>
        <v>2999.6480092655911</v>
      </c>
      <c r="N24" s="161">
        <f>N25*('P&amp;L'!N$5)</f>
        <v>3216.5312372094572</v>
      </c>
      <c r="O24" s="161">
        <f>O25*('P&amp;L'!O$5)</f>
        <v>3451.840503504719</v>
      </c>
      <c r="P24" s="161">
        <f>P25*('P&amp;L'!P$5)</f>
        <v>3584.365828391974</v>
      </c>
      <c r="Q24" s="161">
        <f>Q25*('P&amp;L'!Q$5)</f>
        <v>3722.7903374535149</v>
      </c>
      <c r="R24" s="161">
        <f>R25*('P&amp;L'!R$5)</f>
        <v>3805.5890916957883</v>
      </c>
      <c r="S24" s="161">
        <f>S25*('P&amp;L'!S$5)</f>
        <v>3890.5443978725002</v>
      </c>
      <c r="U24" s="8" t="s">
        <v>124</v>
      </c>
    </row>
    <row r="25" spans="2:21" s="8" customFormat="1" ht="11.4" x14ac:dyDescent="0.25">
      <c r="B25" s="193" t="s">
        <v>118</v>
      </c>
      <c r="C25" s="194">
        <f>C24/('P&amp;L'!C$5)</f>
        <v>0</v>
      </c>
      <c r="D25" s="194">
        <f>D24/('P&amp;L'!D$5)</f>
        <v>3.3818624452394634E-2</v>
      </c>
      <c r="E25" s="194">
        <f>E24/('P&amp;L'!E$5)</f>
        <v>2.5642945018751074E-2</v>
      </c>
      <c r="F25" s="194">
        <f>F24/('P&amp;L'!F$5)</f>
        <v>6.6957196389310386E-2</v>
      </c>
      <c r="G25" s="195">
        <f>G24/('P&amp;L'!G$5)</f>
        <v>9.0980520530207734E-2</v>
      </c>
      <c r="H25" s="196"/>
      <c r="I25" s="196">
        <f t="shared" ref="I25:S25" si="9">AVERAGE($D$25:$F$25)</f>
        <v>4.2139588620152026E-2</v>
      </c>
      <c r="J25" s="196">
        <f t="shared" si="9"/>
        <v>4.2139588620152026E-2</v>
      </c>
      <c r="K25" s="196">
        <f t="shared" si="9"/>
        <v>4.2139588620152026E-2</v>
      </c>
      <c r="L25" s="196">
        <f t="shared" si="9"/>
        <v>4.2139588620152026E-2</v>
      </c>
      <c r="M25" s="196">
        <f t="shared" si="9"/>
        <v>4.2139588620152026E-2</v>
      </c>
      <c r="N25" s="196">
        <f t="shared" si="9"/>
        <v>4.2139588620152026E-2</v>
      </c>
      <c r="O25" s="196">
        <f t="shared" si="9"/>
        <v>4.2139588620152026E-2</v>
      </c>
      <c r="P25" s="196">
        <f t="shared" si="9"/>
        <v>4.2139588620152026E-2</v>
      </c>
      <c r="Q25" s="196">
        <f t="shared" si="9"/>
        <v>4.2139588620152026E-2</v>
      </c>
      <c r="R25" s="196">
        <f t="shared" si="9"/>
        <v>4.2139588620152026E-2</v>
      </c>
      <c r="S25" s="196">
        <f t="shared" si="9"/>
        <v>4.2139588620152026E-2</v>
      </c>
    </row>
    <row r="26" spans="2:21" s="8" customFormat="1" ht="11.4" x14ac:dyDescent="0.2">
      <c r="B26" s="8" t="s">
        <v>23</v>
      </c>
      <c r="C26" s="160">
        <f>'Balance Sheet Input'!C22/1000</f>
        <v>257.58699999999999</v>
      </c>
      <c r="D26" s="160">
        <f>'Balance Sheet Input'!D22/1000</f>
        <v>283.37</v>
      </c>
      <c r="E26" s="160">
        <f>'Balance Sheet Input'!E22/1000</f>
        <v>663.85900000000004</v>
      </c>
      <c r="F26" s="160">
        <f>'Balance Sheet Input'!F22/1000</f>
        <v>853.91899999999998</v>
      </c>
      <c r="G26" s="200">
        <f>'Balance Sheet Input'!G22/1000</f>
        <v>942.12900000000002</v>
      </c>
      <c r="H26" s="161"/>
      <c r="I26" s="161">
        <f>I27*('P&amp;L'!I$5)</f>
        <v>1430.1937608815713</v>
      </c>
      <c r="J26" s="161">
        <f>J27*('P&amp;L'!J$5)</f>
        <v>1833.1728782700482</v>
      </c>
      <c r="K26" s="161">
        <f>K27*('P&amp;L'!K$5)</f>
        <v>3300.7264404094212</v>
      </c>
      <c r="L26" s="161">
        <f>L27*('P&amp;L'!L$5)</f>
        <v>4382.7927433611876</v>
      </c>
      <c r="M26" s="161">
        <f>M27*('P&amp;L'!M$5)</f>
        <v>5659.6137044120414</v>
      </c>
      <c r="N26" s="161">
        <f>N27*('P&amp;L'!N$5)</f>
        <v>6068.8201464134654</v>
      </c>
      <c r="O26" s="161">
        <f>O27*('P&amp;L'!O$5)</f>
        <v>6512.7920871832293</v>
      </c>
      <c r="P26" s="161">
        <f>P27*('P&amp;L'!P$5)</f>
        <v>6762.8354731394375</v>
      </c>
      <c r="Q26" s="161">
        <f>Q27*('P&amp;L'!Q$5)</f>
        <v>7024.0091995537632</v>
      </c>
      <c r="R26" s="161">
        <f>R27*('P&amp;L'!R$5)</f>
        <v>7180.2305171118005</v>
      </c>
      <c r="S26" s="161">
        <f>S27*('P&amp;L'!S$5)</f>
        <v>7340.5207290350181</v>
      </c>
      <c r="U26" s="8" t="s">
        <v>124</v>
      </c>
    </row>
    <row r="27" spans="2:21" s="8" customFormat="1" ht="11.4" x14ac:dyDescent="0.25">
      <c r="B27" s="193" t="s">
        <v>118</v>
      </c>
      <c r="C27" s="194">
        <f>C26/('P&amp;L'!C$5)</f>
        <v>8.053731354483365E-2</v>
      </c>
      <c r="D27" s="194">
        <f>D26/('P&amp;L'!D$5)</f>
        <v>7.0036640900637048E-2</v>
      </c>
      <c r="E27" s="194">
        <f>E26/('P&amp;L'!E$5)</f>
        <v>9.4835211678865494E-2</v>
      </c>
      <c r="F27" s="194">
        <f>F26/('P&amp;L'!F$5)</f>
        <v>7.2619872637833732E-2</v>
      </c>
      <c r="G27" s="195">
        <f>G26/('P&amp;L'!G$5)</f>
        <v>0.12712606777347454</v>
      </c>
      <c r="H27" s="196"/>
      <c r="I27" s="196">
        <f>AVERAGE($C$27:$F$27)</f>
        <v>7.9507259690542481E-2</v>
      </c>
      <c r="J27" s="196">
        <f t="shared" ref="J27:S27" si="10">AVERAGE($C$27:$F$27)</f>
        <v>7.9507259690542481E-2</v>
      </c>
      <c r="K27" s="196">
        <f t="shared" si="10"/>
        <v>7.9507259690542481E-2</v>
      </c>
      <c r="L27" s="196">
        <f t="shared" si="10"/>
        <v>7.9507259690542481E-2</v>
      </c>
      <c r="M27" s="196">
        <f t="shared" si="10"/>
        <v>7.9507259690542481E-2</v>
      </c>
      <c r="N27" s="196">
        <f t="shared" si="10"/>
        <v>7.9507259690542481E-2</v>
      </c>
      <c r="O27" s="196">
        <f t="shared" si="10"/>
        <v>7.9507259690542481E-2</v>
      </c>
      <c r="P27" s="196">
        <f t="shared" si="10"/>
        <v>7.9507259690542481E-2</v>
      </c>
      <c r="Q27" s="196">
        <f t="shared" si="10"/>
        <v>7.9507259690542481E-2</v>
      </c>
      <c r="R27" s="196">
        <f t="shared" si="10"/>
        <v>7.9507259690542481E-2</v>
      </c>
      <c r="S27" s="196">
        <f t="shared" si="10"/>
        <v>7.9507259690542481E-2</v>
      </c>
    </row>
    <row r="28" spans="2:21" s="8" customFormat="1" ht="11.4" x14ac:dyDescent="0.2">
      <c r="B28" s="8" t="s">
        <v>113</v>
      </c>
      <c r="C28" s="160">
        <f>('Balance Sheet Input'!C23+'Balance Sheet Input'!C28)/1000</f>
        <v>2429.884</v>
      </c>
      <c r="D28" s="160">
        <f>('Balance Sheet Input'!D23+'Balance Sheet Input'!D28)/1000</f>
        <v>2649.02</v>
      </c>
      <c r="E28" s="160">
        <f>('Balance Sheet Input'!E23+'Balance Sheet Input'!E28)/1000</f>
        <v>6844.26</v>
      </c>
      <c r="F28" s="160">
        <f>('Balance Sheet Input'!F23+'Balance Sheet Input'!F28)/1000</f>
        <v>10212.249</v>
      </c>
      <c r="G28" s="200">
        <f>('Balance Sheet Input'!G23+'Balance Sheet Input'!G28)/1000</f>
        <v>11616.575000000001</v>
      </c>
      <c r="H28" s="161"/>
      <c r="I28" s="161">
        <f>G28+Financing!H19</f>
        <v>11616.575000000001</v>
      </c>
      <c r="J28" s="161">
        <f>I28+Financing!J19</f>
        <v>11814.892924096308</v>
      </c>
      <c r="K28" s="161">
        <f>J28+Financing!K19</f>
        <v>11814.892924096308</v>
      </c>
      <c r="L28" s="161">
        <f>K28+Financing!L19</f>
        <v>11814.892924096308</v>
      </c>
      <c r="M28" s="161">
        <f>L28+Financing!M19</f>
        <v>11814.892924096308</v>
      </c>
      <c r="N28" s="161">
        <f>M28+Financing!N19</f>
        <v>11814.892924096308</v>
      </c>
      <c r="O28" s="161">
        <f>N28+Financing!O19</f>
        <v>11814.892924096308</v>
      </c>
      <c r="P28" s="161">
        <f>O28+Financing!P19</f>
        <v>11814.892924096308</v>
      </c>
      <c r="Q28" s="161">
        <f>P28+Financing!Q19</f>
        <v>11814.892924096308</v>
      </c>
      <c r="R28" s="161">
        <f>Q28+Financing!R19</f>
        <v>11814.892924096308</v>
      </c>
      <c r="S28" s="161">
        <f>R28+Financing!S19</f>
        <v>11814.892924096308</v>
      </c>
      <c r="U28" s="8" t="s">
        <v>125</v>
      </c>
    </row>
    <row r="29" spans="2:21" s="8" customFormat="1" ht="11.4" x14ac:dyDescent="0.25">
      <c r="B29" s="8" t="s">
        <v>66</v>
      </c>
      <c r="C29" s="63">
        <f>('Balance Sheet Input'!C29+'Balance Sheet Input'!C25)/1000</f>
        <v>993.00599999999997</v>
      </c>
      <c r="D29" s="63">
        <f>('Balance Sheet Input'!D29+'Balance Sheet Input'!D25)/1000</f>
        <v>2152.107</v>
      </c>
      <c r="E29" s="63">
        <f>('Balance Sheet Input'!E29+'Balance Sheet Input'!E25)/1000</f>
        <v>5604.8720000000003</v>
      </c>
      <c r="F29" s="63">
        <f>('Balance Sheet Input'!F29+'Balance Sheet Input'!F25)/1000</f>
        <v>6430.4139999999998</v>
      </c>
      <c r="G29" s="200">
        <f>('Balance Sheet Input'!G29+'Balance Sheet Input'!G25)/1000</f>
        <v>3988.1350000000002</v>
      </c>
      <c r="H29" s="161"/>
      <c r="I29" s="161">
        <f>I30*('P&amp;L'!I$5)</f>
        <v>9848.2032263536021</v>
      </c>
      <c r="J29" s="161">
        <f>J30*('P&amp;L'!J$5)</f>
        <v>12623.086149610146</v>
      </c>
      <c r="K29" s="161">
        <f>K30*('P&amp;L'!K$5)</f>
        <v>22728.5460675719</v>
      </c>
      <c r="L29" s="161">
        <f>L30*('P&amp;L'!L$5)</f>
        <v>30179.57064013715</v>
      </c>
      <c r="M29" s="161">
        <f>M30*('P&amp;L'!M$5)</f>
        <v>38971.660671592799</v>
      </c>
      <c r="N29" s="161">
        <f>N30*('P&amp;L'!N$5)</f>
        <v>41789.424468771613</v>
      </c>
      <c r="O29" s="161">
        <f>O30*('P&amp;L'!O$5)</f>
        <v>44846.580791984881</v>
      </c>
      <c r="P29" s="161">
        <f>P30*('P&amp;L'!P$5)</f>
        <v>46568.360139410113</v>
      </c>
      <c r="Q29" s="161">
        <f>Q30*('P&amp;L'!Q$5)</f>
        <v>48366.782147297294</v>
      </c>
      <c r="R29" s="161">
        <f>R30*('P&amp;L'!R$5)</f>
        <v>49442.510014164742</v>
      </c>
      <c r="S29" s="161">
        <f>S30*('P&amp;L'!S$5)</f>
        <v>50546.255971804851</v>
      </c>
      <c r="U29" s="8" t="s">
        <v>124</v>
      </c>
    </row>
    <row r="30" spans="2:21" s="8" customFormat="1" ht="11.4" x14ac:dyDescent="0.25">
      <c r="B30" s="193" t="s">
        <v>118</v>
      </c>
      <c r="C30" s="194">
        <f>C29/('P&amp;L'!C$5)</f>
        <v>0.31047388095634126</v>
      </c>
      <c r="D30" s="194">
        <f>D29/('P&amp;L'!D$5)</f>
        <v>0.53190650082488367</v>
      </c>
      <c r="E30" s="194">
        <f>E29/('P&amp;L'!E$5)</f>
        <v>0.80068090144585857</v>
      </c>
      <c r="F30" s="194">
        <f>F29/('P&amp;L'!F$5)</f>
        <v>0.54686199240038336</v>
      </c>
      <c r="G30" s="195">
        <f>G29/('P&amp;L'!G$5)</f>
        <v>0.53813853548693014</v>
      </c>
      <c r="H30" s="196"/>
      <c r="I30" s="196">
        <f>AVERAGE($C$30:$F$30)</f>
        <v>0.54748081890686673</v>
      </c>
      <c r="J30" s="196">
        <f t="shared" ref="J30:S30" si="11">AVERAGE($C$30:$F$30)</f>
        <v>0.54748081890686673</v>
      </c>
      <c r="K30" s="196">
        <f t="shared" si="11"/>
        <v>0.54748081890686673</v>
      </c>
      <c r="L30" s="196">
        <f t="shared" si="11"/>
        <v>0.54748081890686673</v>
      </c>
      <c r="M30" s="196">
        <f t="shared" si="11"/>
        <v>0.54748081890686673</v>
      </c>
      <c r="N30" s="196">
        <f t="shared" si="11"/>
        <v>0.54748081890686673</v>
      </c>
      <c r="O30" s="196">
        <f t="shared" si="11"/>
        <v>0.54748081890686673</v>
      </c>
      <c r="P30" s="196">
        <f t="shared" si="11"/>
        <v>0.54748081890686673</v>
      </c>
      <c r="Q30" s="196">
        <f t="shared" si="11"/>
        <v>0.54748081890686673</v>
      </c>
      <c r="R30" s="196">
        <f t="shared" si="11"/>
        <v>0.54748081890686673</v>
      </c>
      <c r="S30" s="196">
        <f t="shared" si="11"/>
        <v>0.54748081890686673</v>
      </c>
    </row>
    <row r="31" spans="2:21" s="8" customFormat="1" ht="12" x14ac:dyDescent="0.25">
      <c r="B31" s="12" t="s">
        <v>29</v>
      </c>
      <c r="C31" s="203">
        <f>C19+C20+C22+C24+C26+C28+C29</f>
        <v>4918.9570000000003</v>
      </c>
      <c r="D31" s="203">
        <f t="shared" ref="D31:F31" si="12">D19+D20+D22+D24+D26+D28+D29</f>
        <v>6984.2349999999997</v>
      </c>
      <c r="E31" s="203">
        <f t="shared" si="12"/>
        <v>17125.990000000002</v>
      </c>
      <c r="F31" s="203">
        <f t="shared" si="12"/>
        <v>23420.784</v>
      </c>
      <c r="G31" s="204">
        <f t="shared" ref="G31" si="13">G19+G20+G22+G24+G26+G28+G29</f>
        <v>22642.887000000002</v>
      </c>
      <c r="H31" s="205"/>
      <c r="I31" s="205">
        <f t="shared" ref="I31:N31" si="14">I19+I20+I22+I24+I26+I28+I29</f>
        <v>27559.701254646465</v>
      </c>
      <c r="J31" s="205">
        <f t="shared" si="14"/>
        <v>32250.24052821242</v>
      </c>
      <c r="K31" s="205">
        <f t="shared" si="14"/>
        <v>48609.836246363251</v>
      </c>
      <c r="L31" s="205">
        <f t="shared" si="14"/>
        <v>60672.201609518444</v>
      </c>
      <c r="M31" s="205">
        <f t="shared" si="14"/>
        <v>74905.60014851435</v>
      </c>
      <c r="N31" s="205">
        <f t="shared" si="14"/>
        <v>79467.240778957275</v>
      </c>
      <c r="O31" s="205">
        <f t="shared" ref="O31:S31" si="15">O19+O20+O22+O24+O26+O28+O29</f>
        <v>84416.430810977618</v>
      </c>
      <c r="P31" s="205">
        <f t="shared" si="15"/>
        <v>87203.796677391321</v>
      </c>
      <c r="Q31" s="205">
        <f t="shared" si="15"/>
        <v>90115.238335515634</v>
      </c>
      <c r="R31" s="205">
        <f t="shared" si="15"/>
        <v>91856.719984799129</v>
      </c>
      <c r="S31" s="205">
        <f t="shared" si="15"/>
        <v>93643.559751531633</v>
      </c>
    </row>
    <row r="32" spans="2:21" s="8" customFormat="1" ht="12" x14ac:dyDescent="0.25">
      <c r="B32" s="12" t="s">
        <v>116</v>
      </c>
      <c r="C32" s="203">
        <f>('Balance Sheet Input'!C32+'Balance Sheet Input'!C31)/1000</f>
        <v>911.71</v>
      </c>
      <c r="D32" s="203">
        <f>('Balance Sheet Input'!D32+'Balance Sheet Input'!D31)/1000</f>
        <v>1083.704</v>
      </c>
      <c r="E32" s="203">
        <f>('Balance Sheet Input'!E32+'Balance Sheet Input'!E31)/1000</f>
        <v>5538.0860000000002</v>
      </c>
      <c r="F32" s="203">
        <f>('Balance Sheet Input'!F32+'Balance Sheet Input'!F31)/1000</f>
        <v>5234.5879999999997</v>
      </c>
      <c r="G32" s="204">
        <f>('Balance Sheet Input'!G32+'Balance Sheet Input'!G31)/1000</f>
        <v>5267.1130000000003</v>
      </c>
      <c r="H32" s="205"/>
      <c r="I32" s="205">
        <f>G32+'P&amp;L'!H14+Financing!H20</f>
        <v>4087.6481711328315</v>
      </c>
      <c r="J32" s="205">
        <f>I32+'P&amp;L'!J14+Financing!J20</f>
        <v>4235.7455911665711</v>
      </c>
      <c r="K32" s="205">
        <f>J32+'P&amp;L'!K14+Financing!K20</f>
        <v>4693.5693677454592</v>
      </c>
      <c r="L32" s="205">
        <f>K32+'P&amp;L'!L14+Financing!L20</f>
        <v>5659.3052693674963</v>
      </c>
      <c r="M32" s="205">
        <f>L32+'P&amp;L'!M14+Financing!M20</f>
        <v>7229.9230602897496</v>
      </c>
      <c r="N32" s="205">
        <f>M32+'P&amp;L'!N14+Financing!N20</f>
        <v>8971.3862942728865</v>
      </c>
      <c r="O32" s="205">
        <f>N32+'P&amp;L'!O14+Financing!O20</f>
        <v>10899.965547052949</v>
      </c>
      <c r="P32" s="205">
        <f>O32+'P&amp;L'!P14+Financing!P20</f>
        <v>12937.780000353261</v>
      </c>
      <c r="Q32" s="205">
        <f>P32+'P&amp;L'!Q14+Financing!Q20</f>
        <v>15090.064436137718</v>
      </c>
      <c r="R32" s="205">
        <f>Q32+'P&amp;L'!R14+Financing!R20</f>
        <v>17298.598815002133</v>
      </c>
      <c r="S32" s="205">
        <f>R32+'P&amp;L'!S14+Financing!S20</f>
        <v>19564.68855347078</v>
      </c>
    </row>
    <row r="33" spans="2:19" s="8" customFormat="1" ht="11.4" x14ac:dyDescent="0.25">
      <c r="C33" s="174"/>
      <c r="D33" s="174"/>
      <c r="E33" s="174"/>
      <c r="F33" s="174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74"/>
      <c r="R33" s="174"/>
      <c r="S33" s="174"/>
    </row>
    <row r="34" spans="2:19" s="8" customFormat="1" ht="12.6" thickBot="1" x14ac:dyDescent="0.3">
      <c r="B34" s="116" t="s">
        <v>115</v>
      </c>
      <c r="C34" s="127">
        <f>C31+C32</f>
        <v>5830.6670000000004</v>
      </c>
      <c r="D34" s="127">
        <f>D31+D32</f>
        <v>8067.9389999999994</v>
      </c>
      <c r="E34" s="127">
        <f>E31+E32</f>
        <v>22664.076000000001</v>
      </c>
      <c r="F34" s="127">
        <f>F31+F32</f>
        <v>28655.371999999999</v>
      </c>
      <c r="G34" s="127">
        <f>G31+G32</f>
        <v>27910.000000000004</v>
      </c>
      <c r="H34" s="127"/>
      <c r="I34" s="127">
        <f t="shared" ref="I34:N34" si="16">I31+I32</f>
        <v>31647.349425779295</v>
      </c>
      <c r="J34" s="127">
        <f t="shared" si="16"/>
        <v>36485.986119378991</v>
      </c>
      <c r="K34" s="127">
        <f t="shared" si="16"/>
        <v>53303.405614108713</v>
      </c>
      <c r="L34" s="127">
        <f t="shared" si="16"/>
        <v>66331.506878885935</v>
      </c>
      <c r="M34" s="127">
        <f t="shared" si="16"/>
        <v>82135.523208804094</v>
      </c>
      <c r="N34" s="127">
        <f t="shared" si="16"/>
        <v>88438.627073230164</v>
      </c>
      <c r="O34" s="127">
        <f t="shared" ref="O34:S34" si="17">O31+O32</f>
        <v>95316.396358030572</v>
      </c>
      <c r="P34" s="127">
        <f t="shared" si="17"/>
        <v>100141.57667774458</v>
      </c>
      <c r="Q34" s="127">
        <f t="shared" si="17"/>
        <v>105205.30277165335</v>
      </c>
      <c r="R34" s="127">
        <f t="shared" si="17"/>
        <v>109155.31879980126</v>
      </c>
      <c r="S34" s="127">
        <f t="shared" si="17"/>
        <v>113208.24830500242</v>
      </c>
    </row>
    <row r="35" spans="2:19" s="8" customFormat="1" ht="11.4" x14ac:dyDescent="0.25"/>
    <row r="36" spans="2:19" s="8" customFormat="1" ht="11.4" x14ac:dyDescent="0.25">
      <c r="B36" s="8" t="s">
        <v>117</v>
      </c>
      <c r="C36" s="175">
        <f>C17-C34</f>
        <v>0</v>
      </c>
      <c r="D36" s="175">
        <f>D17-D34</f>
        <v>0</v>
      </c>
      <c r="E36" s="175">
        <f>E17-E34</f>
        <v>0</v>
      </c>
      <c r="F36" s="175">
        <f>F17-F34</f>
        <v>0</v>
      </c>
      <c r="G36" s="175">
        <f>G17-G34</f>
        <v>0</v>
      </c>
      <c r="H36" s="175"/>
      <c r="I36" s="175">
        <f t="shared" ref="I36:S36" si="18">I17-I34</f>
        <v>0</v>
      </c>
      <c r="J36" s="175">
        <f t="shared" si="18"/>
        <v>0</v>
      </c>
      <c r="K36" s="175">
        <f t="shared" si="18"/>
        <v>0</v>
      </c>
      <c r="L36" s="175">
        <f t="shared" si="18"/>
        <v>0</v>
      </c>
      <c r="M36" s="175">
        <f t="shared" si="18"/>
        <v>0</v>
      </c>
      <c r="N36" s="175">
        <f t="shared" si="18"/>
        <v>0</v>
      </c>
      <c r="O36" s="175">
        <f t="shared" si="18"/>
        <v>0</v>
      </c>
      <c r="P36" s="175">
        <f t="shared" si="18"/>
        <v>0</v>
      </c>
      <c r="Q36" s="175">
        <f t="shared" si="18"/>
        <v>0</v>
      </c>
      <c r="R36" s="175">
        <f t="shared" si="18"/>
        <v>0</v>
      </c>
      <c r="S36" s="175">
        <f t="shared" si="18"/>
        <v>0</v>
      </c>
    </row>
    <row r="37" spans="2:19" s="8" customFormat="1" ht="11.4" x14ac:dyDescent="0.25">
      <c r="H37" s="175"/>
      <c r="I37" s="175"/>
      <c r="J37" s="175"/>
      <c r="K37" s="175"/>
      <c r="L37" s="175"/>
    </row>
    <row r="38" spans="2:19" s="8" customFormat="1" ht="11.4" x14ac:dyDescent="0.25"/>
    <row r="39" spans="2:19" s="8" customFormat="1" ht="11.4" x14ac:dyDescent="0.25"/>
    <row r="40" spans="2:19" s="8" customFormat="1" ht="11.4" x14ac:dyDescent="0.25"/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S34"/>
  <sheetViews>
    <sheetView workbookViewId="0">
      <selection activeCell="L26" sqref="L26"/>
    </sheetView>
  </sheetViews>
  <sheetFormatPr defaultColWidth="9.109375" defaultRowHeight="13.2" outlineLevelRow="1" x14ac:dyDescent="0.25"/>
  <cols>
    <col min="1" max="1" width="2" style="19" customWidth="1"/>
    <col min="2" max="2" width="32.5546875" style="19" bestFit="1" customWidth="1"/>
    <col min="3" max="7" width="9.77734375" style="19" customWidth="1"/>
    <col min="8" max="8" width="9.6640625" style="19" customWidth="1"/>
    <col min="9" max="14" width="9.77734375" style="19" customWidth="1"/>
    <col min="15" max="16384" width="9.109375" style="19"/>
  </cols>
  <sheetData>
    <row r="1" spans="2:19" ht="15.6" x14ac:dyDescent="0.3">
      <c r="B1" s="18" t="s">
        <v>127</v>
      </c>
      <c r="C1" s="18"/>
    </row>
    <row r="2" spans="2:19" ht="15.6" x14ac:dyDescent="0.3">
      <c r="B2" s="18"/>
      <c r="C2" s="18"/>
    </row>
    <row r="3" spans="2:19" x14ac:dyDescent="0.25">
      <c r="C3" s="224" t="s">
        <v>257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</row>
    <row r="4" spans="2:19" s="23" customFormat="1" ht="24" x14ac:dyDescent="0.25">
      <c r="B4" s="5" t="s">
        <v>260</v>
      </c>
      <c r="C4" s="6" t="s">
        <v>45</v>
      </c>
      <c r="D4" s="6" t="s">
        <v>46</v>
      </c>
      <c r="E4" s="6" t="s">
        <v>47</v>
      </c>
      <c r="F4" s="6" t="s">
        <v>165</v>
      </c>
      <c r="G4" s="6" t="s">
        <v>173</v>
      </c>
      <c r="H4" s="98" t="s">
        <v>184</v>
      </c>
      <c r="I4" s="98" t="s">
        <v>183</v>
      </c>
      <c r="J4" s="98" t="s">
        <v>185</v>
      </c>
      <c r="K4" s="98" t="s">
        <v>186</v>
      </c>
      <c r="L4" s="98" t="s">
        <v>187</v>
      </c>
      <c r="M4" s="98" t="s">
        <v>188</v>
      </c>
      <c r="N4" s="98" t="s">
        <v>189</v>
      </c>
      <c r="O4" s="98" t="s">
        <v>269</v>
      </c>
      <c r="P4" s="98" t="s">
        <v>270</v>
      </c>
      <c r="Q4" s="98" t="s">
        <v>271</v>
      </c>
      <c r="R4" s="98" t="s">
        <v>272</v>
      </c>
      <c r="S4" s="98" t="s">
        <v>273</v>
      </c>
    </row>
    <row r="5" spans="2:19" s="23" customFormat="1" ht="11.4" x14ac:dyDescent="0.2">
      <c r="B5" s="40" t="s">
        <v>43</v>
      </c>
      <c r="C5" s="153"/>
      <c r="D5" s="180">
        <f>'P&amp;L'!D9</f>
        <v>-716.62899999999991</v>
      </c>
      <c r="E5" s="180">
        <f>'P&amp;L'!E9</f>
        <v>-667.3400000000006</v>
      </c>
      <c r="F5" s="180">
        <f>'P&amp;L'!F9</f>
        <v>-1632.0859999999989</v>
      </c>
      <c r="G5" s="180">
        <f>'P&amp;L'!G9</f>
        <v>-1218.366</v>
      </c>
      <c r="H5" s="165">
        <f>'P&amp;L'!H9</f>
        <v>-779.08857886716851</v>
      </c>
      <c r="I5" s="165">
        <f>G5+H5</f>
        <v>-1997.4545788671685</v>
      </c>
      <c r="J5" s="165">
        <f>'P&amp;L'!J9</f>
        <v>663.28374593743229</v>
      </c>
      <c r="K5" s="165">
        <f>'P&amp;L'!K9</f>
        <v>1382.4120608484918</v>
      </c>
      <c r="L5" s="165">
        <f>'P&amp;L'!L9</f>
        <v>2108.0008109101327</v>
      </c>
      <c r="M5" s="165">
        <f>'P&amp;L'!M9</f>
        <v>2972.1177956247284</v>
      </c>
      <c r="N5" s="165">
        <f>'P&amp;L'!N9</f>
        <v>3216.1827142831335</v>
      </c>
      <c r="O5" s="165">
        <f>'P&amp;L'!O9</f>
        <v>3483.4913125644543</v>
      </c>
      <c r="P5" s="165">
        <f>'P&amp;L'!P9</f>
        <v>3639.5415990219553</v>
      </c>
      <c r="Q5" s="165">
        <f>'P&amp;L'!Q9</f>
        <v>3803.0701454278751</v>
      </c>
      <c r="R5" s="165">
        <f>'P&amp;L'!R9</f>
        <v>3883.4272069706749</v>
      </c>
      <c r="S5" s="165">
        <f>'P&amp;L'!S9</f>
        <v>3965.6491492624318</v>
      </c>
    </row>
    <row r="6" spans="2:19" s="23" customFormat="1" ht="11.4" x14ac:dyDescent="0.2">
      <c r="B6" s="40" t="s">
        <v>142</v>
      </c>
      <c r="C6" s="154"/>
      <c r="D6" s="180">
        <f>'P&amp;L'!D12</f>
        <v>-13.039</v>
      </c>
      <c r="E6" s="180">
        <f>'P&amp;L'!E12</f>
        <v>-26.698</v>
      </c>
      <c r="F6" s="180">
        <f>'P&amp;L'!F12</f>
        <v>-31.545999999999999</v>
      </c>
      <c r="G6" s="160">
        <f>'P&amp;L'!G12</f>
        <v>-19.312000000000001</v>
      </c>
      <c r="H6" s="165">
        <f>IF(H5*Drivers!$C$12&gt;0,H5*Drivers!C12,0)</f>
        <v>0</v>
      </c>
      <c r="I6" s="165">
        <f>G6+H6</f>
        <v>-19.312000000000001</v>
      </c>
      <c r="J6" s="165">
        <f>IF(J5*Drivers!$C$12&gt;0,-J5*Drivers!$C$12,0)</f>
        <v>-198.98512378122967</v>
      </c>
      <c r="K6" s="165">
        <f>IF(K5*Drivers!$C$12&gt;0,-K5*Drivers!$C$12,0)</f>
        <v>-414.72361825454755</v>
      </c>
      <c r="L6" s="165">
        <f>IF(L5*Drivers!$C$12&gt;0,-L5*Drivers!$C$12,0)</f>
        <v>-632.40024327303979</v>
      </c>
      <c r="M6" s="165">
        <f>IF(M5*Drivers!$C$12&gt;0,-M5*Drivers!$C$12,0)</f>
        <v>-891.63533868741854</v>
      </c>
      <c r="N6" s="165">
        <f>IF(N5*Drivers!$C$12&gt;0,-N5*Drivers!$C$12,0)</f>
        <v>-964.85481428493995</v>
      </c>
      <c r="O6" s="165">
        <f>IF(O5*Drivers!$C$12&gt;0,-O5*Drivers!$C$12,0)</f>
        <v>-1045.0473937693362</v>
      </c>
      <c r="P6" s="165">
        <f>IF(P5*Drivers!$C$12&gt;0,-P5*Drivers!$C$12,0)</f>
        <v>-1091.8624797065866</v>
      </c>
      <c r="Q6" s="165">
        <f>IF(Q5*Drivers!$C$12&gt;0,-Q5*Drivers!$C$12,0)</f>
        <v>-1140.9210436283624</v>
      </c>
      <c r="R6" s="165">
        <f>IF(R5*Drivers!$C$12&gt;0,-R5*Drivers!$C$12,0)</f>
        <v>-1165.0281620912024</v>
      </c>
      <c r="S6" s="165">
        <f>IF(S5*Drivers!$C$12&gt;0,-S5*Drivers!$C$12,0)</f>
        <v>-1189.6947447787295</v>
      </c>
    </row>
    <row r="7" spans="2:19" s="23" customFormat="1" ht="12" x14ac:dyDescent="0.25">
      <c r="B7" s="38" t="s">
        <v>128</v>
      </c>
      <c r="C7" s="155"/>
      <c r="D7" s="181">
        <f>SUM(D5:D6)</f>
        <v>-729.66799999999989</v>
      </c>
      <c r="E7" s="181">
        <f>SUM(E5:E6)</f>
        <v>-694.03800000000058</v>
      </c>
      <c r="F7" s="181">
        <f t="shared" ref="F7:I9" si="0">SUM(F5:F6)</f>
        <v>-1663.6319999999989</v>
      </c>
      <c r="G7" s="182">
        <f t="shared" si="0"/>
        <v>-1237.6779999999999</v>
      </c>
      <c r="H7" s="183">
        <f t="shared" si="0"/>
        <v>-779.08857886716851</v>
      </c>
      <c r="I7" s="183">
        <f t="shared" si="0"/>
        <v>-2016.7665788671684</v>
      </c>
      <c r="J7" s="183">
        <f t="shared" ref="J7:K7" si="1">SUM(J5:J6)</f>
        <v>464.29862215620261</v>
      </c>
      <c r="K7" s="183">
        <f t="shared" si="1"/>
        <v>967.68844259394427</v>
      </c>
      <c r="L7" s="183">
        <f t="shared" ref="L7:N7" si="2">SUM(L5:L6)</f>
        <v>1475.6005676370928</v>
      </c>
      <c r="M7" s="183">
        <f t="shared" si="2"/>
        <v>2080.48245693731</v>
      </c>
      <c r="N7" s="183">
        <f t="shared" si="2"/>
        <v>2251.3278999981935</v>
      </c>
      <c r="O7" s="183">
        <f t="shared" ref="O7:S7" si="3">SUM(O5:O6)</f>
        <v>2438.4439187951184</v>
      </c>
      <c r="P7" s="183">
        <f t="shared" si="3"/>
        <v>2547.6791193153686</v>
      </c>
      <c r="Q7" s="183">
        <f t="shared" si="3"/>
        <v>2662.1491017995127</v>
      </c>
      <c r="R7" s="183">
        <f t="shared" si="3"/>
        <v>2718.3990448794725</v>
      </c>
      <c r="S7" s="183">
        <f t="shared" si="3"/>
        <v>2775.9544044837021</v>
      </c>
    </row>
    <row r="8" spans="2:19" s="23" customFormat="1" ht="11.4" x14ac:dyDescent="0.2">
      <c r="B8" s="40" t="s">
        <v>143</v>
      </c>
      <c r="C8" s="153"/>
      <c r="D8" s="180">
        <f>-'PP&amp;E'!D9</f>
        <v>422.59</v>
      </c>
      <c r="E8" s="180">
        <f>-'PP&amp;E'!E9</f>
        <v>947.09900000000005</v>
      </c>
      <c r="F8" s="180">
        <f>-'PP&amp;E'!F9</f>
        <v>1166.3969999999999</v>
      </c>
      <c r="G8" s="160">
        <f>-'PP&amp;E'!G9</f>
        <v>901.48800000000006</v>
      </c>
      <c r="H8" s="165">
        <f>-'PP&amp;E'!H9</f>
        <v>504.75157333333334</v>
      </c>
      <c r="I8" s="165">
        <f>G8+H8</f>
        <v>1406.2395733333333</v>
      </c>
      <c r="J8" s="165">
        <f>-'PP&amp;E'!J9</f>
        <v>1366.1942584888893</v>
      </c>
      <c r="K8" s="165">
        <f>-'PP&amp;E'!K9</f>
        <v>1748.7286508657783</v>
      </c>
      <c r="L8" s="165">
        <f>-'PP&amp;E'!L9</f>
        <v>2056.9420755808715</v>
      </c>
      <c r="M8" s="165">
        <f>-'PP&amp;E'!M9</f>
        <v>2399.3722908979053</v>
      </c>
      <c r="N8" s="165">
        <f>-'PP&amp;E'!N9</f>
        <v>2778.2969187330405</v>
      </c>
      <c r="O8" s="165">
        <f>-'PP&amp;E'!O9</f>
        <v>3195.9625132187621</v>
      </c>
      <c r="P8" s="165">
        <f>-'PP&amp;E'!P9</f>
        <v>3654.5483930920445</v>
      </c>
      <c r="Q8" s="165">
        <f>-'PP&amp;E'!Q9</f>
        <v>4156.1241370320895</v>
      </c>
      <c r="R8" s="165">
        <f>-'PP&amp;E'!R9</f>
        <v>4702.6000412663825</v>
      </c>
      <c r="S8" s="165">
        <f>-'PP&amp;E'!S9</f>
        <v>5295.669792463982</v>
      </c>
    </row>
    <row r="9" spans="2:19" s="23" customFormat="1" ht="12" x14ac:dyDescent="0.25">
      <c r="B9" s="38" t="s">
        <v>164</v>
      </c>
      <c r="C9" s="155"/>
      <c r="D9" s="181">
        <f>SUM(D7:D8)</f>
        <v>-307.07799999999992</v>
      </c>
      <c r="E9" s="181">
        <f>SUM(E7:E8)</f>
        <v>253.06099999999947</v>
      </c>
      <c r="F9" s="181">
        <f t="shared" ref="F9:G9" si="4">SUM(F7:F8)</f>
        <v>-497.23499999999899</v>
      </c>
      <c r="G9" s="182">
        <f t="shared" si="4"/>
        <v>-336.18999999999983</v>
      </c>
      <c r="H9" s="183">
        <f t="shared" si="0"/>
        <v>-274.33700553383517</v>
      </c>
      <c r="I9" s="183">
        <f t="shared" si="0"/>
        <v>-610.52700553383511</v>
      </c>
      <c r="J9" s="183">
        <f t="shared" ref="J9:K9" si="5">SUM(J7:J8)</f>
        <v>1830.4928806450919</v>
      </c>
      <c r="K9" s="183">
        <f t="shared" si="5"/>
        <v>2716.4170934597223</v>
      </c>
      <c r="L9" s="183">
        <f t="shared" ref="L9:N9" si="6">SUM(L7:L8)</f>
        <v>3532.5426432179643</v>
      </c>
      <c r="M9" s="183">
        <f t="shared" si="6"/>
        <v>4479.8547478352157</v>
      </c>
      <c r="N9" s="183">
        <f t="shared" si="6"/>
        <v>5029.624818731234</v>
      </c>
      <c r="O9" s="183">
        <f t="shared" ref="O9:S9" si="7">SUM(O7:O8)</f>
        <v>5634.4064320138805</v>
      </c>
      <c r="P9" s="183">
        <f t="shared" si="7"/>
        <v>6202.2275124074131</v>
      </c>
      <c r="Q9" s="183">
        <f t="shared" si="7"/>
        <v>6818.2732388316017</v>
      </c>
      <c r="R9" s="183">
        <f t="shared" si="7"/>
        <v>7420.9990861458555</v>
      </c>
      <c r="S9" s="183">
        <f t="shared" si="7"/>
        <v>8071.6241969476841</v>
      </c>
    </row>
    <row r="10" spans="2:19" s="23" customFormat="1" ht="3.75" customHeight="1" x14ac:dyDescent="0.2">
      <c r="B10" s="40"/>
      <c r="C10" s="153"/>
      <c r="D10" s="180"/>
      <c r="E10" s="180"/>
      <c r="F10" s="180"/>
      <c r="G10" s="160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</row>
    <row r="11" spans="2:19" s="23" customFormat="1" ht="11.4" x14ac:dyDescent="0.2">
      <c r="B11" s="40" t="s">
        <v>93</v>
      </c>
      <c r="C11" s="154"/>
      <c r="D11" s="180">
        <f>-('Balance Sheet'!D7-'Balance Sheet'!C7)</f>
        <v>57.63900000000001</v>
      </c>
      <c r="E11" s="180">
        <f>-('Balance Sheet'!E7-'Balance Sheet'!D7)</f>
        <v>-330.17700000000002</v>
      </c>
      <c r="F11" s="180">
        <f>-('Balance Sheet'!F7-'Balance Sheet'!E7)</f>
        <v>-16.238999999999976</v>
      </c>
      <c r="G11" s="160">
        <f>-('Balance Sheet'!G7-'Balance Sheet'!F7)</f>
        <v>-54.493000000000052</v>
      </c>
      <c r="H11" s="165">
        <f>-('Balance Sheet'!I7-'Balance Sheet'!G7)</f>
        <v>569.87400000000002</v>
      </c>
      <c r="I11" s="165">
        <f>G11+H11</f>
        <v>515.38099999999997</v>
      </c>
      <c r="J11" s="165">
        <f>-('Balance Sheet'!J7-'Balance Sheet'!I7)</f>
        <v>0</v>
      </c>
      <c r="K11" s="165">
        <f>-('Balance Sheet'!K7-'Balance Sheet'!J7)</f>
        <v>0</v>
      </c>
      <c r="L11" s="165">
        <f>-('Balance Sheet'!L7-'Balance Sheet'!K7)</f>
        <v>0</v>
      </c>
      <c r="M11" s="165">
        <f>-('Balance Sheet'!M7-'Balance Sheet'!L7)</f>
        <v>0</v>
      </c>
      <c r="N11" s="165">
        <f>-('Balance Sheet'!N7-'Balance Sheet'!M7)</f>
        <v>0</v>
      </c>
      <c r="O11" s="165">
        <f>-('Balance Sheet'!O7-'Balance Sheet'!N7)</f>
        <v>0</v>
      </c>
      <c r="P11" s="165">
        <f>-('Balance Sheet'!P7-'Balance Sheet'!O7)</f>
        <v>0</v>
      </c>
      <c r="Q11" s="165">
        <f>-('Balance Sheet'!Q7-'Balance Sheet'!P7)</f>
        <v>0</v>
      </c>
      <c r="R11" s="165">
        <f>-('Balance Sheet'!R7-'Balance Sheet'!Q7)</f>
        <v>0</v>
      </c>
      <c r="S11" s="165">
        <f>-('Balance Sheet'!S7-'Balance Sheet'!R7)</f>
        <v>0</v>
      </c>
    </row>
    <row r="12" spans="2:19" s="23" customFormat="1" ht="11.4" x14ac:dyDescent="0.2">
      <c r="B12" s="40" t="s">
        <v>9</v>
      </c>
      <c r="C12" s="154"/>
      <c r="D12" s="180">
        <f>-('Balance Sheet'!D8-'Balance Sheet'!C8)</f>
        <v>-324.16300000000001</v>
      </c>
      <c r="E12" s="180">
        <f>-('Balance Sheet'!E8-'Balance Sheet'!D8)</f>
        <v>-789.61600000000021</v>
      </c>
      <c r="F12" s="180">
        <f>-('Balance Sheet'!F8-'Balance Sheet'!E8)</f>
        <v>-196.08299999999963</v>
      </c>
      <c r="G12" s="160">
        <f>-('Balance Sheet'!G8-'Balance Sheet'!F8)</f>
        <v>-1061.1060000000002</v>
      </c>
      <c r="H12" s="165">
        <f>-('Balance Sheet'!I8-'Balance Sheet'!G8)</f>
        <v>3324.643</v>
      </c>
      <c r="I12" s="165">
        <f t="shared" ref="I12:I13" si="8">G12+H12</f>
        <v>2263.5369999999998</v>
      </c>
      <c r="J12" s="165">
        <f>-('Balance Sheet'!J8-'Balance Sheet'!I8)</f>
        <v>0</v>
      </c>
      <c r="K12" s="165">
        <f>-('Balance Sheet'!K8-'Balance Sheet'!J8)</f>
        <v>0</v>
      </c>
      <c r="L12" s="165">
        <f>-('Balance Sheet'!L8-'Balance Sheet'!K8)</f>
        <v>0</v>
      </c>
      <c r="M12" s="165">
        <f>-('Balance Sheet'!M8-'Balance Sheet'!L8)</f>
        <v>0</v>
      </c>
      <c r="N12" s="165">
        <f>-('Balance Sheet'!N8-'Balance Sheet'!M8)</f>
        <v>0</v>
      </c>
      <c r="O12" s="165">
        <f>-('Balance Sheet'!O8-'Balance Sheet'!N8)</f>
        <v>0</v>
      </c>
      <c r="P12" s="165">
        <f>-('Balance Sheet'!P8-'Balance Sheet'!O8)</f>
        <v>0</v>
      </c>
      <c r="Q12" s="165">
        <f>-('Balance Sheet'!Q8-'Balance Sheet'!P8)</f>
        <v>0</v>
      </c>
      <c r="R12" s="165">
        <f>-('Balance Sheet'!R8-'Balance Sheet'!Q8)</f>
        <v>0</v>
      </c>
      <c r="S12" s="165">
        <f>-('Balance Sheet'!S8-'Balance Sheet'!R8)</f>
        <v>0</v>
      </c>
    </row>
    <row r="13" spans="2:19" s="23" customFormat="1" ht="11.4" x14ac:dyDescent="0.2">
      <c r="B13" s="40" t="s">
        <v>20</v>
      </c>
      <c r="C13" s="154"/>
      <c r="D13" s="180">
        <f>'Balance Sheet'!D19-'Balance Sheet'!C19</f>
        <v>138.202</v>
      </c>
      <c r="E13" s="180">
        <f>'Balance Sheet'!E19-'Balance Sheet'!D19</f>
        <v>944.19299999999987</v>
      </c>
      <c r="F13" s="180">
        <f>'Balance Sheet'!F19-'Balance Sheet'!E19</f>
        <v>529.90900000000011</v>
      </c>
      <c r="G13" s="160">
        <f>'Balance Sheet'!G19-'Balance Sheet'!F19</f>
        <v>640.24299999999994</v>
      </c>
      <c r="H13" s="165">
        <f>'Balance Sheet'!I19-'Balance Sheet'!G19</f>
        <v>-3030.4929999999999</v>
      </c>
      <c r="I13" s="165">
        <f t="shared" si="8"/>
        <v>-2390.25</v>
      </c>
      <c r="J13" s="165">
        <f>'Balance Sheet'!J19-'Balance Sheet'!I19</f>
        <v>0</v>
      </c>
      <c r="K13" s="165">
        <f>'Balance Sheet'!K19-'Balance Sheet'!J19</f>
        <v>0</v>
      </c>
      <c r="L13" s="165">
        <f>'Balance Sheet'!L19-'Balance Sheet'!K19</f>
        <v>0</v>
      </c>
      <c r="M13" s="165">
        <f>'Balance Sheet'!M19-'Balance Sheet'!L19</f>
        <v>0</v>
      </c>
      <c r="N13" s="165">
        <f>'Balance Sheet'!N19-'Balance Sheet'!M19</f>
        <v>0</v>
      </c>
      <c r="O13" s="165">
        <f>'Balance Sheet'!O19-'Balance Sheet'!N19</f>
        <v>0</v>
      </c>
      <c r="P13" s="165">
        <f>'Balance Sheet'!P19-'Balance Sheet'!O19</f>
        <v>0</v>
      </c>
      <c r="Q13" s="165">
        <f>'Balance Sheet'!Q19-'Balance Sheet'!P19</f>
        <v>0</v>
      </c>
      <c r="R13" s="165">
        <f>'Balance Sheet'!R19-'Balance Sheet'!Q19</f>
        <v>0</v>
      </c>
      <c r="S13" s="165">
        <f>'Balance Sheet'!S19-'Balance Sheet'!R19</f>
        <v>0</v>
      </c>
    </row>
    <row r="14" spans="2:19" s="23" customFormat="1" ht="12" x14ac:dyDescent="0.25">
      <c r="B14" s="39" t="s">
        <v>129</v>
      </c>
      <c r="C14" s="156"/>
      <c r="D14" s="184">
        <f t="shared" ref="D14:H14" si="9">SUM(D11:D13)</f>
        <v>-128.322</v>
      </c>
      <c r="E14" s="184">
        <f t="shared" si="9"/>
        <v>-175.60000000000025</v>
      </c>
      <c r="F14" s="184">
        <f t="shared" si="9"/>
        <v>317.5870000000005</v>
      </c>
      <c r="G14" s="185">
        <f t="shared" si="9"/>
        <v>-475.35600000000022</v>
      </c>
      <c r="H14" s="186">
        <f t="shared" si="9"/>
        <v>864.02399999999989</v>
      </c>
      <c r="I14" s="186">
        <f t="shared" ref="I14:J14" si="10">SUM(I11:I13)</f>
        <v>388.66799999999967</v>
      </c>
      <c r="J14" s="186">
        <f t="shared" si="10"/>
        <v>0</v>
      </c>
      <c r="K14" s="186">
        <f t="shared" ref="K14:N14" si="11">SUM(K11:K13)</f>
        <v>0</v>
      </c>
      <c r="L14" s="186">
        <f t="shared" si="11"/>
        <v>0</v>
      </c>
      <c r="M14" s="186">
        <f t="shared" si="11"/>
        <v>0</v>
      </c>
      <c r="N14" s="186">
        <f t="shared" si="11"/>
        <v>0</v>
      </c>
      <c r="O14" s="186">
        <f t="shared" ref="O14:S14" si="12">SUM(O11:O13)</f>
        <v>0</v>
      </c>
      <c r="P14" s="186">
        <f t="shared" si="12"/>
        <v>0</v>
      </c>
      <c r="Q14" s="186">
        <f t="shared" si="12"/>
        <v>0</v>
      </c>
      <c r="R14" s="186">
        <f t="shared" si="12"/>
        <v>0</v>
      </c>
      <c r="S14" s="186">
        <f t="shared" si="12"/>
        <v>0</v>
      </c>
    </row>
    <row r="15" spans="2:19" s="23" customFormat="1" ht="3.75" customHeight="1" x14ac:dyDescent="0.25">
      <c r="B15" s="41"/>
      <c r="C15" s="154"/>
      <c r="D15" s="180"/>
      <c r="E15" s="180"/>
      <c r="F15" s="180"/>
      <c r="G15" s="160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</row>
    <row r="16" spans="2:19" s="23" customFormat="1" ht="11.4" x14ac:dyDescent="0.2">
      <c r="B16" s="43" t="s">
        <v>82</v>
      </c>
      <c r="C16" s="154"/>
      <c r="D16" s="180">
        <f>-'PP&amp;E'!D8</f>
        <v>-1996.6569999999997</v>
      </c>
      <c r="E16" s="180">
        <f>-'PP&amp;E'!E8</f>
        <v>-3526.7220000000007</v>
      </c>
      <c r="F16" s="180">
        <f>-'PP&amp;E'!F8</f>
        <v>-5210.9620000000004</v>
      </c>
      <c r="G16" s="160">
        <f>-'PP&amp;E'!G8</f>
        <v>-1843.3139999999992</v>
      </c>
      <c r="H16" s="165">
        <f>-'PP&amp;E'!H8</f>
        <v>-4173.1992000000009</v>
      </c>
      <c r="I16" s="165">
        <f t="shared" ref="I16:I18" si="13">G16+H16</f>
        <v>-6016.5132000000003</v>
      </c>
      <c r="J16" s="165">
        <f>-'PP&amp;E'!J8</f>
        <v>-5855.1182506666682</v>
      </c>
      <c r="K16" s="165">
        <f>-'PP&amp;E'!K8</f>
        <v>-5738.0158856533353</v>
      </c>
      <c r="L16" s="165">
        <f>-'PP&amp;E'!L8</f>
        <v>-4623.2013707264014</v>
      </c>
      <c r="M16" s="165">
        <f>-'PP&amp;E'!M8</f>
        <v>-5136.4532297555079</v>
      </c>
      <c r="N16" s="165">
        <f>-'PP&amp;E'!N8</f>
        <v>-5683.8694175270284</v>
      </c>
      <c r="O16" s="165">
        <f>-'PP&amp;E'!O8</f>
        <v>-6264.9839172858265</v>
      </c>
      <c r="P16" s="165">
        <f>-'PP&amp;E'!P8</f>
        <v>-6878.7881980992388</v>
      </c>
      <c r="Q16" s="165">
        <f>-'PP&amp;E'!Q8</f>
        <v>-7523.636159100678</v>
      </c>
      <c r="R16" s="165">
        <f>-'PP&amp;E'!R8</f>
        <v>-8197.1385635143961</v>
      </c>
      <c r="S16" s="165">
        <f>-'PP&amp;E'!S8</f>
        <v>-8896.0462679639986</v>
      </c>
    </row>
    <row r="17" spans="2:19" s="23" customFormat="1" ht="11.4" x14ac:dyDescent="0.2">
      <c r="B17" s="43" t="s">
        <v>18</v>
      </c>
      <c r="C17" s="154"/>
      <c r="D17" s="180">
        <f>-('Balance Sheet'!D6-'Balance Sheet'!C6)-('Balance Sheet'!D9-'Balance Sheet'!C9)-('Balance Sheet'!D11-'Balance Sheet'!C11)-('Balance Sheet'!D12-'Balance Sheet'!C12)-('Balance Sheet'!D14-'Balance Sheet'!C14)-('Balance Sheet'!D15-'Balance Sheet'!C15)</f>
        <v>-1105.4860000000001</v>
      </c>
      <c r="E17" s="180">
        <f>-('Balance Sheet'!E6-'Balance Sheet'!D6)-('Balance Sheet'!E9-'Balance Sheet'!D9)-('Balance Sheet'!E11-'Balance Sheet'!D11)-('Balance Sheet'!E12-'Balance Sheet'!D12)-('Balance Sheet'!E14-'Balance Sheet'!D14)-('Balance Sheet'!E15-'Balance Sheet'!D15)</f>
        <v>-8700.4130000000005</v>
      </c>
      <c r="F17" s="180">
        <f>-('Balance Sheet'!F6-'Balance Sheet'!E6)-('Balance Sheet'!F9-'Balance Sheet'!E9)-('Balance Sheet'!F11-'Balance Sheet'!E11)-('Balance Sheet'!F12-'Balance Sheet'!E12)-('Balance Sheet'!F14-'Balance Sheet'!E14)-('Balance Sheet'!F15-'Balance Sheet'!E15)</f>
        <v>-1759.7109999999998</v>
      </c>
      <c r="G17" s="160">
        <f>-('Balance Sheet'!G6-'Balance Sheet'!F6)-('Balance Sheet'!G9-'Balance Sheet'!F9)-('Balance Sheet'!G11-'Balance Sheet'!F11)-('Balance Sheet'!G12-'Balance Sheet'!F12)-('Balance Sheet'!G14-'Balance Sheet'!F14)-('Balance Sheet'!G15-'Balance Sheet'!F15)</f>
        <v>1671.3070000000002</v>
      </c>
      <c r="H17" s="165">
        <f>-('Balance Sheet'!I6-'Balance Sheet'!G6)-('Balance Sheet'!I9-'Balance Sheet'!G9)-('Balance Sheet'!I11-'Balance Sheet'!G11)-('Balance Sheet'!I12-'Balance Sheet'!G12)-('Balance Sheet'!I14-'Balance Sheet'!G14)-('Balance Sheet'!I15-'Balance Sheet'!G15)</f>
        <v>-1391.0825212570403</v>
      </c>
      <c r="I17" s="165">
        <f t="shared" si="13"/>
        <v>280.22447874295995</v>
      </c>
      <c r="J17" s="165">
        <f>-('Balance Sheet'!J6-'Balance Sheet'!I6)-('Balance Sheet'!J9-'Balance Sheet'!I9)-('Balance Sheet'!J11-'Balance Sheet'!I11)-('Balance Sheet'!J12-'Balance Sheet'!I12)-('Balance Sheet'!J14-'Balance Sheet'!I14)-('Balance Sheet'!J15-'Balance Sheet'!I15)</f>
        <v>-864.23182764068861</v>
      </c>
      <c r="K17" s="165">
        <f>-('Balance Sheet'!K6-'Balance Sheet'!J6)-('Balance Sheet'!K9-'Balance Sheet'!J9)-('Balance Sheet'!K11-'Balance Sheet'!J11)-('Balance Sheet'!K12-'Balance Sheet'!J12)-('Balance Sheet'!K14-'Balance Sheet'!J14)-('Balance Sheet'!K15-'Balance Sheet'!J15)</f>
        <v>-3147.3256117776696</v>
      </c>
      <c r="L17" s="165">
        <f>-('Balance Sheet'!L6-'Balance Sheet'!K6)-('Balance Sheet'!L9-'Balance Sheet'!K9)-('Balance Sheet'!L11-'Balance Sheet'!K11)-('Balance Sheet'!L12-'Balance Sheet'!K12)-('Balance Sheet'!L14-'Balance Sheet'!K14)-('Balance Sheet'!L15-'Balance Sheet'!K15)</f>
        <v>-2320.6069453145037</v>
      </c>
      <c r="M17" s="165">
        <f>-('Balance Sheet'!M6-'Balance Sheet'!L6)-('Balance Sheet'!M9-'Balance Sheet'!L9)-('Balance Sheet'!M11-'Balance Sheet'!L11)-('Balance Sheet'!M12-'Balance Sheet'!L12)-('Balance Sheet'!M14-'Balance Sheet'!L14)-('Balance Sheet'!M15-'Balance Sheet'!L15)</f>
        <v>-2738.2791443139772</v>
      </c>
      <c r="N17" s="165">
        <f>-('Balance Sheet'!N6-'Balance Sheet'!M6)-('Balance Sheet'!N9-'Balance Sheet'!M9)-('Balance Sheet'!N11-'Balance Sheet'!M11)-('Balance Sheet'!N12-'Balance Sheet'!M12)-('Balance Sheet'!N14-'Balance Sheet'!M14)-('Balance Sheet'!N15-'Balance Sheet'!M15)</f>
        <v>-877.58699146763001</v>
      </c>
      <c r="O17" s="165">
        <f>-('Balance Sheet'!O6-'Balance Sheet'!N6)-('Balance Sheet'!O9-'Balance Sheet'!N9)-('Balance Sheet'!O11-'Balance Sheet'!N11)-('Balance Sheet'!O12-'Balance Sheet'!N12)-('Balance Sheet'!O14-'Balance Sheet'!N14)-('Balance Sheet'!O15-'Balance Sheet'!N15)</f>
        <v>-952.14532276309046</v>
      </c>
      <c r="P17" s="165">
        <f>-('Balance Sheet'!P6-'Balance Sheet'!O6)-('Balance Sheet'!P9-'Balance Sheet'!O9)-('Balance Sheet'!P11-'Balance Sheet'!O11)-('Balance Sheet'!P12-'Balance Sheet'!O12)-('Balance Sheet'!P14-'Balance Sheet'!O14)-('Balance Sheet'!P15-'Balance Sheet'!O15)</f>
        <v>-536.244790635345</v>
      </c>
      <c r="Q17" s="165">
        <f>-('Balance Sheet'!Q6-'Balance Sheet'!P6)-('Balance Sheet'!Q9-'Balance Sheet'!P9)-('Balance Sheet'!Q11-'Balance Sheet'!P11)-('Balance Sheet'!Q12-'Balance Sheet'!P12)-('Balance Sheet'!Q14-'Balance Sheet'!P14)-('Balance Sheet'!Q15-'Balance Sheet'!P15)</f>
        <v>-560.11499646317816</v>
      </c>
      <c r="R17" s="165">
        <f>-('Balance Sheet'!R6-'Balance Sheet'!Q6)-('Balance Sheet'!R9-'Balance Sheet'!Q9)-('Balance Sheet'!R11-'Balance Sheet'!Q11)-('Balance Sheet'!R12-'Balance Sheet'!Q12)-('Balance Sheet'!R14-'Balance Sheet'!Q14)-('Balance Sheet'!R15-'Balance Sheet'!Q15)</f>
        <v>-335.03332794157177</v>
      </c>
      <c r="S17" s="165">
        <f>-('Balance Sheet'!S6-'Balance Sheet'!R6)-('Balance Sheet'!S9-'Balance Sheet'!R9)-('Balance Sheet'!S11-'Balance Sheet'!R11)-('Balance Sheet'!S12-'Balance Sheet'!R12)-('Balance Sheet'!S14-'Balance Sheet'!R14)-('Balance Sheet'!S15-'Balance Sheet'!R15)</f>
        <v>-343.75950719494494</v>
      </c>
    </row>
    <row r="18" spans="2:19" s="23" customFormat="1" ht="11.4" x14ac:dyDescent="0.2">
      <c r="B18" s="40" t="s">
        <v>136</v>
      </c>
      <c r="C18" s="154"/>
      <c r="D18" s="180">
        <f>'Balance Sheet'!D20-'Balance Sheet'!C20+'Balance Sheet'!D22-'Balance Sheet'!C22+'Balance Sheet'!D24-'Balance Sheet'!C24+'Balance Sheet'!D26-'Balance Sheet'!C26+'Balance Sheet'!D29-'Balance Sheet'!C29</f>
        <v>1707.94</v>
      </c>
      <c r="E18" s="180">
        <f>'Balance Sheet'!E20-'Balance Sheet'!D20+'Balance Sheet'!E22-'Balance Sheet'!D22+'Balance Sheet'!E24-'Balance Sheet'!D24+'Balance Sheet'!E26-'Balance Sheet'!D26+'Balance Sheet'!E29-'Balance Sheet'!D29</f>
        <v>5002.3220000000001</v>
      </c>
      <c r="F18" s="180">
        <f>'Balance Sheet'!F20-'Balance Sheet'!E20+'Balance Sheet'!F22-'Balance Sheet'!E22+'Balance Sheet'!F24-'Balance Sheet'!E24+'Balance Sheet'!F26-'Balance Sheet'!E26+'Balance Sheet'!F29-'Balance Sheet'!E29</f>
        <v>2396.8959999999997</v>
      </c>
      <c r="G18" s="160">
        <f>'Balance Sheet'!G20-'Balance Sheet'!F20+'Balance Sheet'!G22-'Balance Sheet'!F22+'Balance Sheet'!G24-'Balance Sheet'!F24+'Balance Sheet'!G26-'Balance Sheet'!F26+'Balance Sheet'!G29-'Balance Sheet'!F29</f>
        <v>-2822.4659999999994</v>
      </c>
      <c r="H18" s="165">
        <f>'Balance Sheet'!I20-'Balance Sheet'!G20+'Balance Sheet'!I22-'Balance Sheet'!G22+'Balance Sheet'!I24-'Balance Sheet'!G24+'Balance Sheet'!I26-'Balance Sheet'!G26+'Balance Sheet'!I29-'Balance Sheet'!G29</f>
        <v>7947.3072546464628</v>
      </c>
      <c r="I18" s="165">
        <f t="shared" si="13"/>
        <v>5124.8412546464633</v>
      </c>
      <c r="J18" s="165">
        <f>'Balance Sheet'!J20-'Balance Sheet'!I20+'Balance Sheet'!J22-'Balance Sheet'!I22+'Balance Sheet'!J24-'Balance Sheet'!I24+'Balance Sheet'!J26-'Balance Sheet'!I26+'Balance Sheet'!J29-'Balance Sheet'!I29</f>
        <v>4492.2213494696498</v>
      </c>
      <c r="K18" s="165">
        <f>'Balance Sheet'!K20-'Balance Sheet'!J20+'Balance Sheet'!K22-'Balance Sheet'!J22+'Balance Sheet'!K24-'Balance Sheet'!J24+'Balance Sheet'!K26-'Balance Sheet'!J26+'Balance Sheet'!K29-'Balance Sheet'!J29</f>
        <v>16359.595718150824</v>
      </c>
      <c r="L18" s="165">
        <f>'Balance Sheet'!L20-'Balance Sheet'!K20+'Balance Sheet'!L22-'Balance Sheet'!K22+'Balance Sheet'!L24-'Balance Sheet'!K24+'Balance Sheet'!L26-'Balance Sheet'!K26+'Balance Sheet'!L29-'Balance Sheet'!K29</f>
        <v>12062.365363155201</v>
      </c>
      <c r="M18" s="165">
        <f>'Balance Sheet'!M20-'Balance Sheet'!L20+'Balance Sheet'!M22-'Balance Sheet'!L22+'Balance Sheet'!M24-'Balance Sheet'!L24+'Balance Sheet'!M26-'Balance Sheet'!L26+'Balance Sheet'!M29-'Balance Sheet'!L29</f>
        <v>14233.398538995898</v>
      </c>
      <c r="N18" s="165">
        <f>'Balance Sheet'!N20-'Balance Sheet'!M20+'Balance Sheet'!N22-'Balance Sheet'!M22+'Balance Sheet'!N24-'Balance Sheet'!M24+'Balance Sheet'!N26-'Balance Sheet'!M26+'Balance Sheet'!N29-'Balance Sheet'!M29</f>
        <v>4561.6406304429402</v>
      </c>
      <c r="O18" s="165">
        <f>'Balance Sheet'!O20-'Balance Sheet'!N20+'Balance Sheet'!O22-'Balance Sheet'!N22+'Balance Sheet'!O24-'Balance Sheet'!N24+'Balance Sheet'!O26-'Balance Sheet'!N26+'Balance Sheet'!O29-'Balance Sheet'!N29</f>
        <v>4949.1900320203495</v>
      </c>
      <c r="P18" s="165">
        <f>'Balance Sheet'!P20-'Balance Sheet'!O20+'Balance Sheet'!P22-'Balance Sheet'!O22+'Balance Sheet'!P24-'Balance Sheet'!O24+'Balance Sheet'!P26-'Balance Sheet'!O26+'Balance Sheet'!P29-'Balance Sheet'!O29</f>
        <v>2787.3658664136965</v>
      </c>
      <c r="Q18" s="165">
        <f>'Balance Sheet'!Q20-'Balance Sheet'!P20+'Balance Sheet'!Q22-'Balance Sheet'!P22+'Balance Sheet'!Q24-'Balance Sheet'!P24+'Balance Sheet'!Q26-'Balance Sheet'!P26+'Balance Sheet'!Q29-'Balance Sheet'!P29</f>
        <v>2911.4416581243058</v>
      </c>
      <c r="R18" s="165">
        <f>'Balance Sheet'!R20-'Balance Sheet'!Q20+'Balance Sheet'!R22-'Balance Sheet'!Q22+'Balance Sheet'!R24-'Balance Sheet'!Q24+'Balance Sheet'!R26-'Balance Sheet'!Q26+'Balance Sheet'!R29-'Balance Sheet'!Q29</f>
        <v>1741.4816492834943</v>
      </c>
      <c r="S18" s="165">
        <f>'Balance Sheet'!S20-'Balance Sheet'!R20+'Balance Sheet'!S22-'Balance Sheet'!R22+'Balance Sheet'!S24-'Balance Sheet'!R24+'Balance Sheet'!S26-'Balance Sheet'!R26+'Balance Sheet'!S29-'Balance Sheet'!R29</f>
        <v>1786.8397667324971</v>
      </c>
    </row>
    <row r="19" spans="2:19" s="23" customFormat="1" ht="3.75" customHeight="1" x14ac:dyDescent="0.2">
      <c r="B19" s="40"/>
      <c r="C19" s="154"/>
      <c r="D19" s="187"/>
      <c r="E19" s="187"/>
      <c r="F19" s="187"/>
      <c r="G19" s="188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</row>
    <row r="20" spans="2:19" s="23" customFormat="1" ht="12.6" thickBot="1" x14ac:dyDescent="0.3">
      <c r="B20" s="42" t="s">
        <v>130</v>
      </c>
      <c r="C20" s="157"/>
      <c r="D20" s="190">
        <f>D9+D14+D17+D18+D16</f>
        <v>-1829.6029999999996</v>
      </c>
      <c r="E20" s="190">
        <f>E9+E14+E17+E18+E16</f>
        <v>-7147.3520000000017</v>
      </c>
      <c r="F20" s="191">
        <f t="shared" ref="F20" si="14">F9+F14+F17+F18+F16</f>
        <v>-4753.4249999999993</v>
      </c>
      <c r="G20" s="192">
        <f t="shared" ref="G20:N20" si="15">G9+G14+G17+G18+G16</f>
        <v>-3806.0189999999984</v>
      </c>
      <c r="H20" s="192">
        <f t="shared" si="15"/>
        <v>2972.7125278555859</v>
      </c>
      <c r="I20" s="192">
        <f t="shared" si="15"/>
        <v>-833.30647214441251</v>
      </c>
      <c r="J20" s="192">
        <f t="shared" si="15"/>
        <v>-396.63584819261541</v>
      </c>
      <c r="K20" s="192">
        <f t="shared" si="15"/>
        <v>10190.671314179541</v>
      </c>
      <c r="L20" s="192">
        <f t="shared" si="15"/>
        <v>8651.0996903322593</v>
      </c>
      <c r="M20" s="192">
        <f t="shared" si="15"/>
        <v>10838.520912761629</v>
      </c>
      <c r="N20" s="192">
        <f t="shared" si="15"/>
        <v>3029.8090401795162</v>
      </c>
      <c r="O20" s="192">
        <f t="shared" ref="O20:S20" si="16">O9+O14+O17+O18+O16</f>
        <v>3366.4672239853135</v>
      </c>
      <c r="P20" s="192">
        <f t="shared" si="16"/>
        <v>1574.5603900865262</v>
      </c>
      <c r="Q20" s="192">
        <f t="shared" si="16"/>
        <v>1645.9637413920509</v>
      </c>
      <c r="R20" s="192">
        <f t="shared" si="16"/>
        <v>630.30884397338195</v>
      </c>
      <c r="S20" s="192">
        <f t="shared" si="16"/>
        <v>618.65818852123812</v>
      </c>
    </row>
    <row r="21" spans="2:19" s="23" customFormat="1" ht="3.75" customHeight="1" x14ac:dyDescent="0.2">
      <c r="B21" s="40"/>
      <c r="C21" s="159"/>
      <c r="D21" s="187"/>
      <c r="E21" s="187"/>
      <c r="F21" s="187"/>
      <c r="G21" s="188"/>
      <c r="H21" s="189"/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189"/>
    </row>
    <row r="22" spans="2:19" s="23" customFormat="1" ht="11.4" x14ac:dyDescent="0.2">
      <c r="B22" s="40" t="s">
        <v>131</v>
      </c>
      <c r="C22" s="159"/>
      <c r="D22" s="180">
        <f>'P&amp;L'!D10</f>
        <v>-158.995</v>
      </c>
      <c r="E22" s="180">
        <f>'P&amp;L'!E10</f>
        <v>-79.007999999999996</v>
      </c>
      <c r="F22" s="180">
        <f>'P&amp;L'!F10</f>
        <v>-576.94600000000003</v>
      </c>
      <c r="G22" s="160">
        <f>'P&amp;L'!G10</f>
        <v>-289.65499999999997</v>
      </c>
      <c r="H22" s="165">
        <f>'P&amp;L'!H10</f>
        <v>-400.37624999999997</v>
      </c>
      <c r="I22" s="165">
        <f t="shared" ref="I22:I26" si="17">G22+H22</f>
        <v>-690.03125</v>
      </c>
      <c r="J22" s="165">
        <f>'P&amp;L'!J10</f>
        <v>-713.50424999999996</v>
      </c>
      <c r="K22" s="165">
        <f>'P&amp;L'!K10</f>
        <v>-728.37809430722302</v>
      </c>
      <c r="L22" s="165">
        <f>'P&amp;L'!L10</f>
        <v>-728.37809430722302</v>
      </c>
      <c r="M22" s="165">
        <f>'P&amp;L'!M10</f>
        <v>-728.37809430722302</v>
      </c>
      <c r="N22" s="165">
        <f>'P&amp;L'!N10</f>
        <v>-728.37809430722302</v>
      </c>
      <c r="O22" s="165">
        <f>'P&amp;L'!O10</f>
        <v>-728.37809430722302</v>
      </c>
      <c r="P22" s="165">
        <f>'P&amp;L'!P10</f>
        <v>-728.37809430722302</v>
      </c>
      <c r="Q22" s="165">
        <f>'P&amp;L'!Q10</f>
        <v>-728.37809430722302</v>
      </c>
      <c r="R22" s="165">
        <f>'P&amp;L'!R10</f>
        <v>-728.37809430722302</v>
      </c>
      <c r="S22" s="165">
        <f>'P&amp;L'!S10</f>
        <v>-728.37809430722302</v>
      </c>
    </row>
    <row r="23" spans="2:19" s="23" customFormat="1" ht="11.4" x14ac:dyDescent="0.2">
      <c r="B23" s="40" t="s">
        <v>132</v>
      </c>
      <c r="C23" s="159"/>
      <c r="D23" s="180">
        <f>'Balance Sheet'!D28-'Balance Sheet'!C28</f>
        <v>219.13599999999997</v>
      </c>
      <c r="E23" s="180">
        <f>'Balance Sheet'!E28-'Balance Sheet'!D28</f>
        <v>4195.24</v>
      </c>
      <c r="F23" s="180">
        <f>'Balance Sheet'!F28-'Balance Sheet'!E28</f>
        <v>3367.9889999999996</v>
      </c>
      <c r="G23" s="160">
        <f>'Balance Sheet'!G28-'Balance Sheet'!F28</f>
        <v>1404.3260000000009</v>
      </c>
      <c r="H23" s="165">
        <f>'Balance Sheet'!I28-'Balance Sheet'!G28</f>
        <v>0</v>
      </c>
      <c r="I23" s="165">
        <f t="shared" si="17"/>
        <v>1404.3260000000009</v>
      </c>
      <c r="J23" s="165">
        <f>'Balance Sheet'!K28-'Balance Sheet'!I28</f>
        <v>198.31792409630725</v>
      </c>
      <c r="K23" s="165">
        <f>'Balance Sheet'!L28-'Balance Sheet'!J28</f>
        <v>0</v>
      </c>
      <c r="L23" s="165">
        <f>'Balance Sheet'!M28-'Balance Sheet'!K28</f>
        <v>0</v>
      </c>
      <c r="M23" s="165">
        <f>'Balance Sheet'!N28-'Balance Sheet'!L28</f>
        <v>0</v>
      </c>
      <c r="N23" s="165">
        <f>'Balance Sheet'!O28-'Balance Sheet'!M28</f>
        <v>0</v>
      </c>
      <c r="O23" s="165">
        <f>'Balance Sheet'!P28-'Balance Sheet'!N28</f>
        <v>0</v>
      </c>
      <c r="P23" s="165">
        <f>'Balance Sheet'!Q28-'Balance Sheet'!O28</f>
        <v>0</v>
      </c>
      <c r="Q23" s="165">
        <f>'Balance Sheet'!R28-'Balance Sheet'!P28</f>
        <v>0</v>
      </c>
      <c r="R23" s="165">
        <f>'Balance Sheet'!S28-'Balance Sheet'!Q28</f>
        <v>0</v>
      </c>
      <c r="S23" s="165">
        <f>'Balance Sheet'!S28-'Balance Sheet'!R28</f>
        <v>0</v>
      </c>
    </row>
    <row r="24" spans="2:19" s="23" customFormat="1" ht="11.4" x14ac:dyDescent="0.2">
      <c r="B24" s="40" t="s">
        <v>138</v>
      </c>
      <c r="C24" s="159"/>
      <c r="D24" s="180">
        <f>'Balance Sheet'!D32-'Balance Sheet'!C32-'P&amp;L'!D14</f>
        <v>1060.6569999999997</v>
      </c>
      <c r="E24" s="180">
        <f>'Balance Sheet'!E32-'Balance Sheet'!D32-'P&amp;L'!E14</f>
        <v>5129.2960000000012</v>
      </c>
      <c r="F24" s="180">
        <f>'Balance Sheet'!F32-'Balance Sheet'!E32-'P&amp;L'!F14</f>
        <v>1657.9019999999982</v>
      </c>
      <c r="G24" s="160">
        <f>'Balance Sheet'!G32-'Balance Sheet'!F32-'P&amp;L'!G14</f>
        <v>1459.6150000000005</v>
      </c>
      <c r="H24" s="165">
        <f>'Balance Sheet'!I32-'Balance Sheet'!G32-'P&amp;L'!H14</f>
        <v>0</v>
      </c>
      <c r="I24" s="165">
        <f t="shared" si="17"/>
        <v>1459.6150000000005</v>
      </c>
      <c r="J24" s="165">
        <f>'Balance Sheet'!J32-'Balance Sheet'!I32-'P&amp;L'!J14</f>
        <v>198.31792409630725</v>
      </c>
      <c r="K24" s="165">
        <f>'Balance Sheet'!K32-'Balance Sheet'!J32-'P&amp;L'!K14</f>
        <v>0</v>
      </c>
      <c r="L24" s="165">
        <f>'Balance Sheet'!L32-'Balance Sheet'!K32-'P&amp;L'!L14</f>
        <v>0</v>
      </c>
      <c r="M24" s="165">
        <f>'Balance Sheet'!M32-'Balance Sheet'!L32-'P&amp;L'!M14</f>
        <v>0</v>
      </c>
      <c r="N24" s="165">
        <f>'Balance Sheet'!N32-'Balance Sheet'!M32-'P&amp;L'!N14</f>
        <v>0</v>
      </c>
      <c r="O24" s="165">
        <f>'Balance Sheet'!O32-'Balance Sheet'!N32-'P&amp;L'!O14</f>
        <v>0</v>
      </c>
      <c r="P24" s="165">
        <f>'Balance Sheet'!P32-'Balance Sheet'!O32-'P&amp;L'!P14</f>
        <v>0</v>
      </c>
      <c r="Q24" s="165">
        <f>'Balance Sheet'!Q32-'Balance Sheet'!P32-'P&amp;L'!Q14</f>
        <v>0</v>
      </c>
      <c r="R24" s="165">
        <f>'Balance Sheet'!R32-'Balance Sheet'!Q32-'P&amp;L'!R14</f>
        <v>0</v>
      </c>
      <c r="S24" s="165">
        <f>'Balance Sheet'!S32-'Balance Sheet'!R32-'P&amp;L'!S14</f>
        <v>0</v>
      </c>
    </row>
    <row r="25" spans="2:19" s="23" customFormat="1" ht="11.4" x14ac:dyDescent="0.2">
      <c r="B25" s="40" t="s">
        <v>141</v>
      </c>
      <c r="C25" s="159"/>
      <c r="D25" s="180">
        <f>'P&amp;L'!D12-D6</f>
        <v>0</v>
      </c>
      <c r="E25" s="180">
        <f>'P&amp;L'!E12-E6</f>
        <v>0</v>
      </c>
      <c r="F25" s="180">
        <f>'P&amp;L'!F12-F6</f>
        <v>0</v>
      </c>
      <c r="G25" s="160">
        <f>'P&amp;L'!G12-G6</f>
        <v>0</v>
      </c>
      <c r="H25" s="165">
        <f>'P&amp;L'!H12-H6</f>
        <v>0</v>
      </c>
      <c r="I25" s="165">
        <f t="shared" si="17"/>
        <v>0</v>
      </c>
      <c r="J25" s="165">
        <f>'P&amp;L'!J12-J6</f>
        <v>198.98512378122967</v>
      </c>
      <c r="K25" s="165">
        <f>'P&amp;L'!K12-K6</f>
        <v>218.51342829216691</v>
      </c>
      <c r="L25" s="165">
        <f>'P&amp;L'!L12-L6</f>
        <v>218.51342829216685</v>
      </c>
      <c r="M25" s="165">
        <f>'P&amp;L'!M12-M6</f>
        <v>218.51342829216696</v>
      </c>
      <c r="N25" s="165">
        <f>'P&amp;L'!N12-N6</f>
        <v>218.51342829216685</v>
      </c>
      <c r="O25" s="165">
        <f>'P&amp;L'!O12-O6</f>
        <v>218.51342829216674</v>
      </c>
      <c r="P25" s="165">
        <f>'P&amp;L'!P12-P6</f>
        <v>218.51342829216685</v>
      </c>
      <c r="Q25" s="165">
        <f>'P&amp;L'!Q12-Q6</f>
        <v>218.51342829216685</v>
      </c>
      <c r="R25" s="165">
        <f>'P&amp;L'!R12-R6</f>
        <v>218.51342829216685</v>
      </c>
      <c r="S25" s="165">
        <f>'P&amp;L'!S12-S6</f>
        <v>218.51342829216685</v>
      </c>
    </row>
    <row r="26" spans="2:19" s="23" customFormat="1" ht="11.4" x14ac:dyDescent="0.2">
      <c r="B26" s="40" t="s">
        <v>263</v>
      </c>
      <c r="C26" s="159"/>
      <c r="D26" s="180">
        <f>'P&amp;L'!D13</f>
        <v>0</v>
      </c>
      <c r="E26" s="180">
        <f>'P&amp;L'!E13</f>
        <v>98.132000000000005</v>
      </c>
      <c r="F26" s="180">
        <f>'P&amp;L'!F13</f>
        <v>279.178</v>
      </c>
      <c r="G26" s="180">
        <f>'P&amp;L'!G13</f>
        <v>100.24299999999999</v>
      </c>
      <c r="H26" s="165">
        <f>'P&amp;L'!H13</f>
        <v>0</v>
      </c>
      <c r="I26" s="165">
        <f t="shared" si="17"/>
        <v>100.24299999999999</v>
      </c>
      <c r="J26" s="165">
        <f>'P&amp;L'!J13</f>
        <v>0</v>
      </c>
      <c r="K26" s="165">
        <f>'P&amp;L'!K13</f>
        <v>0</v>
      </c>
      <c r="L26" s="165">
        <f>'P&amp;L'!L13</f>
        <v>0</v>
      </c>
      <c r="M26" s="165">
        <f>'P&amp;L'!M13</f>
        <v>0</v>
      </c>
      <c r="N26" s="165">
        <f>'P&amp;L'!N13</f>
        <v>0</v>
      </c>
      <c r="O26" s="165">
        <f>'P&amp;L'!O13</f>
        <v>0</v>
      </c>
      <c r="P26" s="165">
        <f>'P&amp;L'!P13</f>
        <v>0</v>
      </c>
      <c r="Q26" s="165">
        <f>'P&amp;L'!Q13</f>
        <v>0</v>
      </c>
      <c r="R26" s="165">
        <f>'P&amp;L'!R13</f>
        <v>0</v>
      </c>
      <c r="S26" s="165">
        <f>'P&amp;L'!S13</f>
        <v>0</v>
      </c>
    </row>
    <row r="27" spans="2:19" s="23" customFormat="1" ht="3.75" customHeight="1" x14ac:dyDescent="0.2">
      <c r="B27" s="40"/>
      <c r="C27" s="159"/>
      <c r="D27" s="187"/>
      <c r="E27" s="187"/>
      <c r="F27" s="187"/>
      <c r="G27" s="188"/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</row>
    <row r="28" spans="2:19" s="23" customFormat="1" ht="12.6" thickBot="1" x14ac:dyDescent="0.3">
      <c r="B28" s="42" t="s">
        <v>133</v>
      </c>
      <c r="C28" s="158"/>
      <c r="D28" s="190">
        <f t="shared" ref="D28:H28" si="18">SUM(D20:D27)</f>
        <v>-708.80499999999984</v>
      </c>
      <c r="E28" s="190">
        <f t="shared" si="18"/>
        <v>2196.3079999999995</v>
      </c>
      <c r="F28" s="190">
        <f t="shared" si="18"/>
        <v>-25.302000000001385</v>
      </c>
      <c r="G28" s="192">
        <f t="shared" si="18"/>
        <v>-1131.4899999999968</v>
      </c>
      <c r="H28" s="192">
        <f t="shared" si="18"/>
        <v>2572.3362778555861</v>
      </c>
      <c r="I28" s="192">
        <f t="shared" ref="I28:J28" si="19">SUM(I20:I27)</f>
        <v>1440.8462778555888</v>
      </c>
      <c r="J28" s="192">
        <f t="shared" si="19"/>
        <v>-514.51912621877113</v>
      </c>
      <c r="K28" s="192">
        <f t="shared" ref="K28:N28" si="20">SUM(K20:K27)</f>
        <v>9680.8066481644837</v>
      </c>
      <c r="L28" s="192">
        <f t="shared" si="20"/>
        <v>8141.2350243172032</v>
      </c>
      <c r="M28" s="192">
        <f t="shared" si="20"/>
        <v>10328.656246746572</v>
      </c>
      <c r="N28" s="192">
        <f t="shared" si="20"/>
        <v>2519.94437416446</v>
      </c>
      <c r="O28" s="192">
        <f t="shared" ref="O28:S28" si="21">SUM(O20:O27)</f>
        <v>2856.6025579702573</v>
      </c>
      <c r="P28" s="192">
        <f t="shared" si="21"/>
        <v>1064.6957240714701</v>
      </c>
      <c r="Q28" s="192">
        <f t="shared" si="21"/>
        <v>1136.0990753769947</v>
      </c>
      <c r="R28" s="192">
        <f t="shared" si="21"/>
        <v>120.44417795832578</v>
      </c>
      <c r="S28" s="192">
        <f t="shared" si="21"/>
        <v>108.79352250618194</v>
      </c>
    </row>
    <row r="30" spans="2:19" x14ac:dyDescent="0.25">
      <c r="B30" s="37" t="s">
        <v>134</v>
      </c>
      <c r="C30" s="37"/>
      <c r="D30" s="37">
        <f>C32</f>
        <v>1905.713</v>
      </c>
      <c r="E30" s="37">
        <f t="shared" ref="E30:S30" si="22">D32</f>
        <v>1196.9080000000001</v>
      </c>
      <c r="F30" s="37">
        <f t="shared" si="22"/>
        <v>3393.2159999999994</v>
      </c>
      <c r="G30" s="37">
        <f t="shared" si="22"/>
        <v>3367.9139999999979</v>
      </c>
      <c r="H30" s="37">
        <f t="shared" si="22"/>
        <v>2236.4240000000009</v>
      </c>
      <c r="I30" s="37">
        <f>G30</f>
        <v>3367.9139999999979</v>
      </c>
      <c r="J30" s="37">
        <f t="shared" si="22"/>
        <v>4808.7602778555865</v>
      </c>
      <c r="K30" s="37">
        <f t="shared" si="22"/>
        <v>4294.2411516368156</v>
      </c>
      <c r="L30" s="37">
        <f t="shared" si="22"/>
        <v>13975.047799801299</v>
      </c>
      <c r="M30" s="37">
        <f t="shared" si="22"/>
        <v>22116.282824118502</v>
      </c>
      <c r="N30" s="37">
        <f t="shared" si="22"/>
        <v>32444.939070865075</v>
      </c>
      <c r="O30" s="37">
        <f t="shared" si="22"/>
        <v>34964.883445029533</v>
      </c>
      <c r="P30" s="37">
        <f t="shared" si="22"/>
        <v>37821.486002999787</v>
      </c>
      <c r="Q30" s="37">
        <f t="shared" si="22"/>
        <v>38886.181727071256</v>
      </c>
      <c r="R30" s="37">
        <f t="shared" si="22"/>
        <v>40022.280802448251</v>
      </c>
      <c r="S30" s="37">
        <f t="shared" si="22"/>
        <v>40142.72498040658</v>
      </c>
    </row>
    <row r="31" spans="2:19" x14ac:dyDescent="0.25">
      <c r="B31" s="37" t="s">
        <v>133</v>
      </c>
      <c r="C31" s="37">
        <f t="shared" ref="C31:K31" si="23">C28</f>
        <v>0</v>
      </c>
      <c r="D31" s="37">
        <f t="shared" si="23"/>
        <v>-708.80499999999984</v>
      </c>
      <c r="E31" s="37">
        <f t="shared" si="23"/>
        <v>2196.3079999999995</v>
      </c>
      <c r="F31" s="37">
        <f t="shared" si="23"/>
        <v>-25.302000000001385</v>
      </c>
      <c r="G31" s="37">
        <f t="shared" si="23"/>
        <v>-1131.4899999999968</v>
      </c>
      <c r="H31" s="37">
        <f t="shared" si="23"/>
        <v>2572.3362778555861</v>
      </c>
      <c r="I31" s="37">
        <f t="shared" si="23"/>
        <v>1440.8462778555888</v>
      </c>
      <c r="J31" s="37">
        <f t="shared" si="23"/>
        <v>-514.51912621877113</v>
      </c>
      <c r="K31" s="37">
        <f t="shared" si="23"/>
        <v>9680.8066481644837</v>
      </c>
      <c r="L31" s="37">
        <f t="shared" ref="L31:N31" si="24">L28</f>
        <v>8141.2350243172032</v>
      </c>
      <c r="M31" s="37">
        <f t="shared" si="24"/>
        <v>10328.656246746572</v>
      </c>
      <c r="N31" s="37">
        <f t="shared" si="24"/>
        <v>2519.94437416446</v>
      </c>
      <c r="O31" s="37">
        <f t="shared" ref="O31:S31" si="25">O28</f>
        <v>2856.6025579702573</v>
      </c>
      <c r="P31" s="37">
        <f t="shared" si="25"/>
        <v>1064.6957240714701</v>
      </c>
      <c r="Q31" s="37">
        <f t="shared" si="25"/>
        <v>1136.0990753769947</v>
      </c>
      <c r="R31" s="37">
        <f t="shared" si="25"/>
        <v>120.44417795832578</v>
      </c>
      <c r="S31" s="37">
        <f t="shared" si="25"/>
        <v>108.79352250618194</v>
      </c>
    </row>
    <row r="32" spans="2:19" x14ac:dyDescent="0.25">
      <c r="B32" s="37" t="s">
        <v>135</v>
      </c>
      <c r="C32" s="37">
        <f>'Balance Sheet'!C5</f>
        <v>1905.713</v>
      </c>
      <c r="D32" s="37">
        <f>D30+D31</f>
        <v>1196.9080000000001</v>
      </c>
      <c r="E32" s="37">
        <f t="shared" ref="E32:N32" si="26">E30+E31</f>
        <v>3393.2159999999994</v>
      </c>
      <c r="F32" s="37">
        <f t="shared" si="26"/>
        <v>3367.9139999999979</v>
      </c>
      <c r="G32" s="37">
        <f t="shared" si="26"/>
        <v>2236.4240000000009</v>
      </c>
      <c r="H32" s="37">
        <f t="shared" si="26"/>
        <v>4808.7602778555865</v>
      </c>
      <c r="I32" s="37">
        <f t="shared" si="26"/>
        <v>4808.7602778555865</v>
      </c>
      <c r="J32" s="37">
        <f t="shared" si="26"/>
        <v>4294.2411516368156</v>
      </c>
      <c r="K32" s="37">
        <f t="shared" si="26"/>
        <v>13975.047799801299</v>
      </c>
      <c r="L32" s="37">
        <f t="shared" si="26"/>
        <v>22116.282824118502</v>
      </c>
      <c r="M32" s="37">
        <f t="shared" si="26"/>
        <v>32444.939070865075</v>
      </c>
      <c r="N32" s="37">
        <f t="shared" si="26"/>
        <v>34964.883445029533</v>
      </c>
      <c r="O32" s="37">
        <f t="shared" ref="O32:S32" si="27">O30+O31</f>
        <v>37821.486002999787</v>
      </c>
      <c r="P32" s="37">
        <f t="shared" si="27"/>
        <v>38886.181727071256</v>
      </c>
      <c r="Q32" s="37">
        <f t="shared" si="27"/>
        <v>40022.280802448251</v>
      </c>
      <c r="R32" s="37">
        <f t="shared" si="27"/>
        <v>40142.72498040658</v>
      </c>
      <c r="S32" s="37">
        <f t="shared" si="27"/>
        <v>40251.518502912761</v>
      </c>
    </row>
    <row r="33" spans="2:19" x14ac:dyDescent="0.25"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</row>
    <row r="34" spans="2:19" outlineLevel="1" x14ac:dyDescent="0.25">
      <c r="B34" s="214" t="s">
        <v>117</v>
      </c>
      <c r="C34" s="214">
        <f>'Balance Sheet'!C5-C32</f>
        <v>0</v>
      </c>
      <c r="D34" s="214">
        <f>'Balance Sheet'!D5-D32</f>
        <v>0</v>
      </c>
      <c r="E34" s="214">
        <f>'Balance Sheet'!E5-E32</f>
        <v>0</v>
      </c>
      <c r="F34" s="214">
        <f>'Balance Sheet'!F5-F32</f>
        <v>0</v>
      </c>
      <c r="G34" s="214">
        <f>'Balance Sheet'!G5-G32</f>
        <v>0</v>
      </c>
      <c r="H34" s="214">
        <f>'Balance Sheet'!I5-H32</f>
        <v>0</v>
      </c>
      <c r="I34" s="214">
        <f>'Balance Sheet'!I5-I32</f>
        <v>0</v>
      </c>
      <c r="J34" s="214">
        <f>'Balance Sheet'!J5-J32</f>
        <v>0</v>
      </c>
      <c r="K34" s="214">
        <f>'Balance Sheet'!K5-K32</f>
        <v>0</v>
      </c>
      <c r="L34" s="214">
        <f>'Balance Sheet'!L5-L32</f>
        <v>0</v>
      </c>
      <c r="M34" s="214">
        <f>'Balance Sheet'!M5-M32</f>
        <v>0</v>
      </c>
      <c r="N34" s="214">
        <f>'Balance Sheet'!N5-N32</f>
        <v>0</v>
      </c>
      <c r="O34" s="214">
        <f>'Balance Sheet'!O5-O32</f>
        <v>0</v>
      </c>
      <c r="P34" s="214">
        <f>'Balance Sheet'!P5-P32</f>
        <v>0</v>
      </c>
      <c r="Q34" s="214">
        <f>'Balance Sheet'!Q5-Q32</f>
        <v>0</v>
      </c>
      <c r="R34" s="214">
        <f>'Balance Sheet'!R5-R32</f>
        <v>0</v>
      </c>
      <c r="S34" s="214">
        <f>'Balance Sheet'!S5-S32</f>
        <v>0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howOutlineSymbols="0"/>
  </sheetPr>
  <dimension ref="B1:S22"/>
  <sheetViews>
    <sheetView showOutlineSymbols="0" workbookViewId="0">
      <selection activeCell="H6" sqref="H6"/>
    </sheetView>
  </sheetViews>
  <sheetFormatPr defaultColWidth="9.109375" defaultRowHeight="11.4" outlineLevelRow="1" x14ac:dyDescent="0.2"/>
  <cols>
    <col min="1" max="1" width="2" style="49" customWidth="1"/>
    <col min="2" max="2" width="22.6640625" style="49" customWidth="1"/>
    <col min="3" max="12" width="9.77734375" style="49" customWidth="1"/>
    <col min="13" max="18" width="9.109375" style="49"/>
    <col min="19" max="19" width="9.77734375" style="49" bestFit="1" customWidth="1"/>
    <col min="20" max="16384" width="9.109375" style="49"/>
  </cols>
  <sheetData>
    <row r="1" spans="2:19" ht="15.6" x14ac:dyDescent="0.3">
      <c r="B1" s="48" t="s">
        <v>144</v>
      </c>
    </row>
    <row r="2" spans="2:19" ht="12" thickBot="1" x14ac:dyDescent="0.25"/>
    <row r="3" spans="2:19" ht="13.2" thickTop="1" thickBot="1" x14ac:dyDescent="0.3">
      <c r="B3" s="50" t="s">
        <v>145</v>
      </c>
      <c r="C3" s="51">
        <f>Drivers!C13</f>
        <v>0.02</v>
      </c>
      <c r="D3" s="49" t="s">
        <v>76</v>
      </c>
    </row>
    <row r="4" spans="2:19" ht="12" outlineLevel="1" thickTop="1" x14ac:dyDescent="0.2">
      <c r="H4" s="49">
        <v>0.5</v>
      </c>
      <c r="J4" s="49">
        <v>1.5</v>
      </c>
      <c r="K4" s="49">
        <v>2.5</v>
      </c>
      <c r="L4" s="49">
        <v>3.5</v>
      </c>
      <c r="M4" s="49">
        <v>4.5</v>
      </c>
      <c r="N4" s="49">
        <v>5.5</v>
      </c>
      <c r="O4" s="49">
        <v>6.5</v>
      </c>
      <c r="P4" s="49">
        <v>7.5</v>
      </c>
      <c r="Q4" s="49">
        <v>8.5</v>
      </c>
      <c r="R4" s="49">
        <v>9.5</v>
      </c>
      <c r="S4" s="49">
        <v>10.5</v>
      </c>
    </row>
    <row r="5" spans="2:19" ht="28.5" customHeight="1" x14ac:dyDescent="0.25">
      <c r="B5" s="5" t="s">
        <v>260</v>
      </c>
      <c r="C5" s="6" t="s">
        <v>45</v>
      </c>
      <c r="D5" s="6" t="s">
        <v>46</v>
      </c>
      <c r="E5" s="6" t="s">
        <v>47</v>
      </c>
      <c r="F5" s="6" t="s">
        <v>165</v>
      </c>
      <c r="G5" s="6" t="s">
        <v>173</v>
      </c>
      <c r="H5" s="98" t="s">
        <v>184</v>
      </c>
      <c r="I5" s="98"/>
      <c r="J5" s="98" t="s">
        <v>185</v>
      </c>
      <c r="K5" s="98" t="s">
        <v>186</v>
      </c>
      <c r="L5" s="98" t="s">
        <v>187</v>
      </c>
      <c r="M5" s="98" t="s">
        <v>188</v>
      </c>
      <c r="N5" s="98" t="s">
        <v>189</v>
      </c>
      <c r="O5" s="98" t="s">
        <v>269</v>
      </c>
      <c r="P5" s="98" t="s">
        <v>270</v>
      </c>
      <c r="Q5" s="98" t="s">
        <v>271</v>
      </c>
      <c r="R5" s="98" t="s">
        <v>272</v>
      </c>
      <c r="S5" s="98" t="s">
        <v>273</v>
      </c>
    </row>
    <row r="6" spans="2:19" x14ac:dyDescent="0.2">
      <c r="B6" s="49" t="s">
        <v>130</v>
      </c>
      <c r="C6" s="52"/>
      <c r="D6" s="52"/>
      <c r="E6" s="52"/>
      <c r="F6" s="52"/>
      <c r="G6" s="52"/>
      <c r="H6" s="149">
        <f>'Cash Flow'!H20</f>
        <v>2972.7125278555859</v>
      </c>
      <c r="I6" s="149"/>
      <c r="J6" s="149">
        <f>'Cash Flow'!J20</f>
        <v>-396.63584819261541</v>
      </c>
      <c r="K6" s="149">
        <f>'Cash Flow'!K20</f>
        <v>10190.671314179541</v>
      </c>
      <c r="L6" s="149">
        <f>'Cash Flow'!L20</f>
        <v>8651.0996903322593</v>
      </c>
      <c r="M6" s="149">
        <f>'Cash Flow'!M20</f>
        <v>10838.520912761629</v>
      </c>
      <c r="N6" s="149">
        <f>'Cash Flow'!N20</f>
        <v>3029.8090401795162</v>
      </c>
      <c r="O6" s="149">
        <f>'Cash Flow'!O20</f>
        <v>3366.4672239853135</v>
      </c>
      <c r="P6" s="149">
        <f>'Cash Flow'!P20</f>
        <v>1574.5603900865262</v>
      </c>
      <c r="Q6" s="149">
        <f>'Cash Flow'!Q20</f>
        <v>1645.9637413920509</v>
      </c>
      <c r="R6" s="149">
        <f>'Cash Flow'!R20</f>
        <v>630.30884397338195</v>
      </c>
      <c r="S6" s="149">
        <f>'Cash Flow'!S20</f>
        <v>618.65818852123812</v>
      </c>
    </row>
    <row r="7" spans="2:19" x14ac:dyDescent="0.2">
      <c r="B7" s="49" t="s">
        <v>281</v>
      </c>
      <c r="C7" s="52"/>
      <c r="D7" s="52"/>
      <c r="E7" s="52"/>
      <c r="F7" s="52"/>
      <c r="G7" s="52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>
        <f>S6*(1+$C$3)/(S9-C3)</f>
        <v>14599.118024578256</v>
      </c>
    </row>
    <row r="8" spans="2:19" x14ac:dyDescent="0.2">
      <c r="C8" s="52"/>
      <c r="D8" s="52"/>
      <c r="E8" s="52"/>
      <c r="F8" s="52"/>
      <c r="G8" s="52"/>
      <c r="H8" s="149"/>
      <c r="I8" s="149"/>
      <c r="J8" s="149"/>
      <c r="K8" s="149"/>
      <c r="L8" s="150"/>
      <c r="M8" s="150"/>
      <c r="N8" s="150"/>
      <c r="O8" s="150"/>
      <c r="P8" s="150"/>
      <c r="Q8" s="150"/>
      <c r="R8" s="150"/>
      <c r="S8" s="150"/>
    </row>
    <row r="9" spans="2:19" x14ac:dyDescent="0.2">
      <c r="B9" s="49" t="s">
        <v>146</v>
      </c>
      <c r="C9" s="52"/>
      <c r="D9" s="52"/>
      <c r="E9" s="52"/>
      <c r="F9" s="52"/>
      <c r="G9" s="52"/>
      <c r="H9" s="151">
        <f>WACC!G24</f>
        <v>5.7865791147052703E-2</v>
      </c>
      <c r="I9" s="151"/>
      <c r="J9" s="151">
        <f>WACC!J24</f>
        <v>5.7039060804265573E-2</v>
      </c>
      <c r="K9" s="151">
        <f>WACC!K24</f>
        <v>5.7390182483265995E-2</v>
      </c>
      <c r="L9" s="151">
        <f>WACC!L24</f>
        <v>5.8070501693721827E-2</v>
      </c>
      <c r="M9" s="151">
        <f>WACC!M24</f>
        <v>5.9029581421996213E-2</v>
      </c>
      <c r="N9" s="151">
        <f>WACC!N24</f>
        <v>5.9923543321073511E-2</v>
      </c>
      <c r="O9" s="151">
        <f>WACC!O24</f>
        <v>6.0753602268639857E-2</v>
      </c>
      <c r="P9" s="151">
        <f>WACC!P24</f>
        <v>6.1490132770116765E-2</v>
      </c>
      <c r="Q9" s="151">
        <f>WACC!Q24</f>
        <v>6.2146887925761472E-2</v>
      </c>
      <c r="R9" s="151">
        <f>WACC!R24</f>
        <v>6.2719863089059025E-2</v>
      </c>
      <c r="S9" s="151">
        <f>WACC!S24</f>
        <v>6.3223936626123162E-2</v>
      </c>
    </row>
    <row r="10" spans="2:19" ht="12" x14ac:dyDescent="0.25">
      <c r="B10" s="57" t="s">
        <v>147</v>
      </c>
      <c r="C10" s="58"/>
      <c r="D10" s="58"/>
      <c r="E10" s="58"/>
      <c r="F10" s="58"/>
      <c r="G10" s="58"/>
      <c r="H10" s="152">
        <f>H6/(1+H9)^H4</f>
        <v>2890.2647533467552</v>
      </c>
      <c r="I10" s="152"/>
      <c r="J10" s="152">
        <f t="shared" ref="J10:S10" si="0">J6/(1+J9)^J4</f>
        <v>-364.96852240387398</v>
      </c>
      <c r="K10" s="152">
        <f t="shared" si="0"/>
        <v>8863.6910442593144</v>
      </c>
      <c r="L10" s="152">
        <f t="shared" si="0"/>
        <v>7100.1936389874472</v>
      </c>
      <c r="M10" s="152">
        <f t="shared" si="0"/>
        <v>8373.0485484076617</v>
      </c>
      <c r="N10" s="152">
        <f t="shared" si="0"/>
        <v>2199.9119202245206</v>
      </c>
      <c r="O10" s="152">
        <f t="shared" si="0"/>
        <v>2294.4576239403036</v>
      </c>
      <c r="P10" s="152">
        <f t="shared" si="0"/>
        <v>1006.4439904165923</v>
      </c>
      <c r="Q10" s="152">
        <f t="shared" si="0"/>
        <v>985.94190535731673</v>
      </c>
      <c r="R10" s="152">
        <f t="shared" si="0"/>
        <v>353.65094274099579</v>
      </c>
      <c r="S10" s="152">
        <f t="shared" si="0"/>
        <v>325.00567071245041</v>
      </c>
    </row>
    <row r="11" spans="2:19" x14ac:dyDescent="0.2">
      <c r="B11" s="49" t="s">
        <v>294</v>
      </c>
      <c r="C11" s="52"/>
      <c r="D11" s="52"/>
      <c r="E11" s="52"/>
      <c r="F11" s="52"/>
      <c r="G11" s="52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49">
        <f>S7/(1+S9)^S4</f>
        <v>7669.4954231990978</v>
      </c>
    </row>
    <row r="13" spans="2:19" ht="12" x14ac:dyDescent="0.25">
      <c r="B13" s="225" t="s">
        <v>148</v>
      </c>
      <c r="C13" s="225"/>
      <c r="D13" s="225"/>
      <c r="E13" s="225"/>
      <c r="F13" s="225"/>
      <c r="G13" s="225"/>
      <c r="H13" s="225"/>
      <c r="I13" s="225"/>
      <c r="J13" s="225"/>
      <c r="K13" s="225"/>
    </row>
    <row r="14" spans="2:19" x14ac:dyDescent="0.2">
      <c r="B14" s="49" t="s">
        <v>149</v>
      </c>
      <c r="E14" s="54"/>
      <c r="F14" s="54">
        <f>SUM(G10:L10)</f>
        <v>18489.180914189641</v>
      </c>
      <c r="G14" s="60">
        <f>F14/$F$17</f>
        <v>0.70680873434574187</v>
      </c>
      <c r="H14" s="49" t="s">
        <v>150</v>
      </c>
    </row>
    <row r="15" spans="2:19" x14ac:dyDescent="0.2">
      <c r="B15" s="49" t="s">
        <v>151</v>
      </c>
      <c r="E15" s="54"/>
      <c r="F15" s="54">
        <f>S7</f>
        <v>14599.118024578256</v>
      </c>
    </row>
    <row r="16" spans="2:19" x14ac:dyDescent="0.2">
      <c r="B16" s="49" t="s">
        <v>152</v>
      </c>
      <c r="E16" s="54"/>
      <c r="F16" s="54">
        <f>S11</f>
        <v>7669.4954231990978</v>
      </c>
      <c r="G16" s="60">
        <f>F16/$F$17</f>
        <v>0.29319126565425813</v>
      </c>
      <c r="H16" s="49" t="s">
        <v>150</v>
      </c>
    </row>
    <row r="17" spans="2:7" ht="12" x14ac:dyDescent="0.25">
      <c r="B17" s="53" t="s">
        <v>153</v>
      </c>
      <c r="C17" s="53"/>
      <c r="D17" s="53"/>
      <c r="E17" s="55"/>
      <c r="F17" s="55">
        <f>F16+F14</f>
        <v>26158.676337388737</v>
      </c>
    </row>
    <row r="18" spans="2:7" x14ac:dyDescent="0.2">
      <c r="B18" s="56" t="s">
        <v>154</v>
      </c>
      <c r="E18" s="54"/>
      <c r="F18" s="54">
        <f>'Balance Sheet'!S5</f>
        <v>40251.518502912761</v>
      </c>
      <c r="G18" s="54"/>
    </row>
    <row r="19" spans="2:7" x14ac:dyDescent="0.2">
      <c r="B19" s="56" t="s">
        <v>155</v>
      </c>
      <c r="E19" s="54"/>
      <c r="F19" s="54">
        <f>'Balance Sheet'!S28</f>
        <v>11814.892924096308</v>
      </c>
    </row>
    <row r="20" spans="2:7" ht="12" x14ac:dyDescent="0.25">
      <c r="B20" s="53" t="s">
        <v>156</v>
      </c>
      <c r="C20" s="53"/>
      <c r="D20" s="53"/>
      <c r="E20" s="55"/>
      <c r="F20" s="55">
        <f>F17+F18-F19</f>
        <v>54595.301916205193</v>
      </c>
    </row>
    <row r="21" spans="2:7" x14ac:dyDescent="0.2">
      <c r="B21" s="49" t="s">
        <v>160</v>
      </c>
      <c r="F21" s="54">
        <v>168.07</v>
      </c>
    </row>
    <row r="22" spans="2:7" ht="12" x14ac:dyDescent="0.25">
      <c r="B22" s="61" t="s">
        <v>161</v>
      </c>
      <c r="C22" s="61"/>
      <c r="D22" s="61"/>
      <c r="E22" s="61"/>
      <c r="F22" s="61">
        <f>F20/F21</f>
        <v>324.83668659609208</v>
      </c>
    </row>
  </sheetData>
  <mergeCells count="1">
    <mergeCell ref="B13:K13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workbookViewId="0">
      <selection activeCell="G16" sqref="G16"/>
    </sheetView>
  </sheetViews>
  <sheetFormatPr defaultColWidth="9.109375" defaultRowHeight="13.2" x14ac:dyDescent="0.2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546875" style="1" customWidth="1"/>
    <col min="7" max="7" width="11.44140625" style="1" bestFit="1" customWidth="1"/>
    <col min="8" max="16384" width="9.109375" style="1"/>
  </cols>
  <sheetData>
    <row r="1" spans="2:7" ht="15.6" x14ac:dyDescent="0.25">
      <c r="B1" s="2" t="s">
        <v>166</v>
      </c>
    </row>
    <row r="3" spans="2:7" ht="24" x14ac:dyDescent="0.25">
      <c r="B3" s="5" t="s">
        <v>37</v>
      </c>
      <c r="C3" s="6" t="s">
        <v>45</v>
      </c>
      <c r="D3" s="6" t="s">
        <v>46</v>
      </c>
      <c r="E3" s="6" t="s">
        <v>47</v>
      </c>
      <c r="F3" s="6" t="s">
        <v>165</v>
      </c>
      <c r="G3" s="98" t="s">
        <v>173</v>
      </c>
    </row>
    <row r="4" spans="2:7" x14ac:dyDescent="0.25">
      <c r="B4" s="7" t="s">
        <v>80</v>
      </c>
      <c r="C4" s="71">
        <v>3007012</v>
      </c>
      <c r="D4" s="71">
        <v>3740973</v>
      </c>
      <c r="E4" s="71">
        <v>6350766</v>
      </c>
      <c r="F4" s="71">
        <v>9641300</v>
      </c>
      <c r="G4" s="72">
        <v>6092998</v>
      </c>
    </row>
    <row r="5" spans="2:7" x14ac:dyDescent="0.25">
      <c r="B5" s="8" t="s">
        <v>3</v>
      </c>
      <c r="C5" s="73">
        <v>4208</v>
      </c>
      <c r="D5" s="73">
        <v>14477</v>
      </c>
      <c r="E5" s="73">
        <v>181394</v>
      </c>
      <c r="F5" s="73">
        <v>1116266</v>
      </c>
      <c r="G5" s="74">
        <v>784430</v>
      </c>
    </row>
    <row r="6" spans="2:7" x14ac:dyDescent="0.25">
      <c r="B6" s="8" t="s">
        <v>2</v>
      </c>
      <c r="C6" s="73">
        <v>187136</v>
      </c>
      <c r="D6" s="73">
        <v>290575</v>
      </c>
      <c r="E6" s="73">
        <v>467972</v>
      </c>
      <c r="F6" s="73">
        <v>1001185</v>
      </c>
      <c r="G6" s="74">
        <v>533554</v>
      </c>
    </row>
    <row r="7" spans="2:7" x14ac:dyDescent="0.25">
      <c r="B7" s="9" t="s">
        <v>0</v>
      </c>
      <c r="C7" s="75">
        <f>SUM(C4:C6)</f>
        <v>3198356</v>
      </c>
      <c r="D7" s="75">
        <f>SUM(D4:D6)</f>
        <v>4046025</v>
      </c>
      <c r="E7" s="75">
        <f>SUM(E4:E6)</f>
        <v>7000132</v>
      </c>
      <c r="F7" s="75">
        <f>SUM(F4:F6)</f>
        <v>11758751</v>
      </c>
      <c r="G7" s="76">
        <f>SUM(G4:G6)</f>
        <v>7410982</v>
      </c>
    </row>
    <row r="8" spans="2:7" x14ac:dyDescent="0.25">
      <c r="B8" s="8" t="s">
        <v>42</v>
      </c>
      <c r="C8" s="73">
        <v>-2145749</v>
      </c>
      <c r="D8" s="73">
        <v>-2823302</v>
      </c>
      <c r="E8" s="73">
        <v>-4750081</v>
      </c>
      <c r="F8" s="73">
        <v>-7432704</v>
      </c>
      <c r="G8" s="74">
        <v>-4862547</v>
      </c>
    </row>
    <row r="9" spans="2:7" x14ac:dyDescent="0.25">
      <c r="B9" s="8" t="s">
        <v>40</v>
      </c>
      <c r="C9" s="73">
        <v>-4005</v>
      </c>
      <c r="D9" s="73">
        <v>-12287</v>
      </c>
      <c r="E9" s="73">
        <v>-178332</v>
      </c>
      <c r="F9" s="73">
        <v>-874538</v>
      </c>
      <c r="G9" s="74">
        <v>-705636</v>
      </c>
    </row>
    <row r="10" spans="2:7" x14ac:dyDescent="0.25">
      <c r="B10" s="8" t="s">
        <v>41</v>
      </c>
      <c r="C10" s="73">
        <v>-166931</v>
      </c>
      <c r="D10" s="73">
        <v>-286933</v>
      </c>
      <c r="E10" s="73">
        <v>-472462</v>
      </c>
      <c r="F10" s="73">
        <v>-1229022</v>
      </c>
      <c r="G10" s="74">
        <v>-767343</v>
      </c>
    </row>
    <row r="11" spans="2:7" x14ac:dyDescent="0.25">
      <c r="B11" s="9" t="s">
        <v>1</v>
      </c>
      <c r="C11" s="75">
        <f>SUM(C7:C10)</f>
        <v>881671</v>
      </c>
      <c r="D11" s="75">
        <f>SUM(D7:D10)</f>
        <v>923503</v>
      </c>
      <c r="E11" s="75">
        <f>SUM(E7:E10)</f>
        <v>1599257</v>
      </c>
      <c r="F11" s="75">
        <f>SUM(F7:F10)</f>
        <v>2222487</v>
      </c>
      <c r="G11" s="76">
        <f>SUM(G7:G10)</f>
        <v>1075456</v>
      </c>
    </row>
    <row r="12" spans="2:7" x14ac:dyDescent="0.25">
      <c r="B12" s="8" t="s">
        <v>4</v>
      </c>
      <c r="C12" s="73">
        <v>-464700</v>
      </c>
      <c r="D12" s="73">
        <v>-717900</v>
      </c>
      <c r="E12" s="73">
        <v>-834408</v>
      </c>
      <c r="F12" s="73">
        <v>-1378073</v>
      </c>
      <c r="G12" s="74">
        <v>-753225</v>
      </c>
    </row>
    <row r="13" spans="2:7" x14ac:dyDescent="0.25">
      <c r="B13" s="8" t="s">
        <v>33</v>
      </c>
      <c r="C13" s="73">
        <v>-603660</v>
      </c>
      <c r="D13" s="73">
        <v>-922232</v>
      </c>
      <c r="E13" s="73">
        <v>-1432189</v>
      </c>
      <c r="F13" s="73">
        <v>-2476500</v>
      </c>
      <c r="G13" s="74">
        <v>-1437163</v>
      </c>
    </row>
    <row r="14" spans="2:7" x14ac:dyDescent="0.25">
      <c r="B14" s="8" t="s">
        <v>170</v>
      </c>
      <c r="C14" s="73"/>
      <c r="D14" s="73"/>
      <c r="E14" s="73"/>
      <c r="F14" s="73"/>
      <c r="G14" s="74">
        <v>-103434</v>
      </c>
    </row>
    <row r="15" spans="2:7" x14ac:dyDescent="0.25">
      <c r="B15" s="9" t="s">
        <v>43</v>
      </c>
      <c r="C15" s="75">
        <f t="shared" ref="C15:F15" si="0">SUM(C11:C14)</f>
        <v>-186689</v>
      </c>
      <c r="D15" s="75">
        <f t="shared" si="0"/>
        <v>-716629</v>
      </c>
      <c r="E15" s="75">
        <f t="shared" si="0"/>
        <v>-667340</v>
      </c>
      <c r="F15" s="75">
        <f t="shared" si="0"/>
        <v>-1632086</v>
      </c>
      <c r="G15" s="76">
        <f>SUM(G11:G14)</f>
        <v>-1218366</v>
      </c>
    </row>
    <row r="16" spans="2:7" x14ac:dyDescent="0.25">
      <c r="B16" s="8" t="s">
        <v>34</v>
      </c>
      <c r="C16" s="73">
        <v>1126</v>
      </c>
      <c r="D16" s="73">
        <v>1508</v>
      </c>
      <c r="E16" s="73">
        <v>8530</v>
      </c>
      <c r="F16" s="73">
        <v>19686</v>
      </c>
      <c r="G16" s="74">
        <v>10278</v>
      </c>
    </row>
    <row r="17" spans="2:7" x14ac:dyDescent="0.25">
      <c r="B17" s="8" t="s">
        <v>5</v>
      </c>
      <c r="C17" s="73">
        <v>-100886</v>
      </c>
      <c r="D17" s="73">
        <v>-118851</v>
      </c>
      <c r="E17" s="73">
        <v>-198810</v>
      </c>
      <c r="F17" s="73">
        <v>-471259</v>
      </c>
      <c r="G17" s="74">
        <v>-313128</v>
      </c>
    </row>
    <row r="18" spans="2:7" x14ac:dyDescent="0.25">
      <c r="B18" s="8" t="s">
        <v>35</v>
      </c>
      <c r="C18" s="73">
        <v>1813</v>
      </c>
      <c r="D18" s="73">
        <v>-41652</v>
      </c>
      <c r="E18" s="73">
        <v>111272</v>
      </c>
      <c r="F18" s="73">
        <v>-125373</v>
      </c>
      <c r="G18" s="74">
        <v>13195</v>
      </c>
    </row>
    <row r="19" spans="2:7" x14ac:dyDescent="0.25">
      <c r="B19" s="9" t="s">
        <v>44</v>
      </c>
      <c r="C19" s="75">
        <f>SUM(C15:C18)</f>
        <v>-284636</v>
      </c>
      <c r="D19" s="75">
        <f>SUM(D15:D18)</f>
        <v>-875624</v>
      </c>
      <c r="E19" s="75">
        <f>SUM(E15:E18)</f>
        <v>-746348</v>
      </c>
      <c r="F19" s="75">
        <f>SUM(F15:F18)</f>
        <v>-2209032</v>
      </c>
      <c r="G19" s="76">
        <f>SUM(G15:G18)</f>
        <v>-1508021</v>
      </c>
    </row>
    <row r="20" spans="2:7" x14ac:dyDescent="0.25">
      <c r="B20" s="8" t="s">
        <v>6</v>
      </c>
      <c r="C20" s="73">
        <v>-9404</v>
      </c>
      <c r="D20" s="73">
        <v>-13039</v>
      </c>
      <c r="E20" s="73">
        <v>-26698</v>
      </c>
      <c r="F20" s="73">
        <v>-31546</v>
      </c>
      <c r="G20" s="74">
        <v>-19312</v>
      </c>
    </row>
    <row r="21" spans="2:7" x14ac:dyDescent="0.25">
      <c r="B21" s="9" t="s">
        <v>58</v>
      </c>
      <c r="C21" s="75">
        <f>SUM(C19:C20)</f>
        <v>-294040</v>
      </c>
      <c r="D21" s="75">
        <f>SUM(D19:D20)</f>
        <v>-888663</v>
      </c>
      <c r="E21" s="75">
        <f>SUM(E19:E20)</f>
        <v>-773046</v>
      </c>
      <c r="F21" s="75">
        <f>SUM(F19:F20)</f>
        <v>-2240578</v>
      </c>
      <c r="G21" s="76">
        <f>SUM(G19:G20)</f>
        <v>-1527333</v>
      </c>
    </row>
    <row r="22" spans="2:7" s="3" customFormat="1" x14ac:dyDescent="0.25">
      <c r="B22" s="8" t="s">
        <v>59</v>
      </c>
      <c r="C22" s="73">
        <v>0</v>
      </c>
      <c r="D22" s="73">
        <v>0</v>
      </c>
      <c r="E22" s="73">
        <v>98132</v>
      </c>
      <c r="F22" s="73">
        <v>279178</v>
      </c>
      <c r="G22" s="74">
        <v>100243</v>
      </c>
    </row>
    <row r="23" spans="2:7" s="3" customFormat="1" ht="13.8" thickBot="1" x14ac:dyDescent="0.3">
      <c r="B23" s="10" t="s">
        <v>36</v>
      </c>
      <c r="C23" s="77">
        <f>SUM(C21:C22)</f>
        <v>-294040</v>
      </c>
      <c r="D23" s="77">
        <f>SUM(D21:D22)</f>
        <v>-888663</v>
      </c>
      <c r="E23" s="77">
        <f>SUM(E21:E22)</f>
        <v>-674914</v>
      </c>
      <c r="F23" s="77">
        <f>SUM(F21:F22)</f>
        <v>-1961400</v>
      </c>
      <c r="G23" s="78">
        <f>SUM(G21:G22)</f>
        <v>-1427090</v>
      </c>
    </row>
    <row r="25" spans="2:7" x14ac:dyDescent="0.2">
      <c r="B25" s="70" t="s">
        <v>171</v>
      </c>
      <c r="C25" s="69"/>
      <c r="D25" s="69"/>
      <c r="E25" s="69"/>
      <c r="F25" s="69"/>
      <c r="G25" s="69"/>
    </row>
    <row r="26" spans="2:7" x14ac:dyDescent="0.2">
      <c r="B26" s="69" t="s">
        <v>346</v>
      </c>
      <c r="C26" s="79"/>
      <c r="D26" s="79">
        <f t="shared" ref="D26:F28" si="1">D4/C4-1</f>
        <v>0.2440831629537894</v>
      </c>
      <c r="E26" s="79">
        <f t="shared" si="1"/>
        <v>0.69762412078355007</v>
      </c>
      <c r="F26" s="79">
        <f t="shared" si="1"/>
        <v>0.51813182850698647</v>
      </c>
      <c r="G26" s="79"/>
    </row>
    <row r="27" spans="2:7" x14ac:dyDescent="0.2">
      <c r="B27" s="69" t="s">
        <v>347</v>
      </c>
      <c r="C27" s="79"/>
      <c r="D27" s="79">
        <f t="shared" si="1"/>
        <v>2.440351711026616</v>
      </c>
      <c r="E27" s="79">
        <f t="shared" si="1"/>
        <v>11.529805899012226</v>
      </c>
      <c r="F27" s="79">
        <f t="shared" si="1"/>
        <v>5.1538198617374338</v>
      </c>
      <c r="G27" s="79"/>
    </row>
    <row r="28" spans="2:7" x14ac:dyDescent="0.2">
      <c r="B28" s="69" t="s">
        <v>348</v>
      </c>
      <c r="C28" s="79"/>
      <c r="D28" s="79">
        <f t="shared" si="1"/>
        <v>0.55274773426812596</v>
      </c>
      <c r="E28" s="79">
        <f t="shared" si="1"/>
        <v>0.61050331239783184</v>
      </c>
      <c r="F28" s="79">
        <f t="shared" si="1"/>
        <v>1.1394121870539262</v>
      </c>
      <c r="G28" s="79"/>
    </row>
    <row r="29" spans="2:7" x14ac:dyDescent="0.2">
      <c r="B29" s="69" t="s">
        <v>60</v>
      </c>
      <c r="C29" s="79">
        <f>(C4+C8)/C4</f>
        <v>0.28641821183287597</v>
      </c>
      <c r="D29" s="79">
        <f t="shared" ref="D29:G29" si="2">(D4+D8)/D4</f>
        <v>0.24530275946926108</v>
      </c>
      <c r="E29" s="79">
        <f t="shared" si="2"/>
        <v>0.2520459736667986</v>
      </c>
      <c r="F29" s="79">
        <f t="shared" si="2"/>
        <v>0.2290765768101812</v>
      </c>
      <c r="G29" s="79">
        <f t="shared" si="2"/>
        <v>0.20194508516168888</v>
      </c>
    </row>
    <row r="30" spans="2:7" x14ac:dyDescent="0.2">
      <c r="B30" s="69" t="s">
        <v>61</v>
      </c>
      <c r="C30" s="79">
        <f t="shared" ref="C30:G30" si="3">(C5+C9)/C5</f>
        <v>4.8241444866920155E-2</v>
      </c>
      <c r="D30" s="79">
        <f t="shared" si="3"/>
        <v>0.15127443531118326</v>
      </c>
      <c r="E30" s="79">
        <f t="shared" si="3"/>
        <v>1.688038193104513E-2</v>
      </c>
      <c r="F30" s="79">
        <f t="shared" si="3"/>
        <v>0.21655053544585251</v>
      </c>
      <c r="G30" s="79">
        <f t="shared" si="3"/>
        <v>0.10044745866425303</v>
      </c>
    </row>
    <row r="31" spans="2:7" x14ac:dyDescent="0.2">
      <c r="B31" s="69" t="s">
        <v>62</v>
      </c>
      <c r="C31" s="79">
        <f t="shared" ref="C31:G31" si="4">(C6+C10)/C6</f>
        <v>0.10796960499316005</v>
      </c>
      <c r="D31" s="79">
        <f t="shared" si="4"/>
        <v>1.2533769250623763E-2</v>
      </c>
      <c r="E31" s="79">
        <f t="shared" si="4"/>
        <v>-9.5945911293838088E-3</v>
      </c>
      <c r="F31" s="79">
        <f t="shared" si="4"/>
        <v>-0.22756733271073779</v>
      </c>
      <c r="G31" s="79">
        <f t="shared" si="4"/>
        <v>-0.43817308088778267</v>
      </c>
    </row>
    <row r="32" spans="2:7" x14ac:dyDescent="0.2">
      <c r="B32" s="69" t="s">
        <v>63</v>
      </c>
      <c r="C32" s="79">
        <f>(SUM(C4:C6)+SUM(C8:C10))/SUM(C4:C6)</f>
        <v>0.27566380978227567</v>
      </c>
      <c r="D32" s="79">
        <f>(SUM(D4:D6)+SUM(D8:D10))/SUM(D4:D6)</f>
        <v>0.22824945471172323</v>
      </c>
      <c r="E32" s="79">
        <f>(SUM(E4:E6)+SUM(E8:E10))/SUM(E4:E6)</f>
        <v>0.22846097759299397</v>
      </c>
      <c r="F32" s="79">
        <f>(SUM(F4:F6)+SUM(F8:F10))/SUM(F4:F6)</f>
        <v>0.18900706376042831</v>
      </c>
      <c r="G32" s="79">
        <f>(SUM(G4:G6)+SUM(G8:G10))/SUM(G4:G6)</f>
        <v>0.14511653111557957</v>
      </c>
    </row>
    <row r="33" spans="2:7" x14ac:dyDescent="0.2">
      <c r="B33" s="69" t="s">
        <v>57</v>
      </c>
      <c r="C33" s="79">
        <f>C15/C7</f>
        <v>-5.8370300241749197E-2</v>
      </c>
      <c r="D33" s="79">
        <f t="shared" ref="D33:G33" si="5">D15/D7</f>
        <v>-0.17711927138364197</v>
      </c>
      <c r="E33" s="79">
        <f t="shared" si="5"/>
        <v>-9.533248801594027E-2</v>
      </c>
      <c r="F33" s="79">
        <f t="shared" si="5"/>
        <v>-0.13879756446921956</v>
      </c>
      <c r="G33" s="79">
        <f t="shared" si="5"/>
        <v>-0.16440007545558741</v>
      </c>
    </row>
    <row r="34" spans="2:7" x14ac:dyDescent="0.2">
      <c r="B34" s="69" t="s">
        <v>64</v>
      </c>
      <c r="C34" s="79">
        <f>C23/C7</f>
        <v>-9.1934731468291842E-2</v>
      </c>
      <c r="D34" s="79">
        <f t="shared" ref="D34:G34" si="6">D23/D7</f>
        <v>-0.21963853411681836</v>
      </c>
      <c r="E34" s="79">
        <f t="shared" si="6"/>
        <v>-9.6414467612896446E-2</v>
      </c>
      <c r="F34" s="79">
        <f t="shared" si="6"/>
        <v>-0.16680343005817538</v>
      </c>
      <c r="G34" s="79">
        <f t="shared" si="6"/>
        <v>-0.19256422428228809</v>
      </c>
    </row>
    <row r="35" spans="2:7" x14ac:dyDescent="0.2">
      <c r="B35" s="69" t="s">
        <v>55</v>
      </c>
      <c r="C35" s="79">
        <f>C23/'Balance Sheet Input'!C17</f>
        <v>-5.0429907933346216E-2</v>
      </c>
      <c r="D35" s="79">
        <f>D23/'Balance Sheet Input'!D17</f>
        <v>-0.11014746145205113</v>
      </c>
      <c r="E35" s="79">
        <f>E23/'Balance Sheet Input'!E17</f>
        <v>-2.9779021214012873E-2</v>
      </c>
      <c r="F35" s="79">
        <f>F23/'Balance Sheet Input'!F17</f>
        <v>-6.8447898704647764E-2</v>
      </c>
      <c r="G35" s="79">
        <f>G23/'Balance Sheet Input'!G17</f>
        <v>-5.1131852382658542E-2</v>
      </c>
    </row>
    <row r="36" spans="2:7" x14ac:dyDescent="0.2">
      <c r="B36" s="69" t="s">
        <v>56</v>
      </c>
      <c r="C36" s="79">
        <f>C23/'Balance Sheet Input'!C31</f>
        <v>-0.32251483476105341</v>
      </c>
      <c r="D36" s="79">
        <f>D23/'Balance Sheet Input'!D31</f>
        <v>-0.82002373341798129</v>
      </c>
      <c r="E36" s="79">
        <f>E23/'Balance Sheet Input'!E31</f>
        <v>-0.1420001342335255</v>
      </c>
      <c r="F36" s="79">
        <f>F23/'Balance Sheet Input'!F31</f>
        <v>-0.46289544000555077</v>
      </c>
      <c r="G36" s="79">
        <f>G23/'Balance Sheet Input'!G31</f>
        <v>-0.32098601043599839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DCD7F-9C67-416B-BFE7-B54E9E17C393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282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14F47-5902-4E90-9D34-98686EDEF78A}">
  <dimension ref="A1:C34"/>
  <sheetViews>
    <sheetView workbookViewId="0"/>
  </sheetViews>
  <sheetFormatPr defaultColWidth="9.109375" defaultRowHeight="11.4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10.33203125" style="8" bestFit="1" customWidth="1"/>
    <col min="8" max="12" width="10.44140625" style="8" bestFit="1" customWidth="1"/>
    <col min="13" max="16384" width="9.109375" style="8"/>
  </cols>
  <sheetData>
    <row r="1" spans="1:3" ht="15.6" x14ac:dyDescent="0.25">
      <c r="A1" s="213"/>
      <c r="B1" s="2" t="s">
        <v>285</v>
      </c>
    </row>
    <row r="8" spans="1:3" x14ac:dyDescent="0.2">
      <c r="B8" s="8" t="s">
        <v>283</v>
      </c>
      <c r="C8" s="180">
        <f>'Revenue automotive'!I11</f>
        <v>14236.04</v>
      </c>
    </row>
    <row r="9" spans="1:3" x14ac:dyDescent="0.2">
      <c r="B9" s="8" t="s">
        <v>175</v>
      </c>
      <c r="C9" s="180">
        <f>'Revenue automotive'!J5-'Revenue automotive'!I5</f>
        <v>5433.96</v>
      </c>
    </row>
    <row r="10" spans="1:3" x14ac:dyDescent="0.2">
      <c r="B10" s="8" t="s">
        <v>181</v>
      </c>
      <c r="C10" s="180">
        <f>'Revenue automotive'!J6-'Revenue automotive'!I6</f>
        <v>175</v>
      </c>
    </row>
    <row r="11" spans="1:3" x14ac:dyDescent="0.2">
      <c r="B11" s="8" t="s">
        <v>176</v>
      </c>
      <c r="C11" s="180">
        <f>'Revenue automotive'!J7-'Revenue automotive'!I7</f>
        <v>88.2</v>
      </c>
    </row>
    <row r="12" spans="1:3" x14ac:dyDescent="0.2">
      <c r="B12" s="8" t="s">
        <v>178</v>
      </c>
      <c r="C12" s="180">
        <f>'Revenue automotive'!J8-'Revenue automotive'!I8</f>
        <v>0</v>
      </c>
    </row>
    <row r="13" spans="1:3" x14ac:dyDescent="0.2">
      <c r="B13" s="8" t="s">
        <v>177</v>
      </c>
      <c r="C13" s="180">
        <f>'Revenue automotive'!J9-'Revenue automotive'!I9</f>
        <v>15.75</v>
      </c>
    </row>
    <row r="14" spans="1:3" x14ac:dyDescent="0.2">
      <c r="B14" s="8" t="s">
        <v>174</v>
      </c>
      <c r="C14" s="180">
        <f>'Revenue automotive'!J10-'Revenue automotive'!I10</f>
        <v>50</v>
      </c>
    </row>
    <row r="15" spans="1:3" x14ac:dyDescent="0.2">
      <c r="B15" s="8" t="s">
        <v>284</v>
      </c>
      <c r="C15" s="180">
        <f>'Revenue automotive'!J11</f>
        <v>19998.95</v>
      </c>
    </row>
    <row r="27" spans="2:3" x14ac:dyDescent="0.2">
      <c r="B27" s="8" t="s">
        <v>284</v>
      </c>
      <c r="C27" s="180">
        <f>'Revenue automotive'!J11</f>
        <v>19998.95</v>
      </c>
    </row>
    <row r="28" spans="2:3" x14ac:dyDescent="0.2">
      <c r="B28" s="8" t="s">
        <v>175</v>
      </c>
      <c r="C28" s="180">
        <f>'Revenue automotive'!K5-'Revenue automotive'!J5</f>
        <v>6552</v>
      </c>
    </row>
    <row r="29" spans="2:3" x14ac:dyDescent="0.2">
      <c r="B29" s="8" t="s">
        <v>181</v>
      </c>
      <c r="C29" s="180">
        <f>'Revenue automotive'!K6-'Revenue automotive'!J6</f>
        <v>178.5</v>
      </c>
    </row>
    <row r="30" spans="2:3" x14ac:dyDescent="0.2">
      <c r="B30" s="8" t="s">
        <v>176</v>
      </c>
      <c r="C30" s="180">
        <f>'Revenue automotive'!K7-'Revenue automotive'!J7</f>
        <v>6442.8</v>
      </c>
    </row>
    <row r="31" spans="2:3" x14ac:dyDescent="0.2">
      <c r="B31" s="8" t="s">
        <v>178</v>
      </c>
      <c r="C31" s="180">
        <f>'Revenue automotive'!K8-'Revenue automotive'!J8</f>
        <v>115</v>
      </c>
    </row>
    <row r="32" spans="2:3" x14ac:dyDescent="0.2">
      <c r="B32" s="8" t="s">
        <v>177</v>
      </c>
      <c r="C32" s="180">
        <f>'Revenue automotive'!K9-'Revenue automotive'!J9</f>
        <v>1150.5</v>
      </c>
    </row>
    <row r="33" spans="2:3" x14ac:dyDescent="0.2">
      <c r="B33" s="8" t="s">
        <v>174</v>
      </c>
      <c r="C33" s="180">
        <f>'Revenue automotive'!K10-'Revenue automotive'!J10</f>
        <v>3652.3809523809527</v>
      </c>
    </row>
    <row r="34" spans="2:3" x14ac:dyDescent="0.2">
      <c r="B34" s="8" t="s">
        <v>286</v>
      </c>
      <c r="C34" s="180">
        <f>'Revenue automotive'!K11</f>
        <v>38090.130952380954</v>
      </c>
    </row>
  </sheetData>
  <pageMargins left="0.7" right="0.7" top="0.75" bottom="0.75" header="0.3" footer="0.3"/>
  <pageSetup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33FD1-114B-41A7-8C0F-0A15336A1B8E}">
  <dimension ref="A1:C32"/>
  <sheetViews>
    <sheetView workbookViewId="0"/>
  </sheetViews>
  <sheetFormatPr defaultColWidth="9.109375" defaultRowHeight="11.4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10.33203125" style="8" bestFit="1" customWidth="1"/>
    <col min="8" max="12" width="10.44140625" style="8" bestFit="1" customWidth="1"/>
    <col min="13" max="16384" width="9.109375" style="8"/>
  </cols>
  <sheetData>
    <row r="1" spans="1:3" ht="15.6" x14ac:dyDescent="0.25">
      <c r="A1" s="213"/>
      <c r="B1" s="2" t="s">
        <v>291</v>
      </c>
    </row>
    <row r="8" spans="1:3" x14ac:dyDescent="0.2">
      <c r="B8" s="8" t="s">
        <v>287</v>
      </c>
      <c r="C8" s="180">
        <f>'Cash Flow'!I28</f>
        <v>1440.8462778555888</v>
      </c>
    </row>
    <row r="9" spans="1:3" x14ac:dyDescent="0.2">
      <c r="B9" s="8" t="s">
        <v>128</v>
      </c>
      <c r="C9" s="180">
        <f>'Cash Flow'!J7-'Cash Flow'!I7</f>
        <v>2481.0652010233712</v>
      </c>
    </row>
    <row r="10" spans="1:3" x14ac:dyDescent="0.2">
      <c r="B10" s="8" t="s">
        <v>143</v>
      </c>
      <c r="C10" s="180">
        <f>'Cash Flow'!J8-'Cash Flow'!I8</f>
        <v>-40.045314844443965</v>
      </c>
    </row>
    <row r="11" spans="1:3" x14ac:dyDescent="0.2">
      <c r="B11" s="8" t="s">
        <v>289</v>
      </c>
      <c r="C11" s="180">
        <f>'Cash Flow'!J14-'Cash Flow'!I14</f>
        <v>-388.66799999999967</v>
      </c>
    </row>
    <row r="12" spans="1:3" x14ac:dyDescent="0.2">
      <c r="B12" s="8" t="s">
        <v>82</v>
      </c>
      <c r="C12" s="180">
        <f>'Cash Flow'!J16-'Cash Flow'!I16</f>
        <v>161.39494933333208</v>
      </c>
    </row>
    <row r="13" spans="1:3" x14ac:dyDescent="0.2">
      <c r="B13" s="8" t="s">
        <v>290</v>
      </c>
      <c r="C13" s="180">
        <f>'Cash Flow'!J17-'Cash Flow'!I17+'Cash Flow'!J18-'Cash Flow'!I18+'Cash Flow'!J22-'Cash Flow'!I22+'Cash Flow'!J23-'Cash Flow'!I23+'Cash Flow'!J24-'Cash Flow'!I24+'Cash Flow'!J25-'Cash Flow'!I25+'Cash Flow'!J26-'Cash Flow'!I26</f>
        <v>-4169.1122395866196</v>
      </c>
    </row>
    <row r="14" spans="1:3" x14ac:dyDescent="0.2">
      <c r="B14" s="8" t="s">
        <v>288</v>
      </c>
      <c r="C14" s="180">
        <f>'Cash Flow'!J28</f>
        <v>-514.51912621877113</v>
      </c>
    </row>
    <row r="26" spans="2:3" x14ac:dyDescent="0.2">
      <c r="B26" s="8" t="s">
        <v>292</v>
      </c>
      <c r="C26" s="180">
        <f>'Cash Flow'!R28</f>
        <v>120.44417795832578</v>
      </c>
    </row>
    <row r="27" spans="2:3" x14ac:dyDescent="0.2">
      <c r="B27" s="8" t="s">
        <v>128</v>
      </c>
      <c r="C27" s="180">
        <f>'Cash Flow'!S7-'Cash Flow'!R7</f>
        <v>57.555359604229579</v>
      </c>
    </row>
    <row r="28" spans="2:3" x14ac:dyDescent="0.2">
      <c r="B28" s="8" t="s">
        <v>143</v>
      </c>
      <c r="C28" s="180">
        <f>'Cash Flow'!S8-'Cash Flow'!R8</f>
        <v>593.06975119759954</v>
      </c>
    </row>
    <row r="29" spans="2:3" x14ac:dyDescent="0.2">
      <c r="B29" s="8" t="s">
        <v>289</v>
      </c>
      <c r="C29" s="180">
        <f>'Cash Flow'!S14-'Cash Flow'!R14</f>
        <v>0</v>
      </c>
    </row>
    <row r="30" spans="2:3" x14ac:dyDescent="0.2">
      <c r="B30" s="8" t="s">
        <v>82</v>
      </c>
      <c r="C30" s="180">
        <f>'Cash Flow'!S16-'Cash Flow'!R16</f>
        <v>-698.90770444960253</v>
      </c>
    </row>
    <row r="31" spans="2:3" x14ac:dyDescent="0.2">
      <c r="B31" s="8" t="s">
        <v>290</v>
      </c>
      <c r="C31" s="180">
        <f>'Cash Flow'!S17-'Cash Flow'!R17+'Cash Flow'!S18-'Cash Flow'!R18+'Cash Flow'!S22-'Cash Flow'!R22+'Cash Flow'!S23-'Cash Flow'!R23+'Cash Flow'!S24-'Cash Flow'!R24+'Cash Flow'!S25-'Cash Flow'!R25</f>
        <v>36.631938195629573</v>
      </c>
    </row>
    <row r="32" spans="2:3" x14ac:dyDescent="0.2">
      <c r="B32" s="8" t="s">
        <v>293</v>
      </c>
      <c r="C32" s="180">
        <f>'Cash Flow'!S28</f>
        <v>108.79352250618194</v>
      </c>
    </row>
  </sheetData>
  <pageMargins left="0.7" right="0.7" top="0.75" bottom="0.75" header="0.3" footer="0.3"/>
  <pageSetup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C63B0-147D-49D4-BAB2-0102D6E24226}">
  <dimension ref="A1:C14"/>
  <sheetViews>
    <sheetView workbookViewId="0"/>
  </sheetViews>
  <sheetFormatPr defaultColWidth="9.109375" defaultRowHeight="11.4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10.33203125" style="8" bestFit="1" customWidth="1"/>
    <col min="8" max="12" width="10.44140625" style="8" bestFit="1" customWidth="1"/>
    <col min="13" max="16384" width="9.109375" style="8"/>
  </cols>
  <sheetData>
    <row r="1" spans="1:3" ht="15.6" x14ac:dyDescent="0.25">
      <c r="A1" s="213"/>
      <c r="B1" s="2" t="s">
        <v>333</v>
      </c>
    </row>
    <row r="8" spans="1:3" x14ac:dyDescent="0.2">
      <c r="B8" s="8" t="s">
        <v>287</v>
      </c>
      <c r="C8" s="180">
        <f>'Cash Flow'!I28</f>
        <v>1440.8462778555888</v>
      </c>
    </row>
    <row r="9" spans="1:3" x14ac:dyDescent="0.2">
      <c r="B9" s="8" t="s">
        <v>128</v>
      </c>
      <c r="C9" s="180">
        <f>'Cash Flow'!J7-'Cash Flow'!I7</f>
        <v>2481.0652010233712</v>
      </c>
    </row>
    <row r="10" spans="1:3" x14ac:dyDescent="0.2">
      <c r="B10" s="8" t="s">
        <v>143</v>
      </c>
      <c r="C10" s="180">
        <f>'Cash Flow'!J8-'Cash Flow'!I8</f>
        <v>-40.045314844443965</v>
      </c>
    </row>
    <row r="11" spans="1:3" x14ac:dyDescent="0.2">
      <c r="B11" s="8" t="s">
        <v>289</v>
      </c>
      <c r="C11" s="180">
        <f>'Cash Flow'!J14-'Cash Flow'!I14</f>
        <v>-388.66799999999967</v>
      </c>
    </row>
    <row r="12" spans="1:3" x14ac:dyDescent="0.2">
      <c r="B12" s="8" t="s">
        <v>82</v>
      </c>
      <c r="C12" s="180">
        <f>'Cash Flow'!J16-'Cash Flow'!I16</f>
        <v>161.39494933333208</v>
      </c>
    </row>
    <row r="13" spans="1:3" x14ac:dyDescent="0.2">
      <c r="B13" s="8" t="s">
        <v>290</v>
      </c>
      <c r="C13" s="180">
        <f>'Cash Flow'!J17-'Cash Flow'!I17+'Cash Flow'!J18-'Cash Flow'!I18+'Cash Flow'!J22-'Cash Flow'!I22+'Cash Flow'!J23-'Cash Flow'!I23+'Cash Flow'!J24-'Cash Flow'!I24+'Cash Flow'!J25-'Cash Flow'!I25+'Cash Flow'!J26-'Cash Flow'!I26</f>
        <v>-4169.1122395866196</v>
      </c>
    </row>
    <row r="14" spans="1:3" x14ac:dyDescent="0.2">
      <c r="B14" s="8" t="s">
        <v>288</v>
      </c>
      <c r="C14" s="180">
        <f>'Cash Flow'!J28</f>
        <v>-514.51912621877113</v>
      </c>
    </row>
  </sheetData>
  <pageMargins left="0.7" right="0.7" top="0.75" bottom="0.75" header="0.3" footer="0.3"/>
  <pageSetup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7FB41-806E-43D0-9B12-F237AF5BE0EB}">
  <dimension ref="A1:C16"/>
  <sheetViews>
    <sheetView workbookViewId="0"/>
  </sheetViews>
  <sheetFormatPr defaultColWidth="9.109375" defaultRowHeight="11.4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10.33203125" style="8" bestFit="1" customWidth="1"/>
    <col min="8" max="12" width="10.44140625" style="8" bestFit="1" customWidth="1"/>
    <col min="13" max="16384" width="9.109375" style="8"/>
  </cols>
  <sheetData>
    <row r="1" spans="1:3" ht="15.6" x14ac:dyDescent="0.25">
      <c r="A1" s="213"/>
      <c r="B1" s="2" t="s">
        <v>343</v>
      </c>
    </row>
    <row r="3" spans="1:3" ht="12" x14ac:dyDescent="0.25">
      <c r="B3" s="219" t="s">
        <v>340</v>
      </c>
      <c r="C3" s="180">
        <f>'P&amp;L'!F14</f>
        <v>-1961.3999999999987</v>
      </c>
    </row>
    <row r="4" spans="1:3" x14ac:dyDescent="0.2">
      <c r="B4" s="25" t="s">
        <v>334</v>
      </c>
      <c r="C4" s="180">
        <f>'P&amp;L'!I5-'P&amp;L'!F5</f>
        <v>6229.4650000000001</v>
      </c>
    </row>
    <row r="5" spans="1:3" ht="22.8" x14ac:dyDescent="0.2">
      <c r="B5" s="220" t="s">
        <v>336</v>
      </c>
      <c r="C5" s="180">
        <f>'P&amp;L'!I6-'P&amp;L'!F6</f>
        <v>-5354.4594579129116</v>
      </c>
    </row>
    <row r="6" spans="1:3" ht="22.8" x14ac:dyDescent="0.2">
      <c r="B6" s="220" t="s">
        <v>337</v>
      </c>
      <c r="C6" s="180">
        <f>'P&amp;L'!I8-'P&amp;L'!F8</f>
        <v>-1240.3741209542582</v>
      </c>
    </row>
    <row r="7" spans="1:3" ht="22.8" x14ac:dyDescent="0.2">
      <c r="B7" s="220" t="s">
        <v>338</v>
      </c>
      <c r="C7" s="180">
        <f>'P&amp;L'!I10-'P&amp;L'!F10</f>
        <v>-136.55824999999993</v>
      </c>
    </row>
    <row r="8" spans="1:3" x14ac:dyDescent="0.2">
      <c r="B8" s="25" t="s">
        <v>335</v>
      </c>
      <c r="C8" s="180">
        <f>'P&amp;L'!I12-'P&amp;L'!F12</f>
        <v>31.545999999999999</v>
      </c>
    </row>
    <row r="9" spans="1:3" ht="22.8" x14ac:dyDescent="0.2">
      <c r="B9" s="220" t="s">
        <v>339</v>
      </c>
      <c r="C9" s="180">
        <f>'P&amp;L'!I13-'P&amp;L'!F13</f>
        <v>-279.178</v>
      </c>
    </row>
    <row r="10" spans="1:3" ht="12" x14ac:dyDescent="0.25">
      <c r="B10" s="219" t="s">
        <v>341</v>
      </c>
      <c r="C10" s="180">
        <f>'P&amp;L'!I14</f>
        <v>-2710.9588288671684</v>
      </c>
    </row>
    <row r="11" spans="1:3" x14ac:dyDescent="0.2">
      <c r="B11" s="25" t="s">
        <v>334</v>
      </c>
      <c r="C11" s="180">
        <f>'P&amp;L'!J5-'P&amp;L'!I5</f>
        <v>5068.4568800000015</v>
      </c>
    </row>
    <row r="12" spans="1:3" ht="22.8" x14ac:dyDescent="0.2">
      <c r="B12" s="220" t="s">
        <v>336</v>
      </c>
      <c r="C12" s="180">
        <f>'P&amp;L'!J6-'P&amp;L'!I6</f>
        <v>-4622.474605133968</v>
      </c>
    </row>
    <row r="13" spans="1:3" ht="22.8" x14ac:dyDescent="0.2">
      <c r="B13" s="220" t="s">
        <v>337</v>
      </c>
      <c r="C13" s="180">
        <f>'P&amp;L'!J8-'P&amp;L'!I8</f>
        <v>2214.7560499385672</v>
      </c>
    </row>
    <row r="14" spans="1:3" ht="22.8" x14ac:dyDescent="0.2">
      <c r="B14" s="220" t="s">
        <v>338</v>
      </c>
      <c r="C14" s="180">
        <f>'P&amp;L'!J10-'P&amp;L'!I10</f>
        <v>0</v>
      </c>
    </row>
    <row r="15" spans="1:3" x14ac:dyDescent="0.2">
      <c r="B15" s="25" t="s">
        <v>335</v>
      </c>
      <c r="C15" s="180">
        <f>'P&amp;L'!J12-'P&amp;L'!I12</f>
        <v>0</v>
      </c>
    </row>
    <row r="16" spans="1:3" ht="12" x14ac:dyDescent="0.25">
      <c r="B16" s="219" t="s">
        <v>342</v>
      </c>
      <c r="C16" s="180">
        <f>'P&amp;L'!J14</f>
        <v>-50.22050406256767</v>
      </c>
    </row>
  </sheetData>
  <pageMargins left="0.7" right="0.7" top="0.75" bottom="0.75" header="0.3" footer="0.3"/>
  <pageSetup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4C42-E73B-4608-8B01-88995DABF4B7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310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2F665-D816-4A68-8A3C-34859DE4CC7E}">
  <dimension ref="A1:U27"/>
  <sheetViews>
    <sheetView workbookViewId="0"/>
  </sheetViews>
  <sheetFormatPr defaultColWidth="9.109375" defaultRowHeight="11.4" x14ac:dyDescent="0.25"/>
  <cols>
    <col min="1" max="1" width="2" style="8" customWidth="1"/>
    <col min="2" max="3" width="15.109375" style="8" customWidth="1"/>
    <col min="4" max="6" width="5.88671875" style="8" bestFit="1" customWidth="1"/>
    <col min="7" max="7" width="6.88671875" style="8" bestFit="1" customWidth="1"/>
    <col min="8" max="12" width="10.44140625" style="8" bestFit="1" customWidth="1"/>
    <col min="13" max="19" width="9.109375" style="8"/>
    <col min="20" max="20" width="2" style="8" customWidth="1"/>
    <col min="21" max="16384" width="9.109375" style="8"/>
  </cols>
  <sheetData>
    <row r="1" spans="1:21" ht="15.6" x14ac:dyDescent="0.25">
      <c r="A1" s="213"/>
      <c r="B1" s="2" t="s">
        <v>318</v>
      </c>
    </row>
    <row r="3" spans="1:21" ht="12" x14ac:dyDescent="0.25">
      <c r="C3" s="224" t="s">
        <v>217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</row>
    <row r="4" spans="1:21" ht="27" customHeight="1" x14ac:dyDescent="0.25">
      <c r="B4" s="36" t="s">
        <v>172</v>
      </c>
      <c r="C4" s="6" t="s">
        <v>45</v>
      </c>
      <c r="D4" s="6" t="s">
        <v>46</v>
      </c>
      <c r="E4" s="6" t="s">
        <v>47</v>
      </c>
      <c r="F4" s="6" t="s">
        <v>165</v>
      </c>
      <c r="G4" s="6" t="s">
        <v>173</v>
      </c>
      <c r="H4" s="98" t="s">
        <v>184</v>
      </c>
      <c r="I4" s="98" t="s">
        <v>183</v>
      </c>
      <c r="J4" s="98" t="s">
        <v>185</v>
      </c>
      <c r="K4" s="98" t="s">
        <v>186</v>
      </c>
      <c r="L4" s="98" t="s">
        <v>187</v>
      </c>
      <c r="M4" s="98" t="s">
        <v>188</v>
      </c>
      <c r="N4" s="98" t="s">
        <v>189</v>
      </c>
      <c r="O4" s="98" t="s">
        <v>269</v>
      </c>
      <c r="P4" s="98" t="s">
        <v>270</v>
      </c>
      <c r="Q4" s="98" t="s">
        <v>271</v>
      </c>
      <c r="R4" s="98" t="s">
        <v>272</v>
      </c>
      <c r="S4" s="98" t="s">
        <v>273</v>
      </c>
      <c r="U4" s="6" t="s">
        <v>312</v>
      </c>
    </row>
    <row r="5" spans="1:21" x14ac:dyDescent="0.25">
      <c r="B5" s="8" t="s">
        <v>175</v>
      </c>
      <c r="C5" s="89">
        <f>'Revenue automotive'!C5</f>
        <v>0</v>
      </c>
      <c r="D5" s="89">
        <f>'Revenue automotive'!D5</f>
        <v>0</v>
      </c>
      <c r="E5" s="89">
        <f>'Revenue automotive'!E5</f>
        <v>0</v>
      </c>
      <c r="F5" s="166" t="str">
        <f>'Revenue automotive'!F5</f>
        <v>n.a.</v>
      </c>
      <c r="G5" s="166" t="str">
        <f>'Revenue automotive'!G5</f>
        <v>n.a.</v>
      </c>
      <c r="H5" s="90">
        <f>'Revenue automotive'!H5</f>
        <v>4368</v>
      </c>
      <c r="I5" s="90">
        <f>'Revenue automotive'!I5</f>
        <v>5486.04</v>
      </c>
      <c r="J5" s="90">
        <f>'Revenue automotive'!J5</f>
        <v>10920</v>
      </c>
      <c r="K5" s="90">
        <f>'Revenue automotive'!K5</f>
        <v>17472</v>
      </c>
      <c r="L5" s="90">
        <f>'Revenue automotive'!L5</f>
        <v>19219.200000000004</v>
      </c>
      <c r="M5" s="90">
        <f>'Revenue automotive'!M5</f>
        <v>21141.120000000003</v>
      </c>
      <c r="N5" s="90">
        <f>'Revenue automotive'!N5</f>
        <v>22198.176000000003</v>
      </c>
      <c r="O5" s="90">
        <f>'Revenue automotive'!O5</f>
        <v>23308.084800000008</v>
      </c>
      <c r="P5" s="90">
        <f>'Revenue automotive'!P5</f>
        <v>23774.246496000003</v>
      </c>
      <c r="Q5" s="90">
        <f>'Revenue automotive'!Q5</f>
        <v>24249.731425920007</v>
      </c>
      <c r="R5" s="90">
        <f>'Revenue automotive'!R5</f>
        <v>24734.726054438408</v>
      </c>
      <c r="S5" s="90">
        <f>'Revenue automotive'!S5</f>
        <v>25229.420575527176</v>
      </c>
      <c r="U5" s="99" t="s">
        <v>313</v>
      </c>
    </row>
    <row r="6" spans="1:21" x14ac:dyDescent="0.25">
      <c r="B6" s="8" t="s">
        <v>181</v>
      </c>
      <c r="C6" s="89">
        <f>'Revenue automotive'!C6</f>
        <v>3007.0120000000002</v>
      </c>
      <c r="D6" s="89">
        <f>'Revenue automotive'!D6</f>
        <v>3740.973</v>
      </c>
      <c r="E6" s="89">
        <f>'Revenue automotive'!E6</f>
        <v>6350.7659999999996</v>
      </c>
      <c r="F6" s="166" t="str">
        <f>'Revenue automotive'!F6</f>
        <v>n.a.</v>
      </c>
      <c r="G6" s="166" t="str">
        <f>'Revenue automotive'!G6</f>
        <v>n.a.</v>
      </c>
      <c r="H6" s="90">
        <f>'Revenue automotive'!H6</f>
        <v>4891.25</v>
      </c>
      <c r="I6" s="90">
        <f>'Revenue automotive'!I6</f>
        <v>8750</v>
      </c>
      <c r="J6" s="90">
        <f>'Revenue automotive'!J6</f>
        <v>8925</v>
      </c>
      <c r="K6" s="90">
        <f>'Revenue automotive'!K6</f>
        <v>9103.5</v>
      </c>
      <c r="L6" s="90">
        <f>'Revenue automotive'!L6</f>
        <v>9285.57</v>
      </c>
      <c r="M6" s="90">
        <f>'Revenue automotive'!M6</f>
        <v>9471.2813999999998</v>
      </c>
      <c r="N6" s="90">
        <f>'Revenue automotive'!N6</f>
        <v>9660.7070280000007</v>
      </c>
      <c r="O6" s="90">
        <f>'Revenue automotive'!O6</f>
        <v>9853.9211685600021</v>
      </c>
      <c r="P6" s="90">
        <f>'Revenue automotive'!P6</f>
        <v>10050.9995919312</v>
      </c>
      <c r="Q6" s="90">
        <f>'Revenue automotive'!Q6</f>
        <v>10252.019583769825</v>
      </c>
      <c r="R6" s="90">
        <f>'Revenue automotive'!R6</f>
        <v>10457.059975445223</v>
      </c>
      <c r="S6" s="90">
        <f>'Revenue automotive'!S6</f>
        <v>10666.201174954127</v>
      </c>
      <c r="U6" s="99" t="s">
        <v>313</v>
      </c>
    </row>
    <row r="7" spans="1:21" x14ac:dyDescent="0.25">
      <c r="B7" s="8" t="s">
        <v>176</v>
      </c>
      <c r="C7" s="89">
        <f>'Revenue automotive'!C7</f>
        <v>0</v>
      </c>
      <c r="D7" s="89">
        <f>'Revenue automotive'!D7</f>
        <v>0</v>
      </c>
      <c r="E7" s="89">
        <f>'Revenue automotive'!E7</f>
        <v>0</v>
      </c>
      <c r="F7" s="89">
        <f>'Revenue automotive'!F7</f>
        <v>0</v>
      </c>
      <c r="G7" s="89">
        <f>'Revenue automotive'!G7</f>
        <v>0</v>
      </c>
      <c r="H7" s="90">
        <f>'Revenue automotive'!H7</f>
        <v>0</v>
      </c>
      <c r="I7" s="90">
        <f>'Revenue automotive'!I7</f>
        <v>0</v>
      </c>
      <c r="J7" s="90">
        <f>'Revenue automotive'!J7</f>
        <v>88.2</v>
      </c>
      <c r="K7" s="90">
        <f>'Revenue automotive'!K7</f>
        <v>6531</v>
      </c>
      <c r="L7" s="90">
        <f>'Revenue automotive'!L7</f>
        <v>13000</v>
      </c>
      <c r="M7" s="90">
        <f>'Revenue automotive'!M7</f>
        <v>20800</v>
      </c>
      <c r="N7" s="90">
        <f>'Revenue automotive'!N7</f>
        <v>22880.000000000004</v>
      </c>
      <c r="O7" s="90">
        <f>'Revenue automotive'!O7</f>
        <v>25168.000000000007</v>
      </c>
      <c r="P7" s="90">
        <f>'Revenue automotive'!P7</f>
        <v>26426.400000000009</v>
      </c>
      <c r="Q7" s="90">
        <f>'Revenue automotive'!Q7</f>
        <v>27747.720000000008</v>
      </c>
      <c r="R7" s="90">
        <f>'Revenue automotive'!R7</f>
        <v>28302.674400000007</v>
      </c>
      <c r="S7" s="90">
        <f>'Revenue automotive'!S7</f>
        <v>28868.727888000005</v>
      </c>
      <c r="U7" s="99" t="s">
        <v>313</v>
      </c>
    </row>
    <row r="8" spans="1:21" x14ac:dyDescent="0.25">
      <c r="B8" s="8" t="s">
        <v>178</v>
      </c>
      <c r="C8" s="89">
        <f>'Revenue automotive'!C8</f>
        <v>0</v>
      </c>
      <c r="D8" s="89">
        <f>'Revenue automotive'!D8</f>
        <v>0</v>
      </c>
      <c r="E8" s="89">
        <f>'Revenue automotive'!E8</f>
        <v>0</v>
      </c>
      <c r="F8" s="89">
        <f>'Revenue automotive'!F8</f>
        <v>0</v>
      </c>
      <c r="G8" s="89">
        <f>'Revenue automotive'!G8</f>
        <v>0</v>
      </c>
      <c r="H8" s="90">
        <f>'Revenue automotive'!H8</f>
        <v>0</v>
      </c>
      <c r="I8" s="90">
        <f>'Revenue automotive'!I8</f>
        <v>0</v>
      </c>
      <c r="J8" s="90">
        <f>'Revenue automotive'!J8</f>
        <v>0</v>
      </c>
      <c r="K8" s="90">
        <f>'Revenue automotive'!K8</f>
        <v>115</v>
      </c>
      <c r="L8" s="90">
        <f>'Revenue automotive'!L8</f>
        <v>230</v>
      </c>
      <c r="M8" s="90">
        <f>'Revenue automotive'!M8</f>
        <v>345</v>
      </c>
      <c r="N8" s="90">
        <f>'Revenue automotive'!N8</f>
        <v>379.50000000000006</v>
      </c>
      <c r="O8" s="90">
        <f>'Revenue automotive'!O8</f>
        <v>417.4500000000001</v>
      </c>
      <c r="P8" s="90">
        <f>'Revenue automotive'!P8</f>
        <v>438.3225000000001</v>
      </c>
      <c r="Q8" s="90">
        <f>'Revenue automotive'!Q8</f>
        <v>460.23862500000013</v>
      </c>
      <c r="R8" s="90">
        <f>'Revenue automotive'!R8</f>
        <v>469.44339750000017</v>
      </c>
      <c r="S8" s="90">
        <f>'Revenue automotive'!S8</f>
        <v>478.83226545000019</v>
      </c>
      <c r="U8" s="99" t="s">
        <v>313</v>
      </c>
    </row>
    <row r="9" spans="1:21" x14ac:dyDescent="0.25">
      <c r="B9" s="8" t="s">
        <v>177</v>
      </c>
      <c r="C9" s="89">
        <f>'Revenue automotive'!C9</f>
        <v>0</v>
      </c>
      <c r="D9" s="89">
        <f>'Revenue automotive'!D9</f>
        <v>0</v>
      </c>
      <c r="E9" s="89">
        <f>'Revenue automotive'!E9</f>
        <v>0</v>
      </c>
      <c r="F9" s="89">
        <f>'Revenue automotive'!F9</f>
        <v>0</v>
      </c>
      <c r="G9" s="89">
        <f>'Revenue automotive'!G9</f>
        <v>0</v>
      </c>
      <c r="H9" s="90">
        <f>'Revenue automotive'!H9</f>
        <v>0</v>
      </c>
      <c r="I9" s="90">
        <f>'Revenue automotive'!I9</f>
        <v>0</v>
      </c>
      <c r="J9" s="90">
        <f>'Revenue automotive'!J9</f>
        <v>15.75</v>
      </c>
      <c r="K9" s="90">
        <f>'Revenue automotive'!K9</f>
        <v>1166.25</v>
      </c>
      <c r="L9" s="90">
        <f>'Revenue automotive'!L9</f>
        <v>2321.4285714285716</v>
      </c>
      <c r="M9" s="90">
        <f>'Revenue automotive'!M9</f>
        <v>3714.2857142857151</v>
      </c>
      <c r="N9" s="90">
        <f>'Revenue automotive'!N9</f>
        <v>4085.7142857142867</v>
      </c>
      <c r="O9" s="90">
        <f>'Revenue automotive'!O9</f>
        <v>4494.2857142857165</v>
      </c>
      <c r="P9" s="90">
        <f>'Revenue automotive'!P9</f>
        <v>4719.0000000000018</v>
      </c>
      <c r="Q9" s="90">
        <f>'Revenue automotive'!Q9</f>
        <v>4954.9500000000025</v>
      </c>
      <c r="R9" s="90">
        <f>'Revenue automotive'!R9</f>
        <v>5054.0490000000027</v>
      </c>
      <c r="S9" s="90">
        <f>'Revenue automotive'!S9</f>
        <v>5155.1299800000024</v>
      </c>
      <c r="U9" s="99" t="s">
        <v>314</v>
      </c>
    </row>
    <row r="10" spans="1:21" x14ac:dyDescent="0.25">
      <c r="B10" s="8" t="s">
        <v>174</v>
      </c>
      <c r="C10" s="89">
        <f>'Revenue automotive'!C10</f>
        <v>0</v>
      </c>
      <c r="D10" s="89">
        <f>'Revenue automotive'!D10</f>
        <v>0</v>
      </c>
      <c r="E10" s="89">
        <f>'Revenue automotive'!E10</f>
        <v>0</v>
      </c>
      <c r="F10" s="89">
        <f>'Revenue automotive'!F10</f>
        <v>0</v>
      </c>
      <c r="G10" s="89">
        <f>'Revenue automotive'!G10</f>
        <v>0</v>
      </c>
      <c r="H10" s="90">
        <f>'Revenue automotive'!H10</f>
        <v>0</v>
      </c>
      <c r="I10" s="90">
        <f>'Revenue automotive'!I10</f>
        <v>0</v>
      </c>
      <c r="J10" s="90">
        <f>'Revenue automotive'!J10</f>
        <v>50</v>
      </c>
      <c r="K10" s="90">
        <f>'Revenue automotive'!K10</f>
        <v>3702.3809523809527</v>
      </c>
      <c r="L10" s="90">
        <f>'Revenue automotive'!L10</f>
        <v>7369.6145124716568</v>
      </c>
      <c r="M10" s="90">
        <f>'Revenue automotive'!M10</f>
        <v>11791.38321995465</v>
      </c>
      <c r="N10" s="90">
        <f>'Revenue automotive'!N10</f>
        <v>12970.521541950116</v>
      </c>
      <c r="O10" s="90">
        <f>'Revenue automotive'!O10</f>
        <v>14267.573696145129</v>
      </c>
      <c r="P10" s="90">
        <f>'Revenue automotive'!P10</f>
        <v>14980.952380952387</v>
      </c>
      <c r="Q10" s="90">
        <f>'Revenue automotive'!Q10</f>
        <v>15730.000000000009</v>
      </c>
      <c r="R10" s="90">
        <f>'Revenue automotive'!R10</f>
        <v>16044.600000000009</v>
      </c>
      <c r="S10" s="90">
        <f>'Revenue automotive'!S10</f>
        <v>16365.492000000009</v>
      </c>
      <c r="U10" s="99" t="s">
        <v>315</v>
      </c>
    </row>
    <row r="11" spans="1:21" ht="12.6" thickBot="1" x14ac:dyDescent="0.3">
      <c r="B11" s="116" t="s">
        <v>69</v>
      </c>
      <c r="C11" s="127">
        <f>SUM(C5:C10)</f>
        <v>3007.0120000000002</v>
      </c>
      <c r="D11" s="127">
        <f t="shared" ref="D11:S11" si="0">SUM(D5:D10)</f>
        <v>3740.973</v>
      </c>
      <c r="E11" s="127">
        <f t="shared" si="0"/>
        <v>6350.7659999999996</v>
      </c>
      <c r="F11" s="127">
        <f>'P&amp;L Input'!F4/1000</f>
        <v>9641.2999999999993</v>
      </c>
      <c r="G11" s="127">
        <f>'P&amp;L Input'!G4/1000</f>
        <v>6092.9979999999996</v>
      </c>
      <c r="H11" s="127">
        <f t="shared" si="0"/>
        <v>9259.25</v>
      </c>
      <c r="I11" s="127">
        <f t="shared" si="0"/>
        <v>14236.04</v>
      </c>
      <c r="J11" s="127">
        <f t="shared" si="0"/>
        <v>19998.95</v>
      </c>
      <c r="K11" s="127">
        <f t="shared" si="0"/>
        <v>38090.130952380954</v>
      </c>
      <c r="L11" s="127">
        <f t="shared" si="0"/>
        <v>51425.813083900233</v>
      </c>
      <c r="M11" s="127">
        <f t="shared" si="0"/>
        <v>67263.070334240372</v>
      </c>
      <c r="N11" s="127">
        <f t="shared" si="0"/>
        <v>72174.618855664419</v>
      </c>
      <c r="O11" s="127">
        <f t="shared" si="0"/>
        <v>77509.315378990868</v>
      </c>
      <c r="P11" s="127">
        <f t="shared" si="0"/>
        <v>80389.920968883598</v>
      </c>
      <c r="Q11" s="127">
        <f t="shared" si="0"/>
        <v>83394.659634689859</v>
      </c>
      <c r="R11" s="127">
        <f t="shared" si="0"/>
        <v>85062.552827383639</v>
      </c>
      <c r="S11" s="127">
        <f t="shared" si="0"/>
        <v>86763.803883931323</v>
      </c>
    </row>
    <row r="12" spans="1:21" x14ac:dyDescent="0.2">
      <c r="C12" s="180"/>
    </row>
    <row r="13" spans="1:21" ht="13.2" x14ac:dyDescent="0.25">
      <c r="B13" s="1"/>
    </row>
    <row r="14" spans="1:21" ht="13.2" x14ac:dyDescent="0.25">
      <c r="B14" s="1"/>
    </row>
    <row r="21" spans="3:3" x14ac:dyDescent="0.2">
      <c r="C21" s="180"/>
    </row>
    <row r="22" spans="3:3" x14ac:dyDescent="0.2">
      <c r="C22" s="180"/>
    </row>
    <row r="23" spans="3:3" x14ac:dyDescent="0.2">
      <c r="C23" s="180"/>
    </row>
    <row r="24" spans="3:3" x14ac:dyDescent="0.2">
      <c r="C24" s="180"/>
    </row>
    <row r="25" spans="3:3" x14ac:dyDescent="0.2">
      <c r="C25" s="180"/>
    </row>
    <row r="26" spans="3:3" x14ac:dyDescent="0.2">
      <c r="C26" s="180"/>
    </row>
    <row r="27" spans="3:3" x14ac:dyDescent="0.2">
      <c r="C27" s="180"/>
    </row>
  </sheetData>
  <mergeCells count="1">
    <mergeCell ref="C3:S3"/>
  </mergeCells>
  <pageMargins left="0.7" right="0.7" top="0.75" bottom="0.75" header="0.3" footer="0.3"/>
  <pageSetup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26311-EAA7-408C-8FF7-DE61FB3BF95F}">
  <dimension ref="A1:U32"/>
  <sheetViews>
    <sheetView workbookViewId="0"/>
  </sheetViews>
  <sheetFormatPr defaultColWidth="9.109375" defaultRowHeight="11.4" x14ac:dyDescent="0.25"/>
  <cols>
    <col min="1" max="1" width="2" style="8" customWidth="1"/>
    <col min="2" max="3" width="15.109375" style="8" customWidth="1"/>
    <col min="4" max="6" width="5.88671875" style="8" bestFit="1" customWidth="1"/>
    <col min="7" max="7" width="6.88671875" style="8" bestFit="1" customWidth="1"/>
    <col min="8" max="12" width="10.44140625" style="8" bestFit="1" customWidth="1"/>
    <col min="13" max="19" width="9.109375" style="8"/>
    <col min="20" max="20" width="2" style="8" customWidth="1"/>
    <col min="21" max="16384" width="9.109375" style="8"/>
  </cols>
  <sheetData>
    <row r="1" spans="1:21" ht="15.6" x14ac:dyDescent="0.25">
      <c r="A1" s="213"/>
      <c r="B1" s="2" t="s">
        <v>311</v>
      </c>
    </row>
    <row r="3" spans="1:21" ht="12" x14ac:dyDescent="0.25">
      <c r="C3" s="224" t="s">
        <v>217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</row>
    <row r="4" spans="1:21" ht="27" customHeight="1" x14ac:dyDescent="0.25">
      <c r="B4" s="36" t="s">
        <v>172</v>
      </c>
      <c r="C4" s="6" t="s">
        <v>45</v>
      </c>
      <c r="D4" s="6" t="s">
        <v>46</v>
      </c>
      <c r="E4" s="6" t="s">
        <v>47</v>
      </c>
      <c r="F4" s="6" t="s">
        <v>165</v>
      </c>
      <c r="G4" s="6" t="s">
        <v>173</v>
      </c>
      <c r="H4" s="98" t="s">
        <v>184</v>
      </c>
      <c r="I4" s="98" t="s">
        <v>183</v>
      </c>
      <c r="J4" s="98" t="s">
        <v>185</v>
      </c>
      <c r="K4" s="98" t="s">
        <v>186</v>
      </c>
      <c r="L4" s="98" t="s">
        <v>187</v>
      </c>
      <c r="M4" s="98" t="s">
        <v>188</v>
      </c>
      <c r="N4" s="98" t="s">
        <v>189</v>
      </c>
      <c r="O4" s="98" t="s">
        <v>269</v>
      </c>
      <c r="P4" s="98" t="s">
        <v>270</v>
      </c>
      <c r="Q4" s="98" t="s">
        <v>271</v>
      </c>
      <c r="R4" s="98" t="s">
        <v>272</v>
      </c>
      <c r="S4" s="98" t="s">
        <v>273</v>
      </c>
      <c r="U4" s="6" t="s">
        <v>312</v>
      </c>
    </row>
    <row r="5" spans="1:21" x14ac:dyDescent="0.25">
      <c r="B5" s="8" t="s">
        <v>175</v>
      </c>
      <c r="C5" s="89">
        <f>'Revenue automotive'!C5</f>
        <v>0</v>
      </c>
      <c r="D5" s="89">
        <f>'Revenue automotive'!D5</f>
        <v>0</v>
      </c>
      <c r="E5" s="89">
        <f>'Revenue automotive'!E5</f>
        <v>0</v>
      </c>
      <c r="F5" s="166" t="str">
        <f>'Revenue automotive'!F5</f>
        <v>n.a.</v>
      </c>
      <c r="G5" s="166" t="str">
        <f>'Revenue automotive'!G5</f>
        <v>n.a.</v>
      </c>
      <c r="H5" s="90">
        <f>'Revenue automotive'!H5</f>
        <v>4368</v>
      </c>
      <c r="I5" s="90">
        <f>'Revenue automotive'!I5</f>
        <v>5486.04</v>
      </c>
      <c r="J5" s="90">
        <f>'Revenue automotive'!J5</f>
        <v>10920</v>
      </c>
      <c r="K5" s="90">
        <f>'Revenue automotive'!K5</f>
        <v>17472</v>
      </c>
      <c r="L5" s="90">
        <f>'Revenue automotive'!L5</f>
        <v>19219.200000000004</v>
      </c>
      <c r="M5" s="90">
        <f>'Revenue automotive'!M5</f>
        <v>21141.120000000003</v>
      </c>
      <c r="N5" s="90">
        <f>'Revenue automotive'!N5</f>
        <v>22198.176000000003</v>
      </c>
      <c r="O5" s="90">
        <f>'Revenue automotive'!O5</f>
        <v>23308.084800000008</v>
      </c>
      <c r="P5" s="90">
        <f>'Revenue automotive'!P5</f>
        <v>23774.246496000003</v>
      </c>
      <c r="Q5" s="90">
        <f>'Revenue automotive'!Q5</f>
        <v>24249.731425920007</v>
      </c>
      <c r="R5" s="90">
        <f>'Revenue automotive'!R5</f>
        <v>24734.726054438408</v>
      </c>
      <c r="S5" s="90">
        <f>'Revenue automotive'!S5</f>
        <v>25229.420575527176</v>
      </c>
      <c r="U5" s="99" t="s">
        <v>313</v>
      </c>
    </row>
    <row r="6" spans="1:21" x14ac:dyDescent="0.25">
      <c r="B6" s="8" t="s">
        <v>181</v>
      </c>
      <c r="C6" s="89">
        <f>'Revenue automotive'!C6</f>
        <v>3007.0120000000002</v>
      </c>
      <c r="D6" s="89">
        <f>'Revenue automotive'!D6</f>
        <v>3740.973</v>
      </c>
      <c r="E6" s="89">
        <f>'Revenue automotive'!E6</f>
        <v>6350.7659999999996</v>
      </c>
      <c r="F6" s="166" t="str">
        <f>'Revenue automotive'!F6</f>
        <v>n.a.</v>
      </c>
      <c r="G6" s="166" t="str">
        <f>'Revenue automotive'!G6</f>
        <v>n.a.</v>
      </c>
      <c r="H6" s="90">
        <f>'Revenue automotive'!H6</f>
        <v>4891.25</v>
      </c>
      <c r="I6" s="90">
        <f>'Revenue automotive'!I6</f>
        <v>8750</v>
      </c>
      <c r="J6" s="90">
        <f>'Revenue automotive'!J6</f>
        <v>8925</v>
      </c>
      <c r="K6" s="90">
        <f>'Revenue automotive'!K6</f>
        <v>9103.5</v>
      </c>
      <c r="L6" s="90">
        <f>'Revenue automotive'!L6</f>
        <v>9285.57</v>
      </c>
      <c r="M6" s="90">
        <f>'Revenue automotive'!M6</f>
        <v>9471.2813999999998</v>
      </c>
      <c r="N6" s="90">
        <f>'Revenue automotive'!N6</f>
        <v>9660.7070280000007</v>
      </c>
      <c r="O6" s="90">
        <f>'Revenue automotive'!O6</f>
        <v>9853.9211685600021</v>
      </c>
      <c r="P6" s="90">
        <f>'Revenue automotive'!P6</f>
        <v>10050.9995919312</v>
      </c>
      <c r="Q6" s="90">
        <f>'Revenue automotive'!Q6</f>
        <v>10252.019583769825</v>
      </c>
      <c r="R6" s="90">
        <f>'Revenue automotive'!R6</f>
        <v>10457.059975445223</v>
      </c>
      <c r="S6" s="90">
        <f>'Revenue automotive'!S6</f>
        <v>10666.201174954127</v>
      </c>
      <c r="U6" s="99" t="s">
        <v>313</v>
      </c>
    </row>
    <row r="7" spans="1:21" x14ac:dyDescent="0.25">
      <c r="B7" s="8" t="s">
        <v>176</v>
      </c>
      <c r="C7" s="89">
        <f>'Revenue automotive'!C7</f>
        <v>0</v>
      </c>
      <c r="D7" s="89">
        <f>'Revenue automotive'!D7</f>
        <v>0</v>
      </c>
      <c r="E7" s="89">
        <f>'Revenue automotive'!E7</f>
        <v>0</v>
      </c>
      <c r="F7" s="89">
        <f>'Revenue automotive'!F7</f>
        <v>0</v>
      </c>
      <c r="G7" s="89">
        <f>'Revenue automotive'!G7</f>
        <v>0</v>
      </c>
      <c r="H7" s="90">
        <f>'Revenue automotive'!H7</f>
        <v>0</v>
      </c>
      <c r="I7" s="90">
        <f>'Revenue automotive'!I7</f>
        <v>0</v>
      </c>
      <c r="J7" s="90">
        <f>'Revenue automotive'!J7</f>
        <v>88.2</v>
      </c>
      <c r="K7" s="90">
        <f>'Revenue automotive'!K7</f>
        <v>6531</v>
      </c>
      <c r="L7" s="90">
        <f>'Revenue automotive'!L7</f>
        <v>13000</v>
      </c>
      <c r="M7" s="90">
        <f>'Revenue automotive'!M7</f>
        <v>20800</v>
      </c>
      <c r="N7" s="90">
        <f>'Revenue automotive'!N7</f>
        <v>22880.000000000004</v>
      </c>
      <c r="O7" s="90">
        <f>'Revenue automotive'!O7</f>
        <v>25168.000000000007</v>
      </c>
      <c r="P7" s="90">
        <f>'Revenue automotive'!P7</f>
        <v>26426.400000000009</v>
      </c>
      <c r="Q7" s="90">
        <f>'Revenue automotive'!Q7</f>
        <v>27747.720000000008</v>
      </c>
      <c r="R7" s="90">
        <f>'Revenue automotive'!R7</f>
        <v>28302.674400000007</v>
      </c>
      <c r="S7" s="90">
        <f>'Revenue automotive'!S7</f>
        <v>28868.727888000005</v>
      </c>
      <c r="U7" s="99" t="s">
        <v>313</v>
      </c>
    </row>
    <row r="8" spans="1:21" x14ac:dyDescent="0.25">
      <c r="B8" s="8" t="s">
        <v>178</v>
      </c>
      <c r="C8" s="89">
        <f>'Revenue automotive'!C8</f>
        <v>0</v>
      </c>
      <c r="D8" s="89">
        <f>'Revenue automotive'!D8</f>
        <v>0</v>
      </c>
      <c r="E8" s="89">
        <f>'Revenue automotive'!E8</f>
        <v>0</v>
      </c>
      <c r="F8" s="89">
        <f>'Revenue automotive'!F8</f>
        <v>0</v>
      </c>
      <c r="G8" s="89">
        <f>'Revenue automotive'!G8</f>
        <v>0</v>
      </c>
      <c r="H8" s="90">
        <f>'Revenue automotive'!H8</f>
        <v>0</v>
      </c>
      <c r="I8" s="90">
        <f>'Revenue automotive'!I8</f>
        <v>0</v>
      </c>
      <c r="J8" s="90">
        <f>'Revenue automotive'!J8</f>
        <v>0</v>
      </c>
      <c r="K8" s="90">
        <f>'Revenue automotive'!K8</f>
        <v>115</v>
      </c>
      <c r="L8" s="90">
        <f>'Revenue automotive'!L8</f>
        <v>230</v>
      </c>
      <c r="M8" s="90">
        <f>'Revenue automotive'!M8</f>
        <v>345</v>
      </c>
      <c r="N8" s="90">
        <f>'Revenue automotive'!N8</f>
        <v>379.50000000000006</v>
      </c>
      <c r="O8" s="90">
        <f>'Revenue automotive'!O8</f>
        <v>417.4500000000001</v>
      </c>
      <c r="P8" s="90">
        <f>'Revenue automotive'!P8</f>
        <v>438.3225000000001</v>
      </c>
      <c r="Q8" s="90">
        <f>'Revenue automotive'!Q8</f>
        <v>460.23862500000013</v>
      </c>
      <c r="R8" s="90">
        <f>'Revenue automotive'!R8</f>
        <v>469.44339750000017</v>
      </c>
      <c r="S8" s="90">
        <f>'Revenue automotive'!S8</f>
        <v>478.83226545000019</v>
      </c>
      <c r="U8" s="99" t="s">
        <v>313</v>
      </c>
    </row>
    <row r="9" spans="1:21" x14ac:dyDescent="0.25">
      <c r="B9" s="8" t="s">
        <v>177</v>
      </c>
      <c r="C9" s="89">
        <f>'Revenue automotive'!C9</f>
        <v>0</v>
      </c>
      <c r="D9" s="89">
        <f>'Revenue automotive'!D9</f>
        <v>0</v>
      </c>
      <c r="E9" s="89">
        <f>'Revenue automotive'!E9</f>
        <v>0</v>
      </c>
      <c r="F9" s="89">
        <f>'Revenue automotive'!F9</f>
        <v>0</v>
      </c>
      <c r="G9" s="89">
        <f>'Revenue automotive'!G9</f>
        <v>0</v>
      </c>
      <c r="H9" s="90">
        <f>'Revenue automotive'!H9</f>
        <v>0</v>
      </c>
      <c r="I9" s="90">
        <f>'Revenue automotive'!I9</f>
        <v>0</v>
      </c>
      <c r="J9" s="90">
        <f>'Revenue automotive'!J9</f>
        <v>15.75</v>
      </c>
      <c r="K9" s="90">
        <f>'Revenue automotive'!K9</f>
        <v>1166.25</v>
      </c>
      <c r="L9" s="90">
        <f>'Revenue automotive'!L9</f>
        <v>2321.4285714285716</v>
      </c>
      <c r="M9" s="90">
        <f>'Revenue automotive'!M9</f>
        <v>3714.2857142857151</v>
      </c>
      <c r="N9" s="90">
        <f>'Revenue automotive'!N9</f>
        <v>4085.7142857142867</v>
      </c>
      <c r="O9" s="90">
        <f>'Revenue automotive'!O9</f>
        <v>4494.2857142857165</v>
      </c>
      <c r="P9" s="90">
        <f>'Revenue automotive'!P9</f>
        <v>4719.0000000000018</v>
      </c>
      <c r="Q9" s="90">
        <f>'Revenue automotive'!Q9</f>
        <v>4954.9500000000025</v>
      </c>
      <c r="R9" s="90">
        <f>'Revenue automotive'!R9</f>
        <v>5054.0490000000027</v>
      </c>
      <c r="S9" s="90">
        <f>'Revenue automotive'!S9</f>
        <v>5155.1299800000024</v>
      </c>
      <c r="U9" s="99" t="s">
        <v>314</v>
      </c>
    </row>
    <row r="10" spans="1:21" x14ac:dyDescent="0.25">
      <c r="B10" s="8" t="s">
        <v>174</v>
      </c>
      <c r="C10" s="89">
        <f>'Revenue automotive'!C10</f>
        <v>0</v>
      </c>
      <c r="D10" s="89">
        <f>'Revenue automotive'!D10</f>
        <v>0</v>
      </c>
      <c r="E10" s="89">
        <f>'Revenue automotive'!E10</f>
        <v>0</v>
      </c>
      <c r="F10" s="89">
        <f>'Revenue automotive'!F10</f>
        <v>0</v>
      </c>
      <c r="G10" s="89">
        <f>'Revenue automotive'!G10</f>
        <v>0</v>
      </c>
      <c r="H10" s="90">
        <f>'Revenue automotive'!H10</f>
        <v>0</v>
      </c>
      <c r="I10" s="90">
        <f>'Revenue automotive'!I10</f>
        <v>0</v>
      </c>
      <c r="J10" s="90">
        <f>'Revenue automotive'!J10</f>
        <v>50</v>
      </c>
      <c r="K10" s="90">
        <f>'Revenue automotive'!K10</f>
        <v>3702.3809523809527</v>
      </c>
      <c r="L10" s="90">
        <f>'Revenue automotive'!L10</f>
        <v>7369.6145124716568</v>
      </c>
      <c r="M10" s="90">
        <f>'Revenue automotive'!M10</f>
        <v>11791.38321995465</v>
      </c>
      <c r="N10" s="90">
        <f>'Revenue automotive'!N10</f>
        <v>12970.521541950116</v>
      </c>
      <c r="O10" s="90">
        <f>'Revenue automotive'!O10</f>
        <v>14267.573696145129</v>
      </c>
      <c r="P10" s="90">
        <f>'Revenue automotive'!P10</f>
        <v>14980.952380952387</v>
      </c>
      <c r="Q10" s="90">
        <f>'Revenue automotive'!Q10</f>
        <v>15730.000000000009</v>
      </c>
      <c r="R10" s="90">
        <f>'Revenue automotive'!R10</f>
        <v>16044.600000000009</v>
      </c>
      <c r="S10" s="90">
        <f>'Revenue automotive'!S10</f>
        <v>16365.492000000009</v>
      </c>
      <c r="U10" s="99" t="s">
        <v>315</v>
      </c>
    </row>
    <row r="11" spans="1:21" ht="12.6" thickBot="1" x14ac:dyDescent="0.3">
      <c r="B11" s="116" t="s">
        <v>69</v>
      </c>
      <c r="C11" s="127">
        <f>SUM(C5:C10)</f>
        <v>3007.0120000000002</v>
      </c>
      <c r="D11" s="127">
        <f t="shared" ref="D11:S11" si="0">SUM(D5:D10)</f>
        <v>3740.973</v>
      </c>
      <c r="E11" s="127">
        <f t="shared" si="0"/>
        <v>6350.7659999999996</v>
      </c>
      <c r="F11" s="127">
        <f>'P&amp;L Input'!F4/1000</f>
        <v>9641.2999999999993</v>
      </c>
      <c r="G11" s="127">
        <f>'P&amp;L Input'!G4/1000</f>
        <v>6092.9979999999996</v>
      </c>
      <c r="H11" s="127">
        <f t="shared" si="0"/>
        <v>9259.25</v>
      </c>
      <c r="I11" s="127">
        <f t="shared" si="0"/>
        <v>14236.04</v>
      </c>
      <c r="J11" s="127">
        <f t="shared" si="0"/>
        <v>19998.95</v>
      </c>
      <c r="K11" s="127">
        <f t="shared" si="0"/>
        <v>38090.130952380954</v>
      </c>
      <c r="L11" s="127">
        <f t="shared" si="0"/>
        <v>51425.813083900233</v>
      </c>
      <c r="M11" s="127">
        <f t="shared" si="0"/>
        <v>67263.070334240372</v>
      </c>
      <c r="N11" s="127">
        <f t="shared" si="0"/>
        <v>72174.618855664419</v>
      </c>
      <c r="O11" s="127">
        <f t="shared" si="0"/>
        <v>77509.315378990868</v>
      </c>
      <c r="P11" s="127">
        <f t="shared" si="0"/>
        <v>80389.920968883598</v>
      </c>
      <c r="Q11" s="127">
        <f t="shared" si="0"/>
        <v>83394.659634689859</v>
      </c>
      <c r="R11" s="127">
        <f t="shared" si="0"/>
        <v>85062.552827383639</v>
      </c>
      <c r="S11" s="127">
        <f t="shared" si="0"/>
        <v>86763.803883931323</v>
      </c>
    </row>
    <row r="12" spans="1:21" x14ac:dyDescent="0.2">
      <c r="C12" s="180"/>
    </row>
    <row r="13" spans="1:21" ht="24" x14ac:dyDescent="0.25">
      <c r="B13" s="6"/>
      <c r="C13" s="6" t="s">
        <v>45</v>
      </c>
      <c r="D13" s="6" t="s">
        <v>46</v>
      </c>
      <c r="E13" s="6" t="s">
        <v>47</v>
      </c>
      <c r="F13" s="6" t="s">
        <v>165</v>
      </c>
      <c r="G13" s="6" t="s">
        <v>173</v>
      </c>
      <c r="H13" s="98" t="s">
        <v>184</v>
      </c>
      <c r="I13" s="98" t="s">
        <v>183</v>
      </c>
      <c r="J13" s="98" t="s">
        <v>185</v>
      </c>
      <c r="K13" s="98" t="s">
        <v>186</v>
      </c>
      <c r="L13" s="98" t="s">
        <v>187</v>
      </c>
      <c r="M13" s="98" t="s">
        <v>188</v>
      </c>
      <c r="N13" s="98" t="s">
        <v>189</v>
      </c>
      <c r="O13" s="98" t="s">
        <v>269</v>
      </c>
      <c r="P13" s="98" t="s">
        <v>270</v>
      </c>
      <c r="Q13" s="98" t="s">
        <v>271</v>
      </c>
      <c r="R13" s="98" t="s">
        <v>272</v>
      </c>
      <c r="S13" s="98" t="s">
        <v>273</v>
      </c>
    </row>
    <row r="14" spans="1:21" x14ac:dyDescent="0.2">
      <c r="B14" s="8" t="s">
        <v>313</v>
      </c>
      <c r="C14" s="180"/>
      <c r="H14" s="90">
        <f t="shared" ref="H14:J16" si="1">SUMIF($U$5:$U$10,$B14,H$5:H$10)</f>
        <v>9259.25</v>
      </c>
      <c r="I14" s="90">
        <f t="shared" si="1"/>
        <v>14236.04</v>
      </c>
      <c r="J14" s="90">
        <f t="shared" si="1"/>
        <v>19933.2</v>
      </c>
      <c r="K14" s="90">
        <f t="shared" ref="K14:S16" si="2">SUMIF($U$5:$U$10,$B14,K$5:K$10)</f>
        <v>33221.5</v>
      </c>
      <c r="L14" s="90">
        <f t="shared" si="2"/>
        <v>41734.770000000004</v>
      </c>
      <c r="M14" s="90">
        <f t="shared" si="2"/>
        <v>51757.401400000002</v>
      </c>
      <c r="N14" s="90">
        <f t="shared" si="2"/>
        <v>55118.383028000011</v>
      </c>
      <c r="O14" s="90">
        <f t="shared" si="2"/>
        <v>58747.455968560018</v>
      </c>
      <c r="P14" s="90">
        <f t="shared" si="2"/>
        <v>60689.968587931216</v>
      </c>
      <c r="Q14" s="90">
        <f t="shared" si="2"/>
        <v>62709.70963468984</v>
      </c>
      <c r="R14" s="90">
        <f t="shared" si="2"/>
        <v>63963.903827383634</v>
      </c>
      <c r="S14" s="90">
        <f t="shared" si="2"/>
        <v>65243.181903931305</v>
      </c>
    </row>
    <row r="15" spans="1:21" x14ac:dyDescent="0.25">
      <c r="B15" s="8" t="s">
        <v>314</v>
      </c>
      <c r="H15" s="90">
        <f t="shared" si="1"/>
        <v>0</v>
      </c>
      <c r="I15" s="90">
        <f t="shared" si="1"/>
        <v>0</v>
      </c>
      <c r="J15" s="90">
        <f t="shared" si="1"/>
        <v>15.75</v>
      </c>
      <c r="K15" s="90">
        <f t="shared" si="2"/>
        <v>1166.25</v>
      </c>
      <c r="L15" s="90">
        <f t="shared" si="2"/>
        <v>2321.4285714285716</v>
      </c>
      <c r="M15" s="90">
        <f t="shared" si="2"/>
        <v>3714.2857142857151</v>
      </c>
      <c r="N15" s="90">
        <f t="shared" si="2"/>
        <v>4085.7142857142867</v>
      </c>
      <c r="O15" s="90">
        <f t="shared" si="2"/>
        <v>4494.2857142857165</v>
      </c>
      <c r="P15" s="90">
        <f t="shared" si="2"/>
        <v>4719.0000000000018</v>
      </c>
      <c r="Q15" s="90">
        <f t="shared" si="2"/>
        <v>4954.9500000000025</v>
      </c>
      <c r="R15" s="90">
        <f t="shared" si="2"/>
        <v>5054.0490000000027</v>
      </c>
      <c r="S15" s="90">
        <f t="shared" si="2"/>
        <v>5155.1299800000024</v>
      </c>
    </row>
    <row r="16" spans="1:21" x14ac:dyDescent="0.25">
      <c r="B16" s="8" t="s">
        <v>315</v>
      </c>
      <c r="H16" s="90">
        <f t="shared" si="1"/>
        <v>0</v>
      </c>
      <c r="I16" s="90">
        <f t="shared" si="1"/>
        <v>0</v>
      </c>
      <c r="J16" s="90">
        <f t="shared" si="1"/>
        <v>50</v>
      </c>
      <c r="K16" s="90">
        <f t="shared" si="2"/>
        <v>3702.3809523809527</v>
      </c>
      <c r="L16" s="90">
        <f t="shared" si="2"/>
        <v>7369.6145124716568</v>
      </c>
      <c r="M16" s="90">
        <f t="shared" si="2"/>
        <v>11791.38321995465</v>
      </c>
      <c r="N16" s="90">
        <f t="shared" si="2"/>
        <v>12970.521541950116</v>
      </c>
      <c r="O16" s="90">
        <f t="shared" si="2"/>
        <v>14267.573696145129</v>
      </c>
      <c r="P16" s="90">
        <f t="shared" si="2"/>
        <v>14980.952380952387</v>
      </c>
      <c r="Q16" s="90">
        <f t="shared" si="2"/>
        <v>15730.000000000009</v>
      </c>
      <c r="R16" s="90">
        <f t="shared" si="2"/>
        <v>16044.600000000009</v>
      </c>
      <c r="S16" s="90">
        <f t="shared" si="2"/>
        <v>16365.492000000009</v>
      </c>
    </row>
    <row r="17" spans="2:19" ht="12.6" thickBot="1" x14ac:dyDescent="0.3">
      <c r="B17" s="116" t="s">
        <v>69</v>
      </c>
      <c r="C17" s="127"/>
      <c r="D17" s="127"/>
      <c r="E17" s="127"/>
      <c r="F17" s="127"/>
      <c r="G17" s="127"/>
      <c r="H17" s="127">
        <f>SUM(H14:H16)</f>
        <v>9259.25</v>
      </c>
      <c r="I17" s="127">
        <f t="shared" ref="I17:S17" si="3">SUM(I14:I16)</f>
        <v>14236.04</v>
      </c>
      <c r="J17" s="127">
        <f t="shared" si="3"/>
        <v>19998.95</v>
      </c>
      <c r="K17" s="127">
        <f t="shared" si="3"/>
        <v>38090.130952380954</v>
      </c>
      <c r="L17" s="127">
        <f t="shared" si="3"/>
        <v>51425.813083900233</v>
      </c>
      <c r="M17" s="127">
        <f t="shared" si="3"/>
        <v>67263.070334240372</v>
      </c>
      <c r="N17" s="127">
        <f t="shared" si="3"/>
        <v>72174.618855664419</v>
      </c>
      <c r="O17" s="127">
        <f t="shared" si="3"/>
        <v>77509.315378990868</v>
      </c>
      <c r="P17" s="127">
        <f t="shared" si="3"/>
        <v>80389.920968883598</v>
      </c>
      <c r="Q17" s="127">
        <f t="shared" si="3"/>
        <v>83394.659634689859</v>
      </c>
      <c r="R17" s="127">
        <f t="shared" si="3"/>
        <v>85062.552827383639</v>
      </c>
      <c r="S17" s="127">
        <f t="shared" si="3"/>
        <v>86763.803883931323</v>
      </c>
    </row>
    <row r="18" spans="2:19" ht="13.2" x14ac:dyDescent="0.25">
      <c r="B18" s="1"/>
    </row>
    <row r="19" spans="2:19" ht="13.2" x14ac:dyDescent="0.25">
      <c r="B19" s="1"/>
    </row>
    <row r="26" spans="2:19" x14ac:dyDescent="0.2">
      <c r="C26" s="180"/>
    </row>
    <row r="27" spans="2:19" x14ac:dyDescent="0.2">
      <c r="C27" s="180"/>
    </row>
    <row r="28" spans="2:19" x14ac:dyDescent="0.2">
      <c r="C28" s="180"/>
    </row>
    <row r="29" spans="2:19" x14ac:dyDescent="0.2">
      <c r="C29" s="180"/>
    </row>
    <row r="30" spans="2:19" x14ac:dyDescent="0.2">
      <c r="C30" s="180"/>
    </row>
    <row r="31" spans="2:19" x14ac:dyDescent="0.2">
      <c r="C31" s="180"/>
    </row>
    <row r="32" spans="2:19" x14ac:dyDescent="0.2">
      <c r="C32" s="180"/>
    </row>
  </sheetData>
  <mergeCells count="1">
    <mergeCell ref="C3:S3"/>
  </mergeCells>
  <pageMargins left="0.7" right="0.7" top="0.75" bottom="0.75" header="0.3" footer="0.3"/>
  <pageSetup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E61EF-C59E-4207-A5A7-4E145A079BEC}">
  <dimension ref="A1:S24"/>
  <sheetViews>
    <sheetView workbookViewId="0">
      <selection activeCell="B4" sqref="B4"/>
    </sheetView>
  </sheetViews>
  <sheetFormatPr defaultColWidth="9.109375" defaultRowHeight="11.4" outlineLevelCol="1" x14ac:dyDescent="0.25"/>
  <cols>
    <col min="1" max="1" width="2" style="8" customWidth="1"/>
    <col min="2" max="3" width="15.109375" style="8" customWidth="1"/>
    <col min="4" max="5" width="7.21875" style="8" bestFit="1" customWidth="1"/>
    <col min="6" max="6" width="8.109375" style="8" bestFit="1" customWidth="1"/>
    <col min="7" max="7" width="6.88671875" style="8" hidden="1" customWidth="1" outlineLevel="1"/>
    <col min="8" max="8" width="10.44140625" style="8" hidden="1" customWidth="1" outlineLevel="1"/>
    <col min="9" max="9" width="10.5546875" style="8" bestFit="1" customWidth="1" collapsed="1"/>
    <col min="10" max="12" width="10.5546875" style="8" bestFit="1" customWidth="1"/>
    <col min="13" max="19" width="9.21875" style="8" bestFit="1" customWidth="1"/>
    <col min="20" max="20" width="2" style="8" customWidth="1"/>
    <col min="21" max="16384" width="9.109375" style="8"/>
  </cols>
  <sheetData>
    <row r="1" spans="1:19" ht="15.6" x14ac:dyDescent="0.25">
      <c r="A1" s="213"/>
      <c r="B1" s="2" t="s">
        <v>311</v>
      </c>
    </row>
    <row r="3" spans="1:19" x14ac:dyDescent="0.2">
      <c r="C3" s="180"/>
    </row>
    <row r="4" spans="1:19" ht="24" x14ac:dyDescent="0.25">
      <c r="B4" s="5" t="s">
        <v>260</v>
      </c>
      <c r="C4" s="6" t="s">
        <v>45</v>
      </c>
      <c r="D4" s="6" t="s">
        <v>46</v>
      </c>
      <c r="E4" s="6" t="s">
        <v>47</v>
      </c>
      <c r="F4" s="6" t="s">
        <v>165</v>
      </c>
      <c r="G4" s="6" t="s">
        <v>173</v>
      </c>
      <c r="H4" s="98" t="s">
        <v>184</v>
      </c>
      <c r="I4" s="98" t="s">
        <v>183</v>
      </c>
      <c r="J4" s="98" t="s">
        <v>185</v>
      </c>
      <c r="K4" s="98" t="s">
        <v>186</v>
      </c>
      <c r="L4" s="98" t="s">
        <v>187</v>
      </c>
      <c r="M4" s="98" t="s">
        <v>188</v>
      </c>
      <c r="N4" s="98" t="s">
        <v>189</v>
      </c>
      <c r="O4" s="98" t="s">
        <v>269</v>
      </c>
      <c r="P4" s="98" t="s">
        <v>270</v>
      </c>
      <c r="Q4" s="98" t="s">
        <v>271</v>
      </c>
      <c r="R4" s="98" t="s">
        <v>272</v>
      </c>
      <c r="S4" s="98" t="s">
        <v>273</v>
      </c>
    </row>
    <row r="5" spans="1:19" x14ac:dyDescent="0.2">
      <c r="B5" s="8" t="s">
        <v>316</v>
      </c>
      <c r="C5" s="180">
        <f>'P&amp;L'!C5</f>
        <v>3198.3560000000002</v>
      </c>
      <c r="D5" s="63">
        <f>'P&amp;L'!D5</f>
        <v>4046.0250000000001</v>
      </c>
      <c r="E5" s="63">
        <f>'P&amp;L'!E5</f>
        <v>7000.1319999999996</v>
      </c>
      <c r="F5" s="63">
        <f>'P&amp;L'!F5</f>
        <v>11758.751</v>
      </c>
      <c r="G5" s="63">
        <f>'P&amp;L'!G5</f>
        <v>7410.982</v>
      </c>
      <c r="H5" s="216">
        <f>'P&amp;L'!H5</f>
        <v>10577.234</v>
      </c>
      <c r="I5" s="216">
        <f>'P&amp;L'!I5</f>
        <v>17988.216</v>
      </c>
      <c r="J5" s="216">
        <f>'P&amp;L'!J5</f>
        <v>23056.672880000002</v>
      </c>
      <c r="K5" s="216">
        <f>'P&amp;L'!K5</f>
        <v>41514.780577980957</v>
      </c>
      <c r="L5" s="216">
        <f>'P&amp;L'!L5</f>
        <v>55124.434679548234</v>
      </c>
      <c r="M5" s="216">
        <f>'P&amp;L'!M5</f>
        <v>71183.609225627253</v>
      </c>
      <c r="N5" s="216">
        <f>'P&amp;L'!N5</f>
        <v>76330.390080534518</v>
      </c>
      <c r="O5" s="216">
        <f>'P&amp;L'!O5</f>
        <v>81914.432877353174</v>
      </c>
      <c r="P5" s="216">
        <f>'P&amp;L'!P5</f>
        <v>85059.345517147638</v>
      </c>
      <c r="Q5" s="216">
        <f>'P&amp;L'!Q5</f>
        <v>88344.249655849737</v>
      </c>
      <c r="R5" s="216">
        <f>'P&amp;L'!R5</f>
        <v>90309.118249813109</v>
      </c>
      <c r="S5" s="216">
        <f>'P&amp;L'!S5</f>
        <v>92325.163231706567</v>
      </c>
    </row>
    <row r="6" spans="1:19" x14ac:dyDescent="0.25">
      <c r="B6" s="193" t="s">
        <v>218</v>
      </c>
      <c r="C6" s="217">
        <f t="shared" ref="C6:S6" si="0">C8/C5</f>
        <v>0.27566380978227573</v>
      </c>
      <c r="D6" s="217">
        <f t="shared" si="0"/>
        <v>0.22824945471172328</v>
      </c>
      <c r="E6" s="217">
        <f t="shared" si="0"/>
        <v>0.22846097759299391</v>
      </c>
      <c r="F6" s="217">
        <f t="shared" si="0"/>
        <v>0.18900706376042839</v>
      </c>
      <c r="G6" s="217">
        <f t="shared" si="0"/>
        <v>0.14511653111557957</v>
      </c>
      <c r="H6" s="218">
        <f t="shared" si="0"/>
        <v>0.19116874431321926</v>
      </c>
      <c r="I6" s="218">
        <f t="shared" si="0"/>
        <v>0.17219564975687915</v>
      </c>
      <c r="J6" s="218">
        <f t="shared" si="0"/>
        <v>0.15368543568256249</v>
      </c>
      <c r="K6" s="218">
        <f t="shared" si="0"/>
        <v>0.15821717044057299</v>
      </c>
      <c r="L6" s="218">
        <f t="shared" si="0"/>
        <v>0.16315866595464171</v>
      </c>
      <c r="M6" s="218">
        <f t="shared" si="0"/>
        <v>0.16667073554755835</v>
      </c>
      <c r="N6" s="218">
        <f t="shared" si="0"/>
        <v>0.16705291890552015</v>
      </c>
      <c r="O6" s="218">
        <f t="shared" si="0"/>
        <v>0.1674438735575999</v>
      </c>
      <c r="P6" s="218">
        <f t="shared" si="0"/>
        <v>0.16770615870465166</v>
      </c>
      <c r="Q6" s="218">
        <f t="shared" si="0"/>
        <v>0.16796620059890155</v>
      </c>
      <c r="R6" s="218">
        <f t="shared" si="0"/>
        <v>0.1679193924830629</v>
      </c>
      <c r="S6" s="218">
        <f t="shared" si="0"/>
        <v>0.16787096572465604</v>
      </c>
    </row>
    <row r="7" spans="1:19" x14ac:dyDescent="0.25">
      <c r="B7" s="193" t="s">
        <v>317</v>
      </c>
      <c r="C7" s="217">
        <f t="shared" ref="C7:S7" si="1">C9/C5</f>
        <v>-5.8370300241749079E-2</v>
      </c>
      <c r="D7" s="217">
        <f t="shared" si="1"/>
        <v>-0.17711927138364195</v>
      </c>
      <c r="E7" s="217">
        <f t="shared" si="1"/>
        <v>-9.5332488015940367E-2</v>
      </c>
      <c r="F7" s="217">
        <f t="shared" si="1"/>
        <v>-0.13879756446921945</v>
      </c>
      <c r="G7" s="217">
        <f t="shared" si="1"/>
        <v>-0.16440007545558741</v>
      </c>
      <c r="H7" s="218">
        <f t="shared" si="1"/>
        <v>-7.3657118568726809E-2</v>
      </c>
      <c r="I7" s="218">
        <f t="shared" si="1"/>
        <v>-0.11104239458027236</v>
      </c>
      <c r="J7" s="218">
        <f t="shared" si="1"/>
        <v>2.8767539418611564E-2</v>
      </c>
      <c r="K7" s="218">
        <f t="shared" si="1"/>
        <v>3.3299274176622047E-2</v>
      </c>
      <c r="L7" s="218">
        <f t="shared" si="1"/>
        <v>3.8240769690690797E-2</v>
      </c>
      <c r="M7" s="218">
        <f t="shared" si="1"/>
        <v>4.1752839283607408E-2</v>
      </c>
      <c r="N7" s="218">
        <f t="shared" si="1"/>
        <v>4.2135022641569229E-2</v>
      </c>
      <c r="O7" s="218">
        <f t="shared" si="1"/>
        <v>4.252597729364898E-2</v>
      </c>
      <c r="P7" s="218">
        <f t="shared" si="1"/>
        <v>4.278826244070074E-2</v>
      </c>
      <c r="Q7" s="218">
        <f t="shared" si="1"/>
        <v>4.3048304334950611E-2</v>
      </c>
      <c r="R7" s="218">
        <f t="shared" si="1"/>
        <v>4.3001496219111979E-2</v>
      </c>
      <c r="S7" s="218">
        <f t="shared" si="1"/>
        <v>4.295306946070513E-2</v>
      </c>
    </row>
    <row r="8" spans="1:19" x14ac:dyDescent="0.2">
      <c r="B8" s="8" t="s">
        <v>77</v>
      </c>
      <c r="C8" s="180">
        <f>'P&amp;L'!C7</f>
        <v>881.67100000000028</v>
      </c>
      <c r="D8" s="63">
        <f>'P&amp;L'!D7</f>
        <v>923.50300000000016</v>
      </c>
      <c r="E8" s="63">
        <f>'P&amp;L'!E7</f>
        <v>1599.2569999999996</v>
      </c>
      <c r="F8" s="63">
        <f>'P&amp;L'!F7</f>
        <v>2222.487000000001</v>
      </c>
      <c r="G8" s="63">
        <f>'P&amp;L'!G7</f>
        <v>1075.4560000000001</v>
      </c>
      <c r="H8" s="216">
        <f>'P&amp;L'!H7</f>
        <v>2022.0365420870894</v>
      </c>
      <c r="I8" s="216">
        <f>'P&amp;L'!I7</f>
        <v>3097.4925420870895</v>
      </c>
      <c r="J8" s="216">
        <f>'P&amp;L'!J7</f>
        <v>3543.4748169531231</v>
      </c>
      <c r="K8" s="216">
        <f>'P&amp;L'!K7</f>
        <v>6568.3511145094017</v>
      </c>
      <c r="L8" s="216">
        <f>'P&amp;L'!L7</f>
        <v>8994.0292238188777</v>
      </c>
      <c r="M8" s="216">
        <f>'P&amp;L'!M7</f>
        <v>11864.224508565254</v>
      </c>
      <c r="N8" s="216">
        <f>'P&amp;L'!N7</f>
        <v>12751.214464150253</v>
      </c>
      <c r="O8" s="216">
        <f>'P&amp;L'!O7</f>
        <v>13716.069941258029</v>
      </c>
      <c r="P8" s="216">
        <f>'P&amp;L'!P7</f>
        <v>14264.976098612562</v>
      </c>
      <c r="Q8" s="216">
        <f>'P&amp;L'!Q7</f>
        <v>14838.847959453895</v>
      </c>
      <c r="R8" s="216">
        <f>'P&amp;L'!R7</f>
        <v>15164.652272189705</v>
      </c>
      <c r="S8" s="216">
        <f>'P&amp;L'!S7</f>
        <v>15498.714312393087</v>
      </c>
    </row>
    <row r="9" spans="1:19" x14ac:dyDescent="0.2">
      <c r="B9" s="8" t="s">
        <v>43</v>
      </c>
      <c r="C9" s="180">
        <f>'P&amp;L'!C9</f>
        <v>-186.68899999999962</v>
      </c>
      <c r="D9" s="180">
        <f>'P&amp;L'!D9</f>
        <v>-716.62899999999991</v>
      </c>
      <c r="E9" s="180">
        <f>'P&amp;L'!E9</f>
        <v>-667.3400000000006</v>
      </c>
      <c r="F9" s="180">
        <f>'P&amp;L'!F9</f>
        <v>-1632.0859999999989</v>
      </c>
      <c r="G9" s="8">
        <f>'P&amp;L'!G9</f>
        <v>-1218.366</v>
      </c>
      <c r="H9" s="90">
        <f>'P&amp;L'!H9</f>
        <v>-779.08857886716851</v>
      </c>
      <c r="I9" s="90">
        <f>'P&amp;L'!I9</f>
        <v>-1997.4545788671685</v>
      </c>
      <c r="J9" s="90">
        <f>'P&amp;L'!J9</f>
        <v>663.28374593743229</v>
      </c>
      <c r="K9" s="90">
        <f>'P&amp;L'!K9</f>
        <v>1382.4120608484918</v>
      </c>
      <c r="L9" s="90">
        <f>'P&amp;L'!L9</f>
        <v>2108.0008109101327</v>
      </c>
      <c r="M9" s="90">
        <f>'P&amp;L'!M9</f>
        <v>2972.1177956247284</v>
      </c>
      <c r="N9" s="90">
        <f>'P&amp;L'!N9</f>
        <v>3216.1827142831335</v>
      </c>
      <c r="O9" s="90">
        <f>'P&amp;L'!O9</f>
        <v>3483.4913125644543</v>
      </c>
      <c r="P9" s="90">
        <f>'P&amp;L'!P9</f>
        <v>3639.5415990219553</v>
      </c>
      <c r="Q9" s="90">
        <f>'P&amp;L'!Q9</f>
        <v>3803.0701454278751</v>
      </c>
      <c r="R9" s="90">
        <f>'P&amp;L'!R9</f>
        <v>3883.4272069706749</v>
      </c>
      <c r="S9" s="90">
        <f>'P&amp;L'!S9</f>
        <v>3965.6491492624318</v>
      </c>
    </row>
    <row r="10" spans="1:19" ht="13.2" x14ac:dyDescent="0.25">
      <c r="B10" s="1"/>
    </row>
    <row r="11" spans="1:19" ht="13.2" x14ac:dyDescent="0.25">
      <c r="B11" s="1"/>
    </row>
    <row r="18" spans="3:3" x14ac:dyDescent="0.2">
      <c r="C18" s="180"/>
    </row>
    <row r="19" spans="3:3" x14ac:dyDescent="0.2">
      <c r="C19" s="180"/>
    </row>
    <row r="20" spans="3:3" x14ac:dyDescent="0.2">
      <c r="C20" s="180"/>
    </row>
    <row r="21" spans="3:3" x14ac:dyDescent="0.2">
      <c r="C21" s="180"/>
    </row>
    <row r="22" spans="3:3" x14ac:dyDescent="0.2">
      <c r="C22" s="180"/>
    </row>
    <row r="23" spans="3:3" x14ac:dyDescent="0.2">
      <c r="C23" s="180"/>
    </row>
    <row r="24" spans="3:3" x14ac:dyDescent="0.2">
      <c r="C24" s="180"/>
    </row>
  </sheetData>
  <pageMargins left="0.7" right="0.7" top="0.75" bottom="0.75" header="0.3" footer="0.3"/>
  <pageSetup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81805-539C-40CE-BB49-177B73BB5A1B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319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5"/>
  <sheetViews>
    <sheetView workbookViewId="0">
      <selection activeCell="E39" sqref="E39"/>
    </sheetView>
  </sheetViews>
  <sheetFormatPr defaultColWidth="9.109375" defaultRowHeight="11.4" x14ac:dyDescent="0.25"/>
  <cols>
    <col min="1" max="1" width="2" style="8" customWidth="1"/>
    <col min="2" max="2" width="44.88671875" style="8" bestFit="1" customWidth="1"/>
    <col min="3" max="4" width="12.88671875" style="8" bestFit="1" customWidth="1"/>
    <col min="5" max="5" width="14" style="8" bestFit="1" customWidth="1"/>
    <col min="6" max="7" width="11.44140625" style="8" customWidth="1"/>
    <col min="8" max="8" width="9.109375" style="8"/>
    <col min="9" max="10" width="10.33203125" style="8" bestFit="1" customWidth="1"/>
    <col min="11" max="16384" width="9.109375" style="8"/>
  </cols>
  <sheetData>
    <row r="1" spans="2:7" ht="15.6" x14ac:dyDescent="0.25">
      <c r="B1" s="2" t="s">
        <v>168</v>
      </c>
    </row>
    <row r="3" spans="2:7" ht="24" x14ac:dyDescent="0.25">
      <c r="B3" s="5" t="s">
        <v>37</v>
      </c>
      <c r="C3" s="62" t="s">
        <v>48</v>
      </c>
      <c r="D3" s="62" t="s">
        <v>49</v>
      </c>
      <c r="E3" s="62" t="s">
        <v>50</v>
      </c>
      <c r="F3" s="62" t="s">
        <v>167</v>
      </c>
      <c r="G3" s="65" t="s">
        <v>169</v>
      </c>
    </row>
    <row r="4" spans="2:7" x14ac:dyDescent="0.25">
      <c r="B4" s="8" t="s">
        <v>7</v>
      </c>
      <c r="C4" s="80">
        <v>1905713</v>
      </c>
      <c r="D4" s="80">
        <v>1196908</v>
      </c>
      <c r="E4" s="80">
        <v>3393216</v>
      </c>
      <c r="F4" s="80">
        <v>3367914</v>
      </c>
      <c r="G4" s="81">
        <v>2236424</v>
      </c>
    </row>
    <row r="5" spans="2:7" x14ac:dyDescent="0.25">
      <c r="B5" s="8" t="s">
        <v>39</v>
      </c>
      <c r="C5" s="80">
        <v>17947</v>
      </c>
      <c r="D5" s="80">
        <v>22628</v>
      </c>
      <c r="E5" s="80">
        <v>105519</v>
      </c>
      <c r="F5" s="80">
        <v>155323</v>
      </c>
      <c r="G5" s="81">
        <v>146822</v>
      </c>
    </row>
    <row r="6" spans="2:7" x14ac:dyDescent="0.25">
      <c r="B6" s="8" t="s">
        <v>8</v>
      </c>
      <c r="C6" s="80">
        <v>226604</v>
      </c>
      <c r="D6" s="80">
        <v>168965</v>
      </c>
      <c r="E6" s="80">
        <v>499142</v>
      </c>
      <c r="F6" s="80">
        <v>515381</v>
      </c>
      <c r="G6" s="81">
        <v>569874</v>
      </c>
    </row>
    <row r="7" spans="2:7" x14ac:dyDescent="0.25">
      <c r="B7" s="8" t="s">
        <v>9</v>
      </c>
      <c r="C7" s="80">
        <v>953675</v>
      </c>
      <c r="D7" s="80">
        <v>1277838</v>
      </c>
      <c r="E7" s="80">
        <v>2067454</v>
      </c>
      <c r="F7" s="80">
        <v>2263537</v>
      </c>
      <c r="G7" s="81">
        <v>3324643</v>
      </c>
    </row>
    <row r="8" spans="2:7" x14ac:dyDescent="0.25">
      <c r="B8" s="8" t="s">
        <v>10</v>
      </c>
      <c r="C8" s="80">
        <v>76134</v>
      </c>
      <c r="D8" s="80">
        <v>115667</v>
      </c>
      <c r="E8" s="80">
        <v>194465</v>
      </c>
      <c r="F8" s="80">
        <v>268365</v>
      </c>
      <c r="G8" s="81">
        <v>422034</v>
      </c>
    </row>
    <row r="9" spans="2:7" ht="12" x14ac:dyDescent="0.25">
      <c r="B9" s="9" t="s">
        <v>11</v>
      </c>
      <c r="C9" s="82">
        <f>SUM(C4:C8)</f>
        <v>3180073</v>
      </c>
      <c r="D9" s="82">
        <f>SUM(D4:D8)</f>
        <v>2782006</v>
      </c>
      <c r="E9" s="82">
        <f>SUM(E4:E8)</f>
        <v>6259796</v>
      </c>
      <c r="F9" s="82">
        <f>SUM(F4:F8)</f>
        <v>6570520</v>
      </c>
      <c r="G9" s="83">
        <f>SUM(G4:G8)</f>
        <v>6699797</v>
      </c>
    </row>
    <row r="10" spans="2:7" x14ac:dyDescent="0.25">
      <c r="B10" s="8" t="s">
        <v>12</v>
      </c>
      <c r="C10" s="80">
        <v>766744</v>
      </c>
      <c r="D10" s="80">
        <v>1791403</v>
      </c>
      <c r="E10" s="80">
        <v>3134080</v>
      </c>
      <c r="F10" s="80">
        <v>4116604</v>
      </c>
      <c r="G10" s="81">
        <v>2282047</v>
      </c>
    </row>
    <row r="11" spans="2:7" x14ac:dyDescent="0.25">
      <c r="B11" s="8" t="s">
        <v>13</v>
      </c>
      <c r="C11" s="80">
        <v>0</v>
      </c>
      <c r="D11" s="80">
        <v>0</v>
      </c>
      <c r="E11" s="80">
        <v>5919880</v>
      </c>
      <c r="F11" s="80">
        <v>6347490</v>
      </c>
      <c r="G11" s="81">
        <v>6340031</v>
      </c>
    </row>
    <row r="12" spans="2:7" x14ac:dyDescent="0.25">
      <c r="B12" s="8" t="s">
        <v>14</v>
      </c>
      <c r="C12" s="80">
        <v>1829267</v>
      </c>
      <c r="D12" s="80">
        <v>3403334</v>
      </c>
      <c r="E12" s="80">
        <v>5982957</v>
      </c>
      <c r="F12" s="80">
        <v>10027522</v>
      </c>
      <c r="G12" s="81">
        <v>10969348</v>
      </c>
    </row>
    <row r="13" spans="2:7" x14ac:dyDescent="0.25">
      <c r="B13" s="8" t="s">
        <v>15</v>
      </c>
      <c r="C13" s="80">
        <v>0</v>
      </c>
      <c r="D13" s="80">
        <v>12816</v>
      </c>
      <c r="E13" s="80">
        <v>376145</v>
      </c>
      <c r="F13" s="80">
        <v>361502</v>
      </c>
      <c r="G13" s="81">
        <v>364690</v>
      </c>
    </row>
    <row r="14" spans="2:7" x14ac:dyDescent="0.25">
      <c r="B14" s="8" t="s">
        <v>16</v>
      </c>
      <c r="C14" s="80">
        <v>0</v>
      </c>
      <c r="D14" s="80">
        <v>0</v>
      </c>
      <c r="E14" s="80">
        <v>506302</v>
      </c>
      <c r="F14" s="80">
        <f>456652+60237</f>
        <v>516889</v>
      </c>
      <c r="G14" s="81">
        <v>434841</v>
      </c>
    </row>
    <row r="15" spans="2:7" x14ac:dyDescent="0.25">
      <c r="B15" s="8" t="s">
        <v>17</v>
      </c>
      <c r="C15" s="80">
        <v>11374</v>
      </c>
      <c r="D15" s="80">
        <v>31522</v>
      </c>
      <c r="E15" s="80">
        <v>268165</v>
      </c>
      <c r="F15" s="80">
        <v>441722</v>
      </c>
      <c r="G15" s="81">
        <v>399992</v>
      </c>
    </row>
    <row r="16" spans="2:7" x14ac:dyDescent="0.25">
      <c r="B16" s="8" t="s">
        <v>18</v>
      </c>
      <c r="C16" s="80">
        <v>43209</v>
      </c>
      <c r="D16" s="80">
        <v>46858</v>
      </c>
      <c r="E16" s="80">
        <v>216751</v>
      </c>
      <c r="F16" s="80">
        <v>273123</v>
      </c>
      <c r="G16" s="81">
        <v>419254</v>
      </c>
    </row>
    <row r="17" spans="2:7" ht="12.6" thickBot="1" x14ac:dyDescent="0.3">
      <c r="B17" s="10" t="s">
        <v>19</v>
      </c>
      <c r="C17" s="84">
        <f t="shared" ref="C17:E17" si="0">SUM(C9:C16)</f>
        <v>5830667</v>
      </c>
      <c r="D17" s="84">
        <f t="shared" si="0"/>
        <v>8067939</v>
      </c>
      <c r="E17" s="84">
        <f t="shared" si="0"/>
        <v>22664076</v>
      </c>
      <c r="F17" s="84">
        <f>SUM(F9:F16)</f>
        <v>28655372</v>
      </c>
      <c r="G17" s="85">
        <f>SUM(G9:G16)</f>
        <v>27910000</v>
      </c>
    </row>
    <row r="18" spans="2:7" x14ac:dyDescent="0.25">
      <c r="B18" s="8" t="s">
        <v>20</v>
      </c>
      <c r="C18" s="80">
        <v>777946</v>
      </c>
      <c r="D18" s="80">
        <v>916148</v>
      </c>
      <c r="E18" s="80">
        <v>1860341</v>
      </c>
      <c r="F18" s="80">
        <v>2390250</v>
      </c>
      <c r="G18" s="81">
        <v>3030493</v>
      </c>
    </row>
    <row r="19" spans="2:7" x14ac:dyDescent="0.25">
      <c r="B19" s="8" t="s">
        <v>38</v>
      </c>
      <c r="C19" s="80">
        <v>268883</v>
      </c>
      <c r="D19" s="80">
        <v>422798</v>
      </c>
      <c r="E19" s="80">
        <v>1210028</v>
      </c>
      <c r="F19" s="80">
        <v>1731366</v>
      </c>
      <c r="G19" s="81">
        <v>1814979</v>
      </c>
    </row>
    <row r="20" spans="2:7" x14ac:dyDescent="0.25">
      <c r="B20" s="8" t="s">
        <v>21</v>
      </c>
      <c r="C20" s="80">
        <v>191651</v>
      </c>
      <c r="D20" s="80">
        <v>423961</v>
      </c>
      <c r="E20" s="80">
        <v>763126</v>
      </c>
      <c r="F20" s="80">
        <v>1015253</v>
      </c>
      <c r="G20" s="81">
        <v>576321</v>
      </c>
    </row>
    <row r="21" spans="2:7" x14ac:dyDescent="0.25">
      <c r="B21" s="8" t="s">
        <v>22</v>
      </c>
      <c r="C21" s="80">
        <v>0</v>
      </c>
      <c r="D21" s="80">
        <v>136831</v>
      </c>
      <c r="E21" s="80">
        <v>179504</v>
      </c>
      <c r="F21" s="80">
        <v>787333</v>
      </c>
      <c r="G21" s="81">
        <v>674255</v>
      </c>
    </row>
    <row r="22" spans="2:7" x14ac:dyDescent="0.25">
      <c r="B22" s="8" t="s">
        <v>23</v>
      </c>
      <c r="C22" s="80">
        <v>257587</v>
      </c>
      <c r="D22" s="80">
        <v>283370</v>
      </c>
      <c r="E22" s="80">
        <v>663859</v>
      </c>
      <c r="F22" s="80">
        <v>853919</v>
      </c>
      <c r="G22" s="81">
        <v>942129</v>
      </c>
    </row>
    <row r="23" spans="2:7" x14ac:dyDescent="0.25">
      <c r="B23" s="8" t="s">
        <v>24</v>
      </c>
      <c r="C23" s="80">
        <v>611099</v>
      </c>
      <c r="D23" s="80">
        <v>627927</v>
      </c>
      <c r="E23" s="80">
        <v>984211</v>
      </c>
      <c r="F23" s="80">
        <v>796549</v>
      </c>
      <c r="G23" s="81">
        <v>2103185</v>
      </c>
    </row>
    <row r="24" spans="2:7" x14ac:dyDescent="0.25">
      <c r="B24" s="8" t="s">
        <v>25</v>
      </c>
      <c r="C24" s="80">
        <v>0</v>
      </c>
      <c r="D24" s="80"/>
      <c r="E24" s="80"/>
      <c r="F24" s="73"/>
      <c r="G24" s="74"/>
    </row>
    <row r="25" spans="2:7" x14ac:dyDescent="0.25">
      <c r="B25" s="8" t="s">
        <v>26</v>
      </c>
      <c r="C25" s="80">
        <v>0</v>
      </c>
      <c r="D25" s="80">
        <v>0</v>
      </c>
      <c r="E25" s="80">
        <v>165936</v>
      </c>
      <c r="F25" s="80">
        <v>100000</v>
      </c>
      <c r="G25" s="81">
        <v>0</v>
      </c>
    </row>
    <row r="26" spans="2:7" ht="12" x14ac:dyDescent="0.25">
      <c r="B26" s="9" t="s">
        <v>27</v>
      </c>
      <c r="C26" s="82">
        <v>2107166</v>
      </c>
      <c r="D26" s="82">
        <v>2811035</v>
      </c>
      <c r="E26" s="82">
        <v>5827005</v>
      </c>
      <c r="F26" s="82">
        <f>SUM(F18:F25)</f>
        <v>7674670</v>
      </c>
      <c r="G26" s="83">
        <f>SUM(G18:G25)</f>
        <v>9141362</v>
      </c>
    </row>
    <row r="27" spans="2:7" x14ac:dyDescent="0.25">
      <c r="B27" s="8" t="s">
        <v>28</v>
      </c>
      <c r="C27" s="80"/>
      <c r="D27" s="80"/>
      <c r="E27" s="80"/>
      <c r="F27" s="80"/>
      <c r="G27" s="81"/>
    </row>
    <row r="28" spans="2:7" x14ac:dyDescent="0.25">
      <c r="B28" s="8" t="s">
        <v>16</v>
      </c>
      <c r="C28" s="80">
        <v>1818785</v>
      </c>
      <c r="D28" s="80">
        <v>2021093</v>
      </c>
      <c r="E28" s="80">
        <v>5860049</v>
      </c>
      <c r="F28" s="80">
        <v>9415700</v>
      </c>
      <c r="G28" s="81">
        <v>9513390</v>
      </c>
    </row>
    <row r="29" spans="2:7" x14ac:dyDescent="0.25">
      <c r="B29" s="8" t="s">
        <v>66</v>
      </c>
      <c r="C29" s="73">
        <v>993006</v>
      </c>
      <c r="D29" s="73">
        <v>2152107</v>
      </c>
      <c r="E29" s="73">
        <v>5438936</v>
      </c>
      <c r="F29" s="73">
        <v>6330414</v>
      </c>
      <c r="G29" s="74">
        <f>795820+584857+2607458</f>
        <v>3988135</v>
      </c>
    </row>
    <row r="30" spans="2:7" ht="12" x14ac:dyDescent="0.25">
      <c r="B30" s="64" t="s">
        <v>29</v>
      </c>
      <c r="C30" s="86">
        <f>SUM(C26:C29)</f>
        <v>4918957</v>
      </c>
      <c r="D30" s="86">
        <f>SUM(D26:D29)</f>
        <v>6984235</v>
      </c>
      <c r="E30" s="86">
        <f>SUM(E26:E29)</f>
        <v>17125990</v>
      </c>
      <c r="F30" s="86">
        <f>SUM(F26:F29)</f>
        <v>23420784</v>
      </c>
      <c r="G30" s="87">
        <f>SUM(G26:G29)</f>
        <v>22642887</v>
      </c>
    </row>
    <row r="31" spans="2:7" ht="12" x14ac:dyDescent="0.25">
      <c r="B31" s="64" t="s">
        <v>30</v>
      </c>
      <c r="C31" s="86">
        <v>911710</v>
      </c>
      <c r="D31" s="86">
        <v>1083704</v>
      </c>
      <c r="E31" s="86">
        <v>4752911</v>
      </c>
      <c r="F31" s="86">
        <v>4237242</v>
      </c>
      <c r="G31" s="87">
        <f>3906421+539536</f>
        <v>4445957</v>
      </c>
    </row>
    <row r="32" spans="2:7" x14ac:dyDescent="0.25">
      <c r="B32" s="8" t="s">
        <v>31</v>
      </c>
      <c r="C32" s="80">
        <v>0</v>
      </c>
      <c r="D32" s="80">
        <v>0</v>
      </c>
      <c r="E32" s="80">
        <v>785175</v>
      </c>
      <c r="F32" s="80">
        <v>997346</v>
      </c>
      <c r="G32" s="81">
        <v>821156</v>
      </c>
    </row>
    <row r="33" spans="2:7" ht="12.6" thickBot="1" x14ac:dyDescent="0.3">
      <c r="B33" s="10" t="s">
        <v>32</v>
      </c>
      <c r="C33" s="84">
        <f>C30+C31+C32</f>
        <v>5830667</v>
      </c>
      <c r="D33" s="84">
        <f>D30+D31+D32</f>
        <v>8067939</v>
      </c>
      <c r="E33" s="84">
        <f>E30+E31+E32</f>
        <v>22664076</v>
      </c>
      <c r="F33" s="84">
        <f>F30+F31+F32</f>
        <v>28655372</v>
      </c>
      <c r="G33" s="85">
        <f>G30+G31+G32</f>
        <v>27910000</v>
      </c>
    </row>
    <row r="34" spans="2:7" x14ac:dyDescent="0.25">
      <c r="F34" s="63"/>
    </row>
    <row r="35" spans="2:7" x14ac:dyDescent="0.2">
      <c r="B35" s="68" t="s">
        <v>171</v>
      </c>
      <c r="C35" s="67"/>
      <c r="D35" s="67"/>
      <c r="E35" s="67"/>
      <c r="F35" s="67"/>
      <c r="G35" s="67"/>
    </row>
    <row r="36" spans="2:7" x14ac:dyDescent="0.2">
      <c r="B36" s="68" t="s">
        <v>349</v>
      </c>
      <c r="C36" s="67"/>
      <c r="D36" s="67"/>
      <c r="E36" s="67"/>
      <c r="F36" s="67"/>
      <c r="G36" s="67"/>
    </row>
    <row r="37" spans="2:7" x14ac:dyDescent="0.2">
      <c r="B37" s="66" t="s">
        <v>351</v>
      </c>
      <c r="C37" s="67">
        <f>(C4+C5)/C26</f>
        <v>0.91291336325662054</v>
      </c>
      <c r="D37" s="67">
        <f t="shared" ref="D37:G37" si="1">(D4+D5)/D26</f>
        <v>0.43383878180100921</v>
      </c>
      <c r="E37" s="67">
        <f t="shared" si="1"/>
        <v>0.60043452854425217</v>
      </c>
      <c r="F37" s="67">
        <f t="shared" si="1"/>
        <v>0.45907341944344188</v>
      </c>
      <c r="G37" s="67">
        <f t="shared" si="1"/>
        <v>0.26071016550925341</v>
      </c>
    </row>
    <row r="38" spans="2:7" x14ac:dyDescent="0.2">
      <c r="B38" s="66" t="s">
        <v>352</v>
      </c>
      <c r="C38" s="67">
        <f>C9/C26</f>
        <v>1.5091706111431182</v>
      </c>
      <c r="D38" s="67">
        <f>D9/D26</f>
        <v>0.98967319866170289</v>
      </c>
      <c r="E38" s="67">
        <f>E9/E26</f>
        <v>1.0742733187975642</v>
      </c>
      <c r="F38" s="67">
        <f>F9/F26</f>
        <v>0.8561306219029613</v>
      </c>
      <c r="G38" s="67">
        <f>G9/G26</f>
        <v>0.7329101505880633</v>
      </c>
    </row>
    <row r="39" spans="2:7" x14ac:dyDescent="0.2">
      <c r="B39" s="66" t="s">
        <v>51</v>
      </c>
      <c r="C39" s="67">
        <f>C6/'P&amp;L Input'!C7*360</f>
        <v>25.506053735106413</v>
      </c>
      <c r="D39" s="67">
        <f>D6/'P&amp;L Input'!D7*360</f>
        <v>15.033866572747325</v>
      </c>
      <c r="E39" s="67">
        <f>E6/'P&amp;L Input'!E7*360</f>
        <v>25.66967594325364</v>
      </c>
      <c r="F39" s="67">
        <f>F6/'P&amp;L Input'!F7*360</f>
        <v>15.77864519794662</v>
      </c>
      <c r="G39" s="67">
        <f>G6/'P&amp;L Input'!G7*180</f>
        <v>13.841258823729435</v>
      </c>
    </row>
    <row r="40" spans="2:7" x14ac:dyDescent="0.2">
      <c r="B40" s="66" t="s">
        <v>52</v>
      </c>
      <c r="C40" s="67">
        <f>-C7/SUM('P&amp;L Input'!C8:C10)*360</f>
        <v>148.19580564470351</v>
      </c>
      <c r="D40" s="67">
        <f>-D7/SUM('P&amp;L Input'!D8:D10)*360</f>
        <v>147.32375944829212</v>
      </c>
      <c r="E40" s="67">
        <f>-E7/SUM('P&amp;L Input'!E8:E10)*360</f>
        <v>137.80793667692734</v>
      </c>
      <c r="F40" s="67">
        <f>-F7/SUM('P&amp;L Input'!F8:F10)*360</f>
        <v>85.449953986173199</v>
      </c>
      <c r="G40" s="67">
        <f>-G7/SUM('P&amp;L Input'!G8:G10)*180</f>
        <v>94.457151624032477</v>
      </c>
    </row>
    <row r="41" spans="2:7" x14ac:dyDescent="0.2">
      <c r="B41" s="66" t="s">
        <v>53</v>
      </c>
      <c r="C41" s="67">
        <f>-C18/SUM('P&amp;L Input'!C8:C10)*360</f>
        <v>120.88849368817945</v>
      </c>
      <c r="D41" s="67">
        <f>-D18/SUM('P&amp;L Input'!D8:D10)*360</f>
        <v>105.62400521117225</v>
      </c>
      <c r="E41" s="67">
        <f>-E18/SUM('P&amp;L Input'!E8:E10)*360</f>
        <v>124.00264031291226</v>
      </c>
      <c r="F41" s="67">
        <f>-F18/SUM('P&amp;L Input'!F8:F10)*360</f>
        <v>90.233449912879919</v>
      </c>
      <c r="G41" s="67">
        <f>-G18/SUM('P&amp;L Input'!G8:G10)*180</f>
        <v>86.099992328971581</v>
      </c>
    </row>
    <row r="42" spans="2:7" x14ac:dyDescent="0.2">
      <c r="B42" s="66" t="s">
        <v>54</v>
      </c>
      <c r="C42" s="67">
        <f>C39+C40-C41</f>
        <v>52.813365691630466</v>
      </c>
      <c r="D42" s="67">
        <f>D39+D40-D41</f>
        <v>56.73362080986719</v>
      </c>
      <c r="E42" s="67">
        <f>E39+E40-E41</f>
        <v>39.474972307268729</v>
      </c>
      <c r="F42" s="67">
        <f>F39+F40-F41</f>
        <v>10.995149271239896</v>
      </c>
      <c r="G42" s="67">
        <f>G39+G40-G41</f>
        <v>22.198418118790329</v>
      </c>
    </row>
    <row r="43" spans="2:7" x14ac:dyDescent="0.2">
      <c r="B43" s="68" t="s">
        <v>353</v>
      </c>
      <c r="C43" s="67"/>
      <c r="D43" s="67"/>
      <c r="E43" s="67"/>
      <c r="F43" s="67"/>
      <c r="G43" s="67"/>
    </row>
    <row r="44" spans="2:7" x14ac:dyDescent="0.2">
      <c r="B44" s="66" t="s">
        <v>350</v>
      </c>
      <c r="C44" s="67">
        <f>C17/C30</f>
        <v>1.1853462024571468</v>
      </c>
      <c r="D44" s="67">
        <f t="shared" ref="D44:G44" si="2">D17/D30</f>
        <v>1.1551643093338069</v>
      </c>
      <c r="E44" s="67">
        <f t="shared" si="2"/>
        <v>1.3233731889368148</v>
      </c>
      <c r="F44" s="67">
        <f t="shared" si="2"/>
        <v>1.2235018264119595</v>
      </c>
      <c r="G44" s="67">
        <f t="shared" si="2"/>
        <v>1.23261667118685</v>
      </c>
    </row>
    <row r="45" spans="2:7" x14ac:dyDescent="0.2">
      <c r="B45" s="66" t="s">
        <v>354</v>
      </c>
      <c r="C45" s="223" t="s">
        <v>355</v>
      </c>
      <c r="D45" s="223" t="s">
        <v>355</v>
      </c>
      <c r="E45" s="223" t="s">
        <v>355</v>
      </c>
      <c r="F45" s="223" t="s">
        <v>355</v>
      </c>
      <c r="G45" s="223" t="s">
        <v>355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F11E2-83A7-446D-9683-E65B805A5A2A}">
  <dimension ref="A1:C25"/>
  <sheetViews>
    <sheetView workbookViewId="0"/>
  </sheetViews>
  <sheetFormatPr defaultColWidth="9.109375" defaultRowHeight="11.4" x14ac:dyDescent="0.25"/>
  <cols>
    <col min="1" max="1" width="2" style="8" customWidth="1"/>
    <col min="2" max="2" width="23.33203125" style="8" customWidth="1"/>
    <col min="3" max="3" width="15.109375" style="8" customWidth="1"/>
    <col min="4" max="4" width="2" style="8" customWidth="1"/>
    <col min="5" max="6" width="11.33203125" style="8" bestFit="1" customWidth="1"/>
    <col min="7" max="7" width="10.33203125" style="8" bestFit="1" customWidth="1"/>
    <col min="8" max="12" width="10.44140625" style="8" bestFit="1" customWidth="1"/>
    <col min="13" max="16384" width="9.109375" style="8"/>
  </cols>
  <sheetData>
    <row r="1" spans="1:3" ht="15.6" x14ac:dyDescent="0.25">
      <c r="A1" s="213"/>
      <c r="B1" s="2" t="s">
        <v>331</v>
      </c>
    </row>
    <row r="3" spans="1:3" x14ac:dyDescent="0.25">
      <c r="B3" s="8" t="s">
        <v>322</v>
      </c>
      <c r="C3" s="174">
        <f>'Revenue automotive'!F11*1000/Deliveries!F11</f>
        <v>93.535837634366871</v>
      </c>
    </row>
    <row r="4" spans="1:3" x14ac:dyDescent="0.25">
      <c r="B4" s="8" t="s">
        <v>323</v>
      </c>
      <c r="C4" s="174">
        <f>'Revenue automotive'!I11*1000/Deliveries!I11</f>
        <v>61.729425028184892</v>
      </c>
    </row>
    <row r="5" spans="1:3" x14ac:dyDescent="0.25">
      <c r="B5" s="8" t="s">
        <v>324</v>
      </c>
      <c r="C5" s="174">
        <f>'Revenue automotive'!J11*1000/Deliveries!J11</f>
        <v>54.90235104210133</v>
      </c>
    </row>
    <row r="7" spans="1:3" x14ac:dyDescent="0.2">
      <c r="B7" s="8" t="s">
        <v>325</v>
      </c>
      <c r="C7" s="180">
        <f>Deliveries!F11</f>
        <v>103076</v>
      </c>
    </row>
    <row r="8" spans="1:3" x14ac:dyDescent="0.2">
      <c r="B8" s="8" t="s">
        <v>326</v>
      </c>
      <c r="C8" s="180">
        <f>Deliveries!I11</f>
        <v>230620</v>
      </c>
    </row>
    <row r="9" spans="1:3" x14ac:dyDescent="0.2">
      <c r="B9" s="8" t="s">
        <v>327</v>
      </c>
      <c r="C9" s="180">
        <f>Deliveries!J11</f>
        <v>364264</v>
      </c>
    </row>
    <row r="11" spans="1:3" x14ac:dyDescent="0.2">
      <c r="B11" s="8" t="s">
        <v>320</v>
      </c>
      <c r="C11" s="180">
        <f>'Revenue automotive'!F11</f>
        <v>9641.2999999999993</v>
      </c>
    </row>
    <row r="12" spans="1:3" x14ac:dyDescent="0.2">
      <c r="B12" s="8" t="s">
        <v>328</v>
      </c>
      <c r="C12" s="180">
        <f>(C8-C7)*C3/1000</f>
        <v>11929.934875237688</v>
      </c>
    </row>
    <row r="13" spans="1:3" x14ac:dyDescent="0.2">
      <c r="B13" s="8" t="s">
        <v>329</v>
      </c>
      <c r="C13" s="180">
        <f>C7*(C4-C3)/1000</f>
        <v>-3278.4777857948138</v>
      </c>
    </row>
    <row r="14" spans="1:3" x14ac:dyDescent="0.2">
      <c r="B14" s="8" t="s">
        <v>330</v>
      </c>
      <c r="C14" s="180">
        <f>(C8-C7)*(C4-C3)/1000</f>
        <v>-4056.7170894428741</v>
      </c>
    </row>
    <row r="15" spans="1:3" x14ac:dyDescent="0.2">
      <c r="B15" s="8" t="s">
        <v>321</v>
      </c>
      <c r="C15" s="180">
        <f>'Revenue automotive'!I11</f>
        <v>14236.04</v>
      </c>
    </row>
    <row r="16" spans="1:3" x14ac:dyDescent="0.2">
      <c r="C16" s="180"/>
    </row>
    <row r="17" spans="2:3" x14ac:dyDescent="0.2">
      <c r="C17" s="180"/>
    </row>
    <row r="18" spans="2:3" x14ac:dyDescent="0.2">
      <c r="C18" s="180"/>
    </row>
    <row r="19" spans="2:3" x14ac:dyDescent="0.2">
      <c r="C19" s="180"/>
    </row>
    <row r="20" spans="2:3" x14ac:dyDescent="0.2">
      <c r="C20" s="180"/>
    </row>
    <row r="21" spans="2:3" x14ac:dyDescent="0.2">
      <c r="B21" s="8" t="s">
        <v>321</v>
      </c>
      <c r="C21" s="180">
        <f>'Revenue automotive'!I11</f>
        <v>14236.04</v>
      </c>
    </row>
    <row r="22" spans="2:3" x14ac:dyDescent="0.2">
      <c r="B22" s="8" t="s">
        <v>328</v>
      </c>
      <c r="C22" s="180">
        <f>(C9-C8)*C4/1000</f>
        <v>8249.7672784667411</v>
      </c>
    </row>
    <row r="23" spans="2:3" x14ac:dyDescent="0.2">
      <c r="B23" s="8" t="s">
        <v>329</v>
      </c>
      <c r="C23" s="180">
        <f>C8*(C5-C4)/1000</f>
        <v>-1574.459802670591</v>
      </c>
    </row>
    <row r="24" spans="2:3" x14ac:dyDescent="0.2">
      <c r="B24" s="8" t="s">
        <v>330</v>
      </c>
      <c r="C24" s="180">
        <f>(C9-C8)*(C5-C4)/1000</f>
        <v>-912.39747579615153</v>
      </c>
    </row>
    <row r="25" spans="2:3" x14ac:dyDescent="0.2">
      <c r="B25" s="8" t="s">
        <v>332</v>
      </c>
      <c r="C25" s="180">
        <f>'Revenue automotive'!J11</f>
        <v>19998.95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E883-0D4D-4DA8-ABAA-F07CB55B280E}">
  <sheetPr>
    <tabColor rgb="FFC00000"/>
  </sheetPr>
  <dimension ref="B14:G29"/>
  <sheetViews>
    <sheetView workbookViewId="0">
      <selection activeCell="G29" sqref="G29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253</v>
      </c>
    </row>
    <row r="29" spans="7:7" x14ac:dyDescent="0.25">
      <c r="G29" s="1" t="s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3E8-D4EE-442D-98FE-72A55CFF9E96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5A35-43D7-48CF-8D07-FCB5D996320B}">
  <dimension ref="A1:S27"/>
  <sheetViews>
    <sheetView workbookViewId="0">
      <selection activeCell="I16" sqref="I1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180</v>
      </c>
    </row>
    <row r="2" spans="1:19" ht="15.6" x14ac:dyDescent="0.25">
      <c r="A2" s="1"/>
      <c r="B2" s="2"/>
    </row>
    <row r="3" spans="1:19" ht="12" x14ac:dyDescent="0.25">
      <c r="C3" s="224" t="s">
        <v>182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</row>
    <row r="4" spans="1:19" ht="24" x14ac:dyDescent="0.25">
      <c r="B4" s="36" t="s">
        <v>172</v>
      </c>
      <c r="C4" s="6" t="s">
        <v>45</v>
      </c>
      <c r="D4" s="6" t="s">
        <v>46</v>
      </c>
      <c r="E4" s="6" t="s">
        <v>47</v>
      </c>
      <c r="F4" s="6" t="s">
        <v>165</v>
      </c>
      <c r="G4" s="6" t="s">
        <v>173</v>
      </c>
      <c r="H4" s="98" t="s">
        <v>184</v>
      </c>
      <c r="I4" s="98" t="s">
        <v>183</v>
      </c>
      <c r="J4" s="98" t="s">
        <v>185</v>
      </c>
      <c r="K4" s="98" t="s">
        <v>186</v>
      </c>
      <c r="L4" s="98" t="s">
        <v>187</v>
      </c>
      <c r="M4" s="98" t="s">
        <v>188</v>
      </c>
      <c r="N4" s="98" t="s">
        <v>189</v>
      </c>
      <c r="O4" s="98" t="s">
        <v>269</v>
      </c>
      <c r="P4" s="98" t="s">
        <v>270</v>
      </c>
      <c r="Q4" s="98" t="s">
        <v>271</v>
      </c>
      <c r="R4" s="98" t="s">
        <v>272</v>
      </c>
      <c r="S4" s="98" t="s">
        <v>273</v>
      </c>
    </row>
    <row r="5" spans="1:19" x14ac:dyDescent="0.25">
      <c r="B5" s="8" t="s">
        <v>175</v>
      </c>
      <c r="C5" s="73">
        <v>0</v>
      </c>
      <c r="D5" s="73">
        <v>0</v>
      </c>
      <c r="E5" s="73">
        <v>0</v>
      </c>
      <c r="F5" s="73">
        <v>1764</v>
      </c>
      <c r="G5" s="73">
        <v>26620</v>
      </c>
      <c r="H5" s="74">
        <f>26*4000</f>
        <v>104000</v>
      </c>
      <c r="I5" s="74">
        <f>G5+H5</f>
        <v>130620</v>
      </c>
      <c r="J5" s="74">
        <f>52*5000</f>
        <v>260000</v>
      </c>
      <c r="K5" s="74">
        <f>52*8000</f>
        <v>416000</v>
      </c>
      <c r="L5" s="74">
        <f>K5*(1+L15)</f>
        <v>457600.00000000006</v>
      </c>
      <c r="M5" s="74">
        <f>L5*(1+M15)</f>
        <v>503360.00000000012</v>
      </c>
      <c r="N5" s="74">
        <f>M5*(1+N15)</f>
        <v>528528.00000000012</v>
      </c>
      <c r="O5" s="74">
        <f t="shared" ref="O5:S5" si="0">N5*(1+O15)</f>
        <v>554954.40000000014</v>
      </c>
      <c r="P5" s="74">
        <f t="shared" si="0"/>
        <v>566053.48800000013</v>
      </c>
      <c r="Q5" s="74">
        <f t="shared" si="0"/>
        <v>577374.55776000011</v>
      </c>
      <c r="R5" s="74">
        <f t="shared" si="0"/>
        <v>588922.04891520017</v>
      </c>
      <c r="S5" s="74">
        <f t="shared" si="0"/>
        <v>600700.48989350419</v>
      </c>
    </row>
    <row r="6" spans="1:19" x14ac:dyDescent="0.25">
      <c r="B6" s="8" t="s">
        <v>181</v>
      </c>
      <c r="C6" s="73">
        <v>33600</v>
      </c>
      <c r="D6" s="73">
        <v>50580</v>
      </c>
      <c r="E6" s="73">
        <v>76230</v>
      </c>
      <c r="F6" s="73">
        <v>101312</v>
      </c>
      <c r="G6" s="73">
        <f>22660+21440</f>
        <v>44100</v>
      </c>
      <c r="H6" s="74">
        <v>55900</v>
      </c>
      <c r="I6" s="74">
        <f t="shared" ref="I6:I10" si="1">G6+H6</f>
        <v>100000</v>
      </c>
      <c r="J6" s="74">
        <f>I6*(1+J16)</f>
        <v>102000</v>
      </c>
      <c r="K6" s="74">
        <f>J6*(1+K16)</f>
        <v>104040</v>
      </c>
      <c r="L6" s="74">
        <f>K6*(1+L16)</f>
        <v>106120.8</v>
      </c>
      <c r="M6" s="74">
        <f t="shared" ref="M6:S6" si="2">L6*(1+M16)</f>
        <v>108243.216</v>
      </c>
      <c r="N6" s="74">
        <f t="shared" si="2"/>
        <v>110408.08032000001</v>
      </c>
      <c r="O6" s="74">
        <f t="shared" si="2"/>
        <v>112616.24192640001</v>
      </c>
      <c r="P6" s="74">
        <f t="shared" si="2"/>
        <v>114868.56676492801</v>
      </c>
      <c r="Q6" s="74">
        <f t="shared" si="2"/>
        <v>117165.93810022657</v>
      </c>
      <c r="R6" s="74">
        <f t="shared" si="2"/>
        <v>119509.25686223111</v>
      </c>
      <c r="S6" s="74">
        <f t="shared" si="2"/>
        <v>121899.44199947573</v>
      </c>
    </row>
    <row r="7" spans="1:19" x14ac:dyDescent="0.25">
      <c r="B7" s="8" t="s">
        <v>176</v>
      </c>
      <c r="C7" s="73">
        <v>0</v>
      </c>
      <c r="D7" s="73">
        <v>0</v>
      </c>
      <c r="E7" s="73">
        <v>0</v>
      </c>
      <c r="F7" s="73">
        <v>0</v>
      </c>
      <c r="G7" s="73">
        <v>0</v>
      </c>
      <c r="H7" s="74">
        <v>0</v>
      </c>
      <c r="I7" s="74">
        <f t="shared" si="1"/>
        <v>0</v>
      </c>
      <c r="J7" s="74">
        <f>F5</f>
        <v>1764</v>
      </c>
      <c r="K7" s="74">
        <f>J7*(1+K17)</f>
        <v>130620</v>
      </c>
      <c r="L7" s="74">
        <f>K7*(1+L17)</f>
        <v>260000</v>
      </c>
      <c r="M7" s="74">
        <f t="shared" ref="M7:S7" si="3">L7*(1+M17)</f>
        <v>416000</v>
      </c>
      <c r="N7" s="74">
        <f t="shared" si="3"/>
        <v>457600.00000000006</v>
      </c>
      <c r="O7" s="74">
        <f t="shared" si="3"/>
        <v>503360.00000000012</v>
      </c>
      <c r="P7" s="74">
        <f t="shared" si="3"/>
        <v>528528.00000000012</v>
      </c>
      <c r="Q7" s="74">
        <f t="shared" si="3"/>
        <v>554954.40000000014</v>
      </c>
      <c r="R7" s="74">
        <f t="shared" si="3"/>
        <v>566053.48800000013</v>
      </c>
      <c r="S7" s="74">
        <f t="shared" si="3"/>
        <v>577374.55776000011</v>
      </c>
    </row>
    <row r="8" spans="1:19" x14ac:dyDescent="0.25">
      <c r="B8" s="8" t="s">
        <v>178</v>
      </c>
      <c r="C8" s="73">
        <v>0</v>
      </c>
      <c r="D8" s="73">
        <v>0</v>
      </c>
      <c r="E8" s="73">
        <v>0</v>
      </c>
      <c r="F8" s="73">
        <v>0</v>
      </c>
      <c r="G8" s="73">
        <v>0</v>
      </c>
      <c r="H8" s="74">
        <v>0</v>
      </c>
      <c r="I8" s="74">
        <f t="shared" si="1"/>
        <v>0</v>
      </c>
      <c r="J8" s="74">
        <v>0</v>
      </c>
      <c r="K8" s="74">
        <v>500</v>
      </c>
      <c r="L8" s="74">
        <f t="shared" ref="L8:S8" si="4">K8*(1+L18)</f>
        <v>1000</v>
      </c>
      <c r="M8" s="74">
        <f t="shared" si="4"/>
        <v>1500</v>
      </c>
      <c r="N8" s="74">
        <f t="shared" si="4"/>
        <v>1650.0000000000002</v>
      </c>
      <c r="O8" s="74">
        <f t="shared" si="4"/>
        <v>1815.0000000000005</v>
      </c>
      <c r="P8" s="74">
        <f t="shared" si="4"/>
        <v>1905.7500000000005</v>
      </c>
      <c r="Q8" s="74">
        <f t="shared" si="4"/>
        <v>2001.0375000000006</v>
      </c>
      <c r="R8" s="74">
        <f t="shared" si="4"/>
        <v>2041.0582500000007</v>
      </c>
      <c r="S8" s="74">
        <f t="shared" si="4"/>
        <v>2081.8794150000008</v>
      </c>
    </row>
    <row r="9" spans="1:19" x14ac:dyDescent="0.25">
      <c r="B9" s="8" t="s">
        <v>177</v>
      </c>
      <c r="C9" s="73">
        <v>0</v>
      </c>
      <c r="D9" s="73">
        <v>0</v>
      </c>
      <c r="E9" s="73">
        <v>0</v>
      </c>
      <c r="F9" s="73">
        <v>0</v>
      </c>
      <c r="G9" s="73">
        <v>0</v>
      </c>
      <c r="H9" s="74">
        <v>0</v>
      </c>
      <c r="I9" s="74">
        <f t="shared" si="1"/>
        <v>0</v>
      </c>
      <c r="J9" s="74">
        <v>250</v>
      </c>
      <c r="K9" s="74">
        <f>J9*(1+K19)</f>
        <v>18511.904761904763</v>
      </c>
      <c r="L9" s="74">
        <f t="shared" ref="L9:S9" si="5">K9*(1+L19)</f>
        <v>36848.072562358284</v>
      </c>
      <c r="M9" s="74">
        <f t="shared" si="5"/>
        <v>58956.916099773254</v>
      </c>
      <c r="N9" s="74">
        <f t="shared" si="5"/>
        <v>64852.607709750584</v>
      </c>
      <c r="O9" s="74">
        <f t="shared" si="5"/>
        <v>71337.86848072565</v>
      </c>
      <c r="P9" s="74">
        <f t="shared" si="5"/>
        <v>74904.761904761937</v>
      </c>
      <c r="Q9" s="74">
        <f t="shared" si="5"/>
        <v>78650.000000000044</v>
      </c>
      <c r="R9" s="74">
        <f t="shared" si="5"/>
        <v>80223.000000000044</v>
      </c>
      <c r="S9" s="74">
        <f t="shared" si="5"/>
        <v>81827.46000000005</v>
      </c>
    </row>
    <row r="10" spans="1:19" x14ac:dyDescent="0.25">
      <c r="B10" s="8" t="s">
        <v>174</v>
      </c>
      <c r="C10" s="73">
        <v>0</v>
      </c>
      <c r="D10" s="73">
        <v>0</v>
      </c>
      <c r="E10" s="73">
        <v>0</v>
      </c>
      <c r="F10" s="73">
        <v>0</v>
      </c>
      <c r="G10" s="73">
        <v>0</v>
      </c>
      <c r="H10" s="74">
        <v>0</v>
      </c>
      <c r="I10" s="74">
        <f t="shared" si="1"/>
        <v>0</v>
      </c>
      <c r="J10" s="74">
        <v>250</v>
      </c>
      <c r="K10" s="74">
        <f>J10*(1+K20)</f>
        <v>18511.904761904763</v>
      </c>
      <c r="L10" s="74">
        <f t="shared" ref="L10:S10" si="6">K10*(1+L20)</f>
        <v>36848.072562358284</v>
      </c>
      <c r="M10" s="74">
        <f t="shared" si="6"/>
        <v>58956.916099773254</v>
      </c>
      <c r="N10" s="74">
        <f t="shared" si="6"/>
        <v>64852.607709750584</v>
      </c>
      <c r="O10" s="74">
        <f t="shared" si="6"/>
        <v>71337.86848072565</v>
      </c>
      <c r="P10" s="74">
        <f t="shared" si="6"/>
        <v>74904.761904761937</v>
      </c>
      <c r="Q10" s="74">
        <f t="shared" si="6"/>
        <v>78650.000000000044</v>
      </c>
      <c r="R10" s="74">
        <f t="shared" si="6"/>
        <v>80223.000000000044</v>
      </c>
      <c r="S10" s="74">
        <f t="shared" si="6"/>
        <v>81827.46000000005</v>
      </c>
    </row>
    <row r="11" spans="1:19" ht="12.6" thickBot="1" x14ac:dyDescent="0.3">
      <c r="B11" s="116" t="s">
        <v>69</v>
      </c>
      <c r="C11" s="127">
        <f>SUM(C5:C10)</f>
        <v>33600</v>
      </c>
      <c r="D11" s="127">
        <f t="shared" ref="D11:S11" si="7">SUM(D5:D10)</f>
        <v>50580</v>
      </c>
      <c r="E11" s="127">
        <f t="shared" si="7"/>
        <v>76230</v>
      </c>
      <c r="F11" s="127">
        <f t="shared" si="7"/>
        <v>103076</v>
      </c>
      <c r="G11" s="127">
        <f t="shared" si="7"/>
        <v>70720</v>
      </c>
      <c r="H11" s="127">
        <f t="shared" si="7"/>
        <v>159900</v>
      </c>
      <c r="I11" s="127">
        <f t="shared" si="7"/>
        <v>230620</v>
      </c>
      <c r="J11" s="127">
        <f t="shared" si="7"/>
        <v>364264</v>
      </c>
      <c r="K11" s="127">
        <f t="shared" si="7"/>
        <v>688183.80952380947</v>
      </c>
      <c r="L11" s="127">
        <f t="shared" si="7"/>
        <v>898416.94512471673</v>
      </c>
      <c r="M11" s="127">
        <f t="shared" si="7"/>
        <v>1147017.0481995465</v>
      </c>
      <c r="N11" s="127">
        <f t="shared" si="7"/>
        <v>1227891.2957395012</v>
      </c>
      <c r="O11" s="127">
        <f t="shared" si="7"/>
        <v>1315421.3788878517</v>
      </c>
      <c r="P11" s="127">
        <f t="shared" si="7"/>
        <v>1361165.3285744521</v>
      </c>
      <c r="Q11" s="127">
        <f t="shared" si="7"/>
        <v>1408795.9333602269</v>
      </c>
      <c r="R11" s="127">
        <f t="shared" si="7"/>
        <v>1436971.8520274314</v>
      </c>
      <c r="S11" s="127">
        <f t="shared" si="7"/>
        <v>1465711.2890679801</v>
      </c>
    </row>
    <row r="12" spans="1:19" ht="3" customHeight="1" x14ac:dyDescent="0.25"/>
    <row r="13" spans="1:19" x14ac:dyDescent="0.25">
      <c r="B13" s="91" t="s">
        <v>190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</row>
    <row r="14" spans="1:19" ht="3" customHeight="1" x14ac:dyDescent="0.25">
      <c r="B14" s="91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</row>
    <row r="15" spans="1:19" x14ac:dyDescent="0.25">
      <c r="B15" s="92" t="s">
        <v>175</v>
      </c>
      <c r="C15" s="95" t="s">
        <v>65</v>
      </c>
      <c r="D15" s="95" t="s">
        <v>65</v>
      </c>
      <c r="E15" s="95" t="s">
        <v>65</v>
      </c>
      <c r="F15" s="95" t="s">
        <v>65</v>
      </c>
      <c r="G15" s="92"/>
      <c r="H15" s="92"/>
      <c r="I15" s="94">
        <f>(I5/F5-1)</f>
        <v>73.047619047619051</v>
      </c>
      <c r="J15" s="94">
        <f>J5/I5-1</f>
        <v>0.99050681365793913</v>
      </c>
      <c r="K15" s="94">
        <f>K5/J5-1</f>
        <v>0.60000000000000009</v>
      </c>
      <c r="L15" s="94">
        <f>$C$25</f>
        <v>0.1</v>
      </c>
      <c r="M15" s="94">
        <f>$C$25</f>
        <v>0.1</v>
      </c>
      <c r="N15" s="94">
        <f>$C$26</f>
        <v>0.05</v>
      </c>
      <c r="O15" s="94">
        <f>$C$26</f>
        <v>0.05</v>
      </c>
      <c r="P15" s="94">
        <f>$C$27</f>
        <v>0.02</v>
      </c>
      <c r="Q15" s="94">
        <f t="shared" ref="Q15:S16" si="8">$C$27</f>
        <v>0.02</v>
      </c>
      <c r="R15" s="94">
        <f t="shared" si="8"/>
        <v>0.02</v>
      </c>
      <c r="S15" s="94">
        <f t="shared" si="8"/>
        <v>0.02</v>
      </c>
    </row>
    <row r="16" spans="1:19" x14ac:dyDescent="0.25">
      <c r="B16" s="92" t="s">
        <v>181</v>
      </c>
      <c r="C16" s="95" t="s">
        <v>65</v>
      </c>
      <c r="D16" s="79">
        <f>D6/C6-1</f>
        <v>0.50535714285714284</v>
      </c>
      <c r="E16" s="79">
        <f>E6/D6-1</f>
        <v>0.50711743772241991</v>
      </c>
      <c r="F16" s="79">
        <f>F6/E6-1</f>
        <v>0.32903056539420183</v>
      </c>
      <c r="G16" s="92"/>
      <c r="H16" s="92"/>
      <c r="I16" s="94">
        <f>(I6/F6-1)</f>
        <v>-1.2950094756790875E-2</v>
      </c>
      <c r="J16" s="97">
        <f>$C$27</f>
        <v>0.02</v>
      </c>
      <c r="K16" s="97">
        <f t="shared" ref="K16:P16" si="9">$C$27</f>
        <v>0.02</v>
      </c>
      <c r="L16" s="97">
        <f t="shared" si="9"/>
        <v>0.02</v>
      </c>
      <c r="M16" s="97">
        <f t="shared" si="9"/>
        <v>0.02</v>
      </c>
      <c r="N16" s="97">
        <f t="shared" si="9"/>
        <v>0.02</v>
      </c>
      <c r="O16" s="97">
        <f t="shared" si="9"/>
        <v>0.02</v>
      </c>
      <c r="P16" s="97">
        <f t="shared" si="9"/>
        <v>0.02</v>
      </c>
      <c r="Q16" s="97">
        <f t="shared" si="8"/>
        <v>0.02</v>
      </c>
      <c r="R16" s="97">
        <f t="shared" si="8"/>
        <v>0.02</v>
      </c>
      <c r="S16" s="97">
        <f t="shared" si="8"/>
        <v>0.02</v>
      </c>
    </row>
    <row r="17" spans="2:19" x14ac:dyDescent="0.25">
      <c r="B17" s="92" t="s">
        <v>176</v>
      </c>
      <c r="C17" s="95" t="s">
        <v>65</v>
      </c>
      <c r="D17" s="95" t="s">
        <v>65</v>
      </c>
      <c r="E17" s="95" t="s">
        <v>65</v>
      </c>
      <c r="F17" s="95" t="s">
        <v>65</v>
      </c>
      <c r="G17" s="92"/>
      <c r="H17" s="92"/>
      <c r="I17" s="94" t="s">
        <v>65</v>
      </c>
      <c r="J17" s="94" t="s">
        <v>65</v>
      </c>
      <c r="K17" s="97">
        <f>I15</f>
        <v>73.047619047619051</v>
      </c>
      <c r="L17" s="97">
        <f t="shared" ref="L17:M17" si="10">J15</f>
        <v>0.99050681365793913</v>
      </c>
      <c r="M17" s="97">
        <f t="shared" si="10"/>
        <v>0.60000000000000009</v>
      </c>
      <c r="N17" s="97">
        <f>$C$25</f>
        <v>0.1</v>
      </c>
      <c r="O17" s="97">
        <f>$C$25</f>
        <v>0.1</v>
      </c>
      <c r="P17" s="97">
        <f t="shared" ref="P17:Q20" si="11">$C$26</f>
        <v>0.05</v>
      </c>
      <c r="Q17" s="97">
        <f t="shared" si="11"/>
        <v>0.05</v>
      </c>
      <c r="R17" s="97">
        <f t="shared" ref="R17:S20" si="12">$C$27</f>
        <v>0.02</v>
      </c>
      <c r="S17" s="97">
        <f t="shared" si="12"/>
        <v>0.02</v>
      </c>
    </row>
    <row r="18" spans="2:19" x14ac:dyDescent="0.25">
      <c r="B18" s="92" t="s">
        <v>178</v>
      </c>
      <c r="C18" s="95" t="s">
        <v>65</v>
      </c>
      <c r="D18" s="95" t="s">
        <v>65</v>
      </c>
      <c r="E18" s="95" t="s">
        <v>65</v>
      </c>
      <c r="F18" s="95" t="s">
        <v>65</v>
      </c>
      <c r="G18" s="92"/>
      <c r="H18" s="92"/>
      <c r="I18" s="94" t="s">
        <v>65</v>
      </c>
      <c r="J18" s="94" t="s">
        <v>65</v>
      </c>
      <c r="K18" s="94" t="s">
        <v>65</v>
      </c>
      <c r="L18" s="97">
        <v>1</v>
      </c>
      <c r="M18" s="97">
        <v>0.5</v>
      </c>
      <c r="N18" s="97">
        <f>$C$25</f>
        <v>0.1</v>
      </c>
      <c r="O18" s="97">
        <f>$C$25</f>
        <v>0.1</v>
      </c>
      <c r="P18" s="97">
        <f t="shared" si="11"/>
        <v>0.05</v>
      </c>
      <c r="Q18" s="97">
        <f t="shared" si="11"/>
        <v>0.05</v>
      </c>
      <c r="R18" s="97">
        <f t="shared" si="12"/>
        <v>0.02</v>
      </c>
      <c r="S18" s="97">
        <f t="shared" si="12"/>
        <v>0.02</v>
      </c>
    </row>
    <row r="19" spans="2:19" x14ac:dyDescent="0.25">
      <c r="B19" s="92" t="s">
        <v>177</v>
      </c>
      <c r="C19" s="95" t="s">
        <v>65</v>
      </c>
      <c r="D19" s="95" t="s">
        <v>65</v>
      </c>
      <c r="E19" s="95" t="s">
        <v>65</v>
      </c>
      <c r="F19" s="95" t="s">
        <v>65</v>
      </c>
      <c r="G19" s="92"/>
      <c r="H19" s="92"/>
      <c r="I19" s="94" t="s">
        <v>65</v>
      </c>
      <c r="J19" s="94" t="s">
        <v>65</v>
      </c>
      <c r="K19" s="97">
        <f>I15</f>
        <v>73.047619047619051</v>
      </c>
      <c r="L19" s="97">
        <f t="shared" ref="L19:N19" si="13">J15</f>
        <v>0.99050681365793913</v>
      </c>
      <c r="M19" s="97">
        <f t="shared" si="13"/>
        <v>0.60000000000000009</v>
      </c>
      <c r="N19" s="97">
        <f t="shared" si="13"/>
        <v>0.1</v>
      </c>
      <c r="O19" s="97">
        <f>$C$25</f>
        <v>0.1</v>
      </c>
      <c r="P19" s="97">
        <f t="shared" si="11"/>
        <v>0.05</v>
      </c>
      <c r="Q19" s="97">
        <f t="shared" si="11"/>
        <v>0.05</v>
      </c>
      <c r="R19" s="97">
        <f t="shared" si="12"/>
        <v>0.02</v>
      </c>
      <c r="S19" s="97">
        <f t="shared" si="12"/>
        <v>0.02</v>
      </c>
    </row>
    <row r="20" spans="2:19" x14ac:dyDescent="0.25">
      <c r="B20" s="92" t="s">
        <v>174</v>
      </c>
      <c r="C20" s="95" t="s">
        <v>65</v>
      </c>
      <c r="D20" s="95" t="s">
        <v>65</v>
      </c>
      <c r="E20" s="95" t="s">
        <v>65</v>
      </c>
      <c r="F20" s="95" t="s">
        <v>65</v>
      </c>
      <c r="G20" s="92"/>
      <c r="H20" s="92"/>
      <c r="I20" s="94" t="s">
        <v>65</v>
      </c>
      <c r="J20" s="94" t="s">
        <v>65</v>
      </c>
      <c r="K20" s="97">
        <v>73.047619047619051</v>
      </c>
      <c r="L20" s="97">
        <v>0.99050681365793913</v>
      </c>
      <c r="M20" s="97">
        <v>0.60000000000000009</v>
      </c>
      <c r="N20" s="97">
        <f>$C$25</f>
        <v>0.1</v>
      </c>
      <c r="O20" s="97">
        <f>$C$25</f>
        <v>0.1</v>
      </c>
      <c r="P20" s="97">
        <f t="shared" si="11"/>
        <v>0.05</v>
      </c>
      <c r="Q20" s="97">
        <f t="shared" si="11"/>
        <v>0.05</v>
      </c>
      <c r="R20" s="97">
        <f t="shared" si="12"/>
        <v>0.02</v>
      </c>
      <c r="S20" s="97">
        <f t="shared" si="12"/>
        <v>0.02</v>
      </c>
    </row>
    <row r="21" spans="2:19" x14ac:dyDescent="0.25">
      <c r="B21" s="92"/>
      <c r="C21" s="95"/>
      <c r="D21" s="95"/>
      <c r="E21" s="95"/>
      <c r="F21" s="95"/>
      <c r="G21" s="92"/>
      <c r="H21" s="92"/>
      <c r="I21" s="95"/>
      <c r="J21" s="95"/>
      <c r="K21" s="93"/>
      <c r="L21" s="93"/>
      <c r="M21" s="93"/>
      <c r="N21" s="93"/>
      <c r="O21" s="93"/>
      <c r="P21" s="93"/>
      <c r="Q21" s="93"/>
      <c r="R21" s="93"/>
      <c r="S21" s="93"/>
    </row>
    <row r="24" spans="2:19" x14ac:dyDescent="0.25">
      <c r="B24" s="8" t="s">
        <v>266</v>
      </c>
    </row>
    <row r="25" spans="2:19" x14ac:dyDescent="0.25">
      <c r="B25" s="8" t="s">
        <v>267</v>
      </c>
      <c r="C25" s="34">
        <v>0.1</v>
      </c>
    </row>
    <row r="26" spans="2:19" x14ac:dyDescent="0.25">
      <c r="B26" s="8" t="s">
        <v>267</v>
      </c>
      <c r="C26" s="34">
        <v>0.05</v>
      </c>
    </row>
    <row r="27" spans="2:19" x14ac:dyDescent="0.25">
      <c r="B27" s="8" t="s">
        <v>268</v>
      </c>
      <c r="C27" s="34">
        <v>0.02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Cover</vt:lpstr>
      <vt:lpstr>Drivers</vt:lpstr>
      <vt:lpstr>Input --&gt;</vt:lpstr>
      <vt:lpstr>P&amp;L Input</vt:lpstr>
      <vt:lpstr>Balance Sheet Input</vt:lpstr>
      <vt:lpstr>Workings --&gt;</vt:lpstr>
      <vt:lpstr>Income Statement items</vt:lpstr>
      <vt:lpstr>Automotive</vt:lpstr>
      <vt:lpstr>Deliveries</vt:lpstr>
      <vt:lpstr>Deliveries development</vt:lpstr>
      <vt:lpstr>Deliveries comparables</vt:lpstr>
      <vt:lpstr>Revenue automotive</vt:lpstr>
      <vt:lpstr>GP% automotive</vt:lpstr>
      <vt:lpstr>GP automotive</vt:lpstr>
      <vt:lpstr>Cost of sales automotive</vt:lpstr>
      <vt:lpstr>Revenue &amp; GP autom</vt:lpstr>
      <vt:lpstr>Energy &amp; Other</vt:lpstr>
      <vt:lpstr>Revenue Energy &amp; Other</vt:lpstr>
      <vt:lpstr>GP Energy &amp; Other</vt:lpstr>
      <vt:lpstr>Cost of sales Energy &amp; Other</vt:lpstr>
      <vt:lpstr>Operating expenses</vt:lpstr>
      <vt:lpstr>Opex comparables</vt:lpstr>
      <vt:lpstr>Opex</vt:lpstr>
      <vt:lpstr>Balance Sheet --&gt;</vt:lpstr>
      <vt:lpstr>PP&amp;E --&gt;</vt:lpstr>
      <vt:lpstr>PP&amp;E</vt:lpstr>
      <vt:lpstr>PP&amp;E Comparables</vt:lpstr>
      <vt:lpstr>Working Capital --&gt; </vt:lpstr>
      <vt:lpstr>Working capital</vt:lpstr>
      <vt:lpstr>WC comparables</vt:lpstr>
      <vt:lpstr>WC development</vt:lpstr>
      <vt:lpstr>Financing --&gt;</vt:lpstr>
      <vt:lpstr>Financing</vt:lpstr>
      <vt:lpstr>WACC</vt:lpstr>
      <vt:lpstr>Output --&gt;</vt:lpstr>
      <vt:lpstr>P&amp;L</vt:lpstr>
      <vt:lpstr>Balance Sheet</vt:lpstr>
      <vt:lpstr>Cash Flow</vt:lpstr>
      <vt:lpstr>DCF</vt:lpstr>
      <vt:lpstr>Bridge charts --&gt;</vt:lpstr>
      <vt:lpstr>Revenue bridge</vt:lpstr>
      <vt:lpstr>Cash flow bridge</vt:lpstr>
      <vt:lpstr>Expenses bridge</vt:lpstr>
      <vt:lpstr>Net Income bridge</vt:lpstr>
      <vt:lpstr>Other charts --&gt;</vt:lpstr>
      <vt:lpstr>Revenue by type of car</vt:lpstr>
      <vt:lpstr>Types of vehicles</vt:lpstr>
      <vt:lpstr>Profitability</vt:lpstr>
      <vt:lpstr>Price - Volume - Mix --&gt;</vt:lpstr>
      <vt:lpstr>Price-Volume-Mix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Ned</cp:lastModifiedBy>
  <dcterms:created xsi:type="dcterms:W3CDTF">2017-12-26T16:16:22Z</dcterms:created>
  <dcterms:modified xsi:type="dcterms:W3CDTF">2018-11-09T13:30:46Z</dcterms:modified>
</cp:coreProperties>
</file>