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B:\Courses\Video creating\Tesla - Complete Company Analysis\4. Financial forecasting\"/>
    </mc:Choice>
  </mc:AlternateContent>
  <xr:revisionPtr revIDLastSave="0" documentId="13_ncr:1_{47D58A4C-8745-43BC-9F25-6B4D90814298}" xr6:coauthVersionLast="38" xr6:coauthVersionMax="38" xr10:uidLastSave="{00000000-0000-0000-0000-000000000000}"/>
  <bookViews>
    <workbookView xWindow="0" yWindow="0" windowWidth="20496" windowHeight="8112" firstSheet="10" activeTab="11" xr2:uid="{00000000-000D-0000-FFFF-FFFF00000000}"/>
  </bookViews>
  <sheets>
    <sheet name="Cover" sheetId="183" r:id="rId1"/>
    <sheet name="Drivers" sheetId="161" r:id="rId2"/>
    <sheet name="Input --&gt;" sheetId="157" r:id="rId3"/>
    <sheet name="P&amp;L Input" sheetId="155" r:id="rId4"/>
    <sheet name="Balance Sheet Input" sheetId="154" r:id="rId5"/>
    <sheet name="Workings --&gt;" sheetId="174" r:id="rId6"/>
    <sheet name="Income Statement items" sheetId="199" r:id="rId7"/>
    <sheet name="Automotive" sheetId="187" r:id="rId8"/>
    <sheet name="Deliveries" sheetId="180" r:id="rId9"/>
    <sheet name="Deliveries development" sheetId="181" r:id="rId10"/>
    <sheet name="Deliveries comparables" sheetId="207" r:id="rId11"/>
    <sheet name="Revenue automotive" sheetId="182" r:id="rId12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T6" i="182" l="1"/>
  <c r="I16" i="180" l="1"/>
  <c r="G41" i="154" l="1"/>
  <c r="G40" i="154"/>
  <c r="G39" i="154"/>
  <c r="F39" i="154"/>
  <c r="E37" i="154" l="1"/>
  <c r="D37" i="154"/>
  <c r="C37" i="154"/>
  <c r="G34" i="155" l="1"/>
  <c r="F34" i="155"/>
  <c r="E34" i="155"/>
  <c r="D34" i="155"/>
  <c r="C34" i="155"/>
  <c r="G33" i="155"/>
  <c r="F33" i="155"/>
  <c r="E33" i="155"/>
  <c r="D33" i="155"/>
  <c r="C33" i="155"/>
  <c r="G31" i="155"/>
  <c r="F31" i="155"/>
  <c r="E31" i="155"/>
  <c r="D31" i="155"/>
  <c r="C31" i="155"/>
  <c r="G30" i="155"/>
  <c r="F30" i="155"/>
  <c r="E30" i="155"/>
  <c r="D30" i="155"/>
  <c r="C30" i="155"/>
  <c r="G29" i="155"/>
  <c r="F29" i="155"/>
  <c r="E29" i="155"/>
  <c r="D29" i="155"/>
  <c r="C29" i="155"/>
  <c r="F28" i="155"/>
  <c r="E28" i="155"/>
  <c r="D28" i="155"/>
  <c r="F27" i="155"/>
  <c r="E27" i="155"/>
  <c r="D27" i="155"/>
  <c r="D18" i="207" l="1"/>
  <c r="D8" i="207"/>
  <c r="C8" i="207"/>
  <c r="L8" i="180"/>
  <c r="M8" i="180" s="1"/>
  <c r="N8" i="180" s="1"/>
  <c r="O8" i="180" s="1"/>
  <c r="P8" i="180" s="1"/>
  <c r="Q8" i="180" s="1"/>
  <c r="S20" i="180"/>
  <c r="R20" i="180"/>
  <c r="Q20" i="180"/>
  <c r="P20" i="180"/>
  <c r="O20" i="180"/>
  <c r="N20" i="180"/>
  <c r="S19" i="180"/>
  <c r="R19" i="180"/>
  <c r="Q19" i="180"/>
  <c r="P19" i="180"/>
  <c r="O19" i="180"/>
  <c r="S18" i="180"/>
  <c r="R18" i="180"/>
  <c r="Q18" i="180"/>
  <c r="P18" i="180"/>
  <c r="O18" i="180"/>
  <c r="N18" i="180"/>
  <c r="S17" i="180"/>
  <c r="R17" i="180"/>
  <c r="Q17" i="180"/>
  <c r="P17" i="180"/>
  <c r="O17" i="180"/>
  <c r="N17" i="180"/>
  <c r="S16" i="180"/>
  <c r="R16" i="180"/>
  <c r="Q16" i="180"/>
  <c r="P16" i="180"/>
  <c r="O16" i="180"/>
  <c r="N16" i="180"/>
  <c r="M16" i="180"/>
  <c r="L16" i="180"/>
  <c r="K16" i="180"/>
  <c r="J16" i="180"/>
  <c r="S15" i="180"/>
  <c r="R15" i="180"/>
  <c r="Q15" i="180"/>
  <c r="P15" i="180"/>
  <c r="O15" i="180"/>
  <c r="N15" i="180"/>
  <c r="M15" i="180"/>
  <c r="L15" i="180"/>
  <c r="R8" i="180" l="1"/>
  <c r="S8" i="180" s="1"/>
  <c r="G11" i="182" l="1"/>
  <c r="F11" i="182"/>
  <c r="E6" i="182"/>
  <c r="D6" i="182"/>
  <c r="C6" i="182"/>
  <c r="G10" i="182" l="1"/>
  <c r="F10" i="182"/>
  <c r="E10" i="182"/>
  <c r="D10" i="182"/>
  <c r="C10" i="182"/>
  <c r="G9" i="182"/>
  <c r="F9" i="182"/>
  <c r="E9" i="182"/>
  <c r="D9" i="182"/>
  <c r="C9" i="182"/>
  <c r="G8" i="182"/>
  <c r="F8" i="182"/>
  <c r="E8" i="182"/>
  <c r="D8" i="182"/>
  <c r="C8" i="182"/>
  <c r="G7" i="182"/>
  <c r="F7" i="182"/>
  <c r="E7" i="182"/>
  <c r="D7" i="182"/>
  <c r="C7" i="182"/>
  <c r="F11" i="180"/>
  <c r="E11" i="180"/>
  <c r="D11" i="180"/>
  <c r="C11" i="180"/>
  <c r="J7" i="180"/>
  <c r="K5" i="180"/>
  <c r="L5" i="180" s="1"/>
  <c r="M5" i="180" s="1"/>
  <c r="N5" i="180" s="1"/>
  <c r="O5" i="180" s="1"/>
  <c r="J5" i="180"/>
  <c r="F16" i="180"/>
  <c r="E16" i="180"/>
  <c r="D16" i="180"/>
  <c r="H5" i="180"/>
  <c r="H11" i="180" s="1"/>
  <c r="G6" i="180"/>
  <c r="I6" i="180" s="1"/>
  <c r="I10" i="180"/>
  <c r="I9" i="180"/>
  <c r="I8" i="180"/>
  <c r="I7" i="180"/>
  <c r="P5" i="180" l="1"/>
  <c r="E11" i="182"/>
  <c r="D11" i="182"/>
  <c r="K15" i="180"/>
  <c r="M19" i="180" s="1"/>
  <c r="N19" i="180"/>
  <c r="G11" i="180"/>
  <c r="Q5" i="180" l="1"/>
  <c r="C11" i="182"/>
  <c r="H11" i="182"/>
  <c r="M17" i="180"/>
  <c r="R5" i="180" l="1"/>
  <c r="S5" i="180" l="1"/>
  <c r="I5" i="180" l="1"/>
  <c r="G31" i="154"/>
  <c r="G29" i="154"/>
  <c r="G26" i="154"/>
  <c r="G37" i="154" s="1"/>
  <c r="G9" i="154"/>
  <c r="G17" i="154" s="1"/>
  <c r="G32" i="155"/>
  <c r="G7" i="155"/>
  <c r="G11" i="155" s="1"/>
  <c r="G15" i="155" s="1"/>
  <c r="F14" i="154"/>
  <c r="G30" i="154" l="1"/>
  <c r="G33" i="154" s="1"/>
  <c r="I15" i="180"/>
  <c r="I11" i="180"/>
  <c r="J15" i="180"/>
  <c r="G38" i="154"/>
  <c r="G42" i="154"/>
  <c r="G19" i="155"/>
  <c r="G21" i="155" s="1"/>
  <c r="G23" i="155" s="1"/>
  <c r="G44" i="154" l="1"/>
  <c r="I11" i="182"/>
  <c r="L17" i="180"/>
  <c r="L19" i="180"/>
  <c r="K17" i="180"/>
  <c r="K19" i="180"/>
  <c r="G35" i="155"/>
  <c r="G36" i="155"/>
  <c r="C30" i="154" l="1"/>
  <c r="C33" i="154" s="1"/>
  <c r="D30" i="154"/>
  <c r="D33" i="154" s="1"/>
  <c r="F26" i="154"/>
  <c r="F37" i="154" s="1"/>
  <c r="C9" i="154"/>
  <c r="C17" i="154" s="1"/>
  <c r="C44" i="154" s="1"/>
  <c r="D9" i="154"/>
  <c r="D17" i="154" s="1"/>
  <c r="D44" i="154" s="1"/>
  <c r="E9" i="154"/>
  <c r="E17" i="154" s="1"/>
  <c r="F9" i="154"/>
  <c r="F41" i="154"/>
  <c r="F40" i="154"/>
  <c r="F32" i="155"/>
  <c r="F26" i="155"/>
  <c r="F7" i="155"/>
  <c r="F11" i="155" s="1"/>
  <c r="F15" i="155" s="1"/>
  <c r="F19" i="155" l="1"/>
  <c r="F21" i="155" s="1"/>
  <c r="F23" i="155" s="1"/>
  <c r="F17" i="154"/>
  <c r="F30" i="154"/>
  <c r="F33" i="154" s="1"/>
  <c r="F38" i="154"/>
  <c r="F44" i="154" l="1"/>
  <c r="F42" i="154"/>
  <c r="F35" i="155"/>
  <c r="F36" i="155"/>
  <c r="E26" i="155" l="1"/>
  <c r="D26" i="155"/>
  <c r="E41" i="154"/>
  <c r="D41" i="154"/>
  <c r="C41" i="154"/>
  <c r="E40" i="154"/>
  <c r="D40" i="154"/>
  <c r="C40" i="154"/>
  <c r="E38" i="154"/>
  <c r="D38" i="154"/>
  <c r="C38" i="154"/>
  <c r="E32" i="155"/>
  <c r="D32" i="155"/>
  <c r="C32" i="155"/>
  <c r="E30" i="154"/>
  <c r="E7" i="155"/>
  <c r="D7" i="155"/>
  <c r="C7" i="155"/>
  <c r="C11" i="155"/>
  <c r="E33" i="154" l="1"/>
  <c r="E44" i="154"/>
  <c r="C15" i="155"/>
  <c r="C19" i="155" s="1"/>
  <c r="C21" i="155" s="1"/>
  <c r="C23" i="155" s="1"/>
  <c r="D39" i="154"/>
  <c r="D11" i="155"/>
  <c r="D15" i="155" s="1"/>
  <c r="D19" i="155"/>
  <c r="D21" i="155" s="1"/>
  <c r="D23" i="155" s="1"/>
  <c r="C39" i="154"/>
  <c r="E11" i="155"/>
  <c r="E15" i="155" s="1"/>
  <c r="E39" i="154"/>
  <c r="D42" i="154" l="1"/>
  <c r="C35" i="155"/>
  <c r="C36" i="155"/>
  <c r="E19" i="155"/>
  <c r="E21" i="155" s="1"/>
  <c r="E23" i="155" s="1"/>
  <c r="C42" i="154"/>
  <c r="E42" i="154"/>
  <c r="D36" i="155"/>
  <c r="D35" i="155"/>
  <c r="E35" i="155" l="1"/>
  <c r="E36" i="155"/>
  <c r="K10" i="180" l="1"/>
  <c r="L10" i="180" s="1"/>
  <c r="M10" i="180" s="1"/>
  <c r="N10" i="180" s="1"/>
  <c r="O10" i="180" s="1"/>
  <c r="K9" i="180"/>
  <c r="L9" i="180" s="1"/>
  <c r="M9" i="180" s="1"/>
  <c r="N9" i="180" s="1"/>
  <c r="O9" i="180" s="1"/>
  <c r="K7" i="180"/>
  <c r="J6" i="180"/>
  <c r="P10" i="180" l="1"/>
  <c r="P9" i="180"/>
  <c r="L7" i="180"/>
  <c r="M7" i="180" s="1"/>
  <c r="N7" i="180" s="1"/>
  <c r="O7" i="180" s="1"/>
  <c r="K6" i="180"/>
  <c r="J11" i="180"/>
  <c r="Q9" i="180" l="1"/>
  <c r="P7" i="180"/>
  <c r="Q10" i="180"/>
  <c r="K11" i="180"/>
  <c r="L6" i="180"/>
  <c r="L11" i="180" s="1"/>
  <c r="J11" i="182"/>
  <c r="K11" i="182"/>
  <c r="R9" i="180" l="1"/>
  <c r="M6" i="180"/>
  <c r="R10" i="180"/>
  <c r="Q7" i="180"/>
  <c r="M11" i="180"/>
  <c r="L11" i="182" l="1"/>
  <c r="S10" i="180"/>
  <c r="S9" i="180"/>
  <c r="N6" i="180"/>
  <c r="O6" i="180" s="1"/>
  <c r="R7" i="180"/>
  <c r="M11" i="182" l="1"/>
  <c r="P6" i="180"/>
  <c r="O11" i="180"/>
  <c r="N11" i="180"/>
  <c r="S7" i="180"/>
  <c r="N11" i="182"/>
  <c r="Q6" i="180" l="1"/>
  <c r="P11" i="180"/>
  <c r="O11" i="182"/>
  <c r="P11" i="182" l="1"/>
  <c r="R6" i="180"/>
  <c r="Q11" i="180"/>
  <c r="S6" i="180" l="1"/>
  <c r="R11" i="180"/>
  <c r="Q11" i="182"/>
  <c r="R11" i="182" l="1"/>
  <c r="S11" i="180"/>
  <c r="S11" i="182" l="1"/>
</calcChain>
</file>

<file path=xl/sharedStrings.xml><?xml version="1.0" encoding="utf-8"?>
<sst xmlns="http://schemas.openxmlformats.org/spreadsheetml/2006/main" count="274" uniqueCount="155">
  <si>
    <t>Total revenues</t>
  </si>
  <si>
    <t>Gross profit</t>
  </si>
  <si>
    <t>Services and other</t>
  </si>
  <si>
    <t>Energy generation and storage</t>
  </si>
  <si>
    <t>Research and development</t>
  </si>
  <si>
    <t>Interest expense</t>
  </si>
  <si>
    <t>Provision for income taxes</t>
  </si>
  <si>
    <t>Cash and cash equivalents</t>
  </si>
  <si>
    <t>Accounts receivable, net</t>
  </si>
  <si>
    <t>Inventory</t>
  </si>
  <si>
    <t>Prepaid expenses and other current assets</t>
  </si>
  <si>
    <t>Total current assets</t>
  </si>
  <si>
    <t>Operating lease vehicles, net</t>
  </si>
  <si>
    <t>Solar energy systems, leased and to be leased, net</t>
  </si>
  <si>
    <t>Property, plant and equipment, net</t>
  </si>
  <si>
    <t>Intangible assets, net</t>
  </si>
  <si>
    <t>portion</t>
  </si>
  <si>
    <t>Restricted cash, net of current portion</t>
  </si>
  <si>
    <t>Other assets</t>
  </si>
  <si>
    <t>Total assets</t>
  </si>
  <si>
    <t>Accounts payable</t>
  </si>
  <si>
    <t>Deferred revenue</t>
  </si>
  <si>
    <t>Resale value guarantees</t>
  </si>
  <si>
    <t>Customer deposits</t>
  </si>
  <si>
    <t>Current portion of long-term debt and capital leases</t>
  </si>
  <si>
    <t>Current portion of solar bonds issued to related</t>
  </si>
  <si>
    <t>parties</t>
  </si>
  <si>
    <t>Total current liabilities</t>
  </si>
  <si>
    <t>Long-term debt and capital leases, net of current</t>
  </si>
  <si>
    <t>Total liabilities</t>
  </si>
  <si>
    <t>Total stockholders' equity</t>
  </si>
  <si>
    <t>Noncontrolling interests in subsidiaries</t>
  </si>
  <si>
    <t>Total liabilities and equity</t>
  </si>
  <si>
    <t>Selling, general and administrative</t>
  </si>
  <si>
    <t>Interest income</t>
  </si>
  <si>
    <t>Other income (expense), net</t>
  </si>
  <si>
    <t>Net loss</t>
  </si>
  <si>
    <t>(in thousands)</t>
  </si>
  <si>
    <t>Accrued liabilities</t>
  </si>
  <si>
    <t>Restricted cash and marketable securities</t>
  </si>
  <si>
    <t>Energy generation and storage cost of revenues</t>
  </si>
  <si>
    <t>Services and other cost of revenues</t>
  </si>
  <si>
    <t>Automotive cost of revenues</t>
  </si>
  <si>
    <t>EBIT</t>
  </si>
  <si>
    <t>EBT</t>
  </si>
  <si>
    <t>2014
Act</t>
  </si>
  <si>
    <t>2015
Act</t>
  </si>
  <si>
    <t>2016
Act</t>
  </si>
  <si>
    <t>31 Dec
2014</t>
  </si>
  <si>
    <t>31 Dec
2015</t>
  </si>
  <si>
    <t>31 Dec
2016</t>
  </si>
  <si>
    <t>DSO</t>
  </si>
  <si>
    <t>DIO</t>
  </si>
  <si>
    <t>DPO</t>
  </si>
  <si>
    <t>Net Trading Cycle</t>
  </si>
  <si>
    <t>ROA</t>
  </si>
  <si>
    <t>ROE</t>
  </si>
  <si>
    <t>EBIT %</t>
  </si>
  <si>
    <t>Net loss incl. minority interests</t>
  </si>
  <si>
    <t>Minority interests</t>
  </si>
  <si>
    <t>GP% automotive</t>
  </si>
  <si>
    <t>GP% energy generation and automotive</t>
  </si>
  <si>
    <t>GP% services and other</t>
  </si>
  <si>
    <t>Overall GP%</t>
  </si>
  <si>
    <t>Net loss %</t>
  </si>
  <si>
    <t>n.a.</t>
  </si>
  <si>
    <t>Other liabilities</t>
  </si>
  <si>
    <t>Input --&gt;</t>
  </si>
  <si>
    <t>Total</t>
  </si>
  <si>
    <t>Best case</t>
  </si>
  <si>
    <t>Base case</t>
  </si>
  <si>
    <t>Worst case</t>
  </si>
  <si>
    <t>Drivers</t>
  </si>
  <si>
    <t>Selected case</t>
  </si>
  <si>
    <t xml:space="preserve"> </t>
  </si>
  <si>
    <t>Automotive revenues</t>
  </si>
  <si>
    <t>Workings  --&gt;</t>
  </si>
  <si>
    <t>Corporate tax rate</t>
  </si>
  <si>
    <t>Expected inflation</t>
  </si>
  <si>
    <t>2017
Act</t>
  </si>
  <si>
    <t>P&amp;L Input</t>
  </si>
  <si>
    <t>31 Dec 
2017</t>
  </si>
  <si>
    <t>Balance Sheet Input</t>
  </si>
  <si>
    <t xml:space="preserve"> 30 Jun
2018</t>
  </si>
  <si>
    <t>Restructuring and other</t>
  </si>
  <si>
    <t>KPIs</t>
  </si>
  <si>
    <t>Vehicle</t>
  </si>
  <si>
    <t>2018 H1
Act</t>
  </si>
  <si>
    <t>Tesla Semi</t>
  </si>
  <si>
    <t>Tesla Model 3</t>
  </si>
  <si>
    <t>Tesla Model Y</t>
  </si>
  <si>
    <t>Tesla Pickup</t>
  </si>
  <si>
    <t>Tesla Roadster 2</t>
  </si>
  <si>
    <t>Average Price ($)</t>
  </si>
  <si>
    <t>Deliveries</t>
  </si>
  <si>
    <t>Tesla Model S and X</t>
  </si>
  <si>
    <t>Tesla Deliveries</t>
  </si>
  <si>
    <t>2018
Fcst</t>
  </si>
  <si>
    <t>2018 H2
Fcst</t>
  </si>
  <si>
    <t>2019
Fcst</t>
  </si>
  <si>
    <t>2020
Fcst</t>
  </si>
  <si>
    <t>2021
Fcst</t>
  </si>
  <si>
    <t>2022
Fcst</t>
  </si>
  <si>
    <t>2023
Fcst</t>
  </si>
  <si>
    <t>y-o-y growth %</t>
  </si>
  <si>
    <t>Currency</t>
  </si>
  <si>
    <t>USD</t>
  </si>
  <si>
    <t>Domestic country</t>
  </si>
  <si>
    <t>United States</t>
  </si>
  <si>
    <t>Market risk premium US</t>
  </si>
  <si>
    <t>Tesla</t>
  </si>
  <si>
    <t>Company analysis</t>
  </si>
  <si>
    <t>Average</t>
  </si>
  <si>
    <t>Comparables</t>
  </si>
  <si>
    <t xml:space="preserve">  </t>
  </si>
  <si>
    <t>Automotive</t>
  </si>
  <si>
    <t>Revenue Automotive</t>
  </si>
  <si>
    <t>Tesla Revenue Automotive (in mln $)</t>
  </si>
  <si>
    <t>GM</t>
  </si>
  <si>
    <t>Ford</t>
  </si>
  <si>
    <t>Fiat Chrysler</t>
  </si>
  <si>
    <t>BMW</t>
  </si>
  <si>
    <t>Volkswagen</t>
  </si>
  <si>
    <t>Jaguar</t>
  </si>
  <si>
    <t>Porsche</t>
  </si>
  <si>
    <t>Ferrari</t>
  </si>
  <si>
    <t>Scania</t>
  </si>
  <si>
    <t>MAN</t>
  </si>
  <si>
    <t>Paccar</t>
  </si>
  <si>
    <t>Adj. Average</t>
  </si>
  <si>
    <t>Income Statement items</t>
  </si>
  <si>
    <t>Assumed growth after introduction:</t>
  </si>
  <si>
    <t>2 years</t>
  </si>
  <si>
    <t>onwards</t>
  </si>
  <si>
    <t>2024
Fcst</t>
  </si>
  <si>
    <t>2025
Fcst</t>
  </si>
  <si>
    <t>2026
Fcst</t>
  </si>
  <si>
    <t>2027
Fcst</t>
  </si>
  <si>
    <t>2028
Fcst</t>
  </si>
  <si>
    <t>Deliveries comparables</t>
  </si>
  <si>
    <t>Revenue % automotive y-o-y</t>
  </si>
  <si>
    <t>Revenue % generation y-o-y</t>
  </si>
  <si>
    <t>Revenue % services y-o-y</t>
  </si>
  <si>
    <t>Liquidity ratios</t>
  </si>
  <si>
    <t>Debt ratio</t>
  </si>
  <si>
    <t>Quick ratio</t>
  </si>
  <si>
    <t>Current ratio</t>
  </si>
  <si>
    <t>Solvency ratios</t>
  </si>
  <si>
    <t>Interest coverage</t>
  </si>
  <si>
    <t>&lt;0</t>
  </si>
  <si>
    <t>Company</t>
  </si>
  <si>
    <t>10-year treasury yield (Sep 27 2018)</t>
  </si>
  <si>
    <t>Company beta (Sep 27 2018)</t>
  </si>
  <si>
    <t>Tesla share price (Sep 27 2018)</t>
  </si>
  <si>
    <t>Bond Yield (Sep 19 2018)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</si>
</sst>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_(* #,##0_);_(* \(#,##0\);_(* &quot;-&quot;??_);_(@_)"/>
    <numFmt numFmtId="166" formatCode="_(* #,##0_);_(* \(#,##0\);_(* &quot;-&quot;?_);@_)"/>
  </numFmts>
  <fonts count="17" x14ac:knownFonts="1">
    <font>
      <sz val="10"/>
      <name val="Arial"/>
    </font>
    <font>
      <sz val="10"/>
      <name val="Arial"/>
      <family val="2"/>
      <charset val="204"/>
    </font>
    <font>
      <sz val="10"/>
      <name val="Arial"/>
      <family val="2"/>
      <charset val="204"/>
    </font>
    <font>
      <b/>
      <sz val="9"/>
      <name val="Arial"/>
      <family val="2"/>
      <charset val="204"/>
    </font>
    <font>
      <sz val="9"/>
      <name val="Arial"/>
      <family val="2"/>
      <charset val="204"/>
    </font>
    <font>
      <b/>
      <sz val="12"/>
      <color rgb="FF002060"/>
      <name val="Arial"/>
      <family val="2"/>
      <charset val="204"/>
    </font>
    <font>
      <b/>
      <sz val="40"/>
      <color rgb="FF002060"/>
      <name val="Arial"/>
      <family val="2"/>
      <charset val="204"/>
    </font>
    <font>
      <b/>
      <sz val="9"/>
      <color theme="0"/>
      <name val="Arial"/>
      <family val="2"/>
      <charset val="204"/>
    </font>
    <font>
      <sz val="9"/>
      <color theme="1"/>
      <name val="Arial"/>
      <family val="2"/>
      <charset val="204"/>
    </font>
    <font>
      <sz val="8"/>
      <name val="Arial"/>
      <family val="2"/>
      <charset val="204"/>
    </font>
    <font>
      <sz val="8"/>
      <color theme="1"/>
      <name val="Arial"/>
      <family val="2"/>
    </font>
    <font>
      <sz val="8"/>
      <color theme="1"/>
      <name val="Arial"/>
      <family val="2"/>
      <charset val="204"/>
    </font>
    <font>
      <b/>
      <sz val="8"/>
      <color theme="1"/>
      <name val="Arial"/>
      <family val="2"/>
      <charset val="204"/>
    </font>
    <font>
      <b/>
      <sz val="8"/>
      <color theme="1"/>
      <name val="Arial"/>
      <family val="2"/>
    </font>
    <font>
      <b/>
      <i/>
      <sz val="8"/>
      <name val="Arial"/>
      <family val="2"/>
      <charset val="204"/>
    </font>
    <font>
      <sz val="10"/>
      <color rgb="FF002060"/>
      <name val="Arial"/>
      <family val="2"/>
      <charset val="204"/>
    </font>
    <font>
      <b/>
      <i/>
      <sz val="9"/>
      <color rgb="FF00206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rgb="FF002060"/>
      </top>
      <bottom style="medium">
        <color rgb="FF002060"/>
      </bottom>
      <diagonal/>
    </border>
  </borders>
  <cellStyleXfs count="3">
    <xf numFmtId="0" fontId="0" fillId="0" borderId="0">
      <alignment vertical="top"/>
    </xf>
    <xf numFmtId="164" fontId="1" fillId="0" borderId="0">
      <alignment vertical="top"/>
    </xf>
    <xf numFmtId="9" fontId="1" fillId="0" borderId="0">
      <alignment vertical="top"/>
    </xf>
  </cellStyleXfs>
  <cellXfs count="72">
    <xf numFmtId="0" fontId="0" fillId="0" borderId="0" xfId="0">
      <alignment vertical="top"/>
    </xf>
    <xf numFmtId="0" fontId="0" fillId="2" borderId="0" xfId="0" applyFill="1">
      <alignment vertical="top"/>
    </xf>
    <xf numFmtId="0" fontId="5" fillId="2" borderId="0" xfId="0" applyFont="1" applyFill="1">
      <alignment vertical="top"/>
    </xf>
    <xf numFmtId="0" fontId="2" fillId="2" borderId="0" xfId="0" applyFont="1" applyFill="1">
      <alignment vertical="top"/>
    </xf>
    <xf numFmtId="165" fontId="1" fillId="2" borderId="0" xfId="1" applyNumberFormat="1" applyFill="1">
      <alignment vertical="top"/>
    </xf>
    <xf numFmtId="0" fontId="3" fillId="2" borderId="3" xfId="0" applyFont="1" applyFill="1" applyBorder="1" applyAlignment="1"/>
    <xf numFmtId="0" fontId="3" fillId="2" borderId="3" xfId="0" applyFont="1" applyFill="1" applyBorder="1" applyAlignment="1">
      <alignment horizontal="right" vertical="top" wrapText="1"/>
    </xf>
    <xf numFmtId="0" fontId="4" fillId="2" borderId="0" xfId="0" applyFont="1" applyFill="1" applyBorder="1">
      <alignment vertical="top"/>
    </xf>
    <xf numFmtId="0" fontId="4" fillId="2" borderId="0" xfId="0" applyFont="1" applyFill="1">
      <alignment vertical="top"/>
    </xf>
    <xf numFmtId="0" fontId="3" fillId="2" borderId="1" xfId="0" applyFont="1" applyFill="1" applyBorder="1">
      <alignment vertical="top"/>
    </xf>
    <xf numFmtId="0" fontId="3" fillId="2" borderId="2" xfId="0" applyFont="1" applyFill="1" applyBorder="1">
      <alignment vertical="top"/>
    </xf>
    <xf numFmtId="0" fontId="6" fillId="2" borderId="0" xfId="0" applyFont="1" applyFill="1">
      <alignment vertical="top"/>
    </xf>
    <xf numFmtId="0" fontId="7" fillId="4" borderId="0" xfId="0" applyFont="1" applyFill="1">
      <alignment vertical="top"/>
    </xf>
    <xf numFmtId="165" fontId="4" fillId="2" borderId="0" xfId="1" applyNumberFormat="1" applyFont="1" applyFill="1">
      <alignment vertical="top"/>
    </xf>
    <xf numFmtId="0" fontId="8" fillId="2" borderId="0" xfId="0" applyFont="1" applyFill="1" applyAlignment="1"/>
    <xf numFmtId="10" fontId="8" fillId="2" borderId="0" xfId="0" applyNumberFormat="1" applyFont="1" applyFill="1" applyAlignment="1"/>
    <xf numFmtId="9" fontId="4" fillId="2" borderId="0" xfId="0" applyNumberFormat="1" applyFont="1" applyFill="1">
      <alignment vertical="top"/>
    </xf>
    <xf numFmtId="0" fontId="9" fillId="2" borderId="0" xfId="0" applyFont="1" applyFill="1">
      <alignment vertical="top"/>
    </xf>
    <xf numFmtId="0" fontId="3" fillId="2" borderId="3" xfId="0" applyFont="1" applyFill="1" applyBorder="1" applyAlignment="1">
      <alignment horizontal="left" wrapText="1"/>
    </xf>
    <xf numFmtId="0" fontId="3" fillId="2" borderId="3" xfId="0" applyFont="1" applyFill="1" applyBorder="1" applyAlignment="1">
      <alignment horizontal="right" wrapText="1"/>
    </xf>
    <xf numFmtId="165" fontId="4" fillId="2" borderId="0" xfId="0" applyNumberFormat="1" applyFont="1" applyFill="1">
      <alignment vertical="top"/>
    </xf>
    <xf numFmtId="0" fontId="3" fillId="2" borderId="0" xfId="0" applyFont="1" applyFill="1" applyBorder="1">
      <alignment vertical="top"/>
    </xf>
    <xf numFmtId="0" fontId="3" fillId="5" borderId="3" xfId="0" applyFont="1" applyFill="1" applyBorder="1" applyAlignment="1">
      <alignment horizontal="right" wrapText="1"/>
    </xf>
    <xf numFmtId="0" fontId="11" fillId="3" borderId="0" xfId="0" applyFont="1" applyFill="1" applyAlignment="1"/>
    <xf numFmtId="2" fontId="11" fillId="3" borderId="0" xfId="0" applyNumberFormat="1" applyFont="1" applyFill="1" applyAlignment="1"/>
    <xf numFmtId="0" fontId="12" fillId="3" borderId="0" xfId="0" applyFont="1" applyFill="1" applyAlignment="1"/>
    <xf numFmtId="0" fontId="10" fillId="3" borderId="0" xfId="0" applyFont="1" applyFill="1" applyAlignment="1"/>
    <xf numFmtId="0" fontId="13" fillId="3" borderId="0" xfId="0" applyFont="1" applyFill="1" applyAlignment="1"/>
    <xf numFmtId="166" fontId="4" fillId="2" borderId="0" xfId="0" applyNumberFormat="1" applyFont="1" applyFill="1" applyBorder="1" applyAlignment="1">
      <alignment horizontal="right" vertical="top"/>
    </xf>
    <xf numFmtId="166" fontId="4" fillId="5" borderId="0" xfId="0" applyNumberFormat="1" applyFont="1" applyFill="1" applyBorder="1" applyAlignment="1">
      <alignment horizontal="right" vertical="top"/>
    </xf>
    <xf numFmtId="166" fontId="4" fillId="2" borderId="0" xfId="0" applyNumberFormat="1" applyFont="1" applyFill="1" applyAlignment="1">
      <alignment horizontal="right" vertical="top"/>
    </xf>
    <xf numFmtId="166" fontId="4" fillId="5" borderId="0" xfId="0" applyNumberFormat="1" applyFont="1" applyFill="1" applyAlignment="1">
      <alignment horizontal="right" vertical="top"/>
    </xf>
    <xf numFmtId="166" fontId="3" fillId="2" borderId="1" xfId="0" applyNumberFormat="1" applyFont="1" applyFill="1" applyBorder="1" applyAlignment="1">
      <alignment horizontal="right" vertical="top"/>
    </xf>
    <xf numFmtId="166" fontId="3" fillId="5" borderId="1" xfId="0" applyNumberFormat="1" applyFont="1" applyFill="1" applyBorder="1" applyAlignment="1">
      <alignment horizontal="right" vertical="top"/>
    </xf>
    <xf numFmtId="166" fontId="3" fillId="2" borderId="2" xfId="0" applyNumberFormat="1" applyFont="1" applyFill="1" applyBorder="1" applyAlignment="1">
      <alignment horizontal="right" vertical="top"/>
    </xf>
    <xf numFmtId="166" fontId="3" fillId="5" borderId="2" xfId="0" applyNumberFormat="1" applyFont="1" applyFill="1" applyBorder="1" applyAlignment="1">
      <alignment horizontal="right" vertical="top"/>
    </xf>
    <xf numFmtId="9" fontId="9" fillId="3" borderId="0" xfId="2" applyFont="1" applyFill="1">
      <alignment vertical="top"/>
    </xf>
    <xf numFmtId="166" fontId="4" fillId="2" borderId="0" xfId="1" applyNumberFormat="1" applyFont="1" applyFill="1" applyAlignment="1">
      <alignment horizontal="right" vertical="top"/>
    </xf>
    <xf numFmtId="166" fontId="4" fillId="5" borderId="0" xfId="1" applyNumberFormat="1" applyFont="1" applyFill="1" applyAlignment="1">
      <alignment horizontal="right" vertical="top"/>
    </xf>
    <xf numFmtId="166" fontId="3" fillId="2" borderId="1" xfId="1" applyNumberFormat="1" applyFont="1" applyFill="1" applyBorder="1" applyAlignment="1">
      <alignment horizontal="right" vertical="top"/>
    </xf>
    <xf numFmtId="166" fontId="3" fillId="5" borderId="1" xfId="1" applyNumberFormat="1" applyFont="1" applyFill="1" applyBorder="1" applyAlignment="1">
      <alignment horizontal="right" vertical="top"/>
    </xf>
    <xf numFmtId="166" fontId="3" fillId="2" borderId="2" xfId="1" applyNumberFormat="1" applyFont="1" applyFill="1" applyBorder="1" applyAlignment="1">
      <alignment horizontal="right" vertical="top"/>
    </xf>
    <xf numFmtId="166" fontId="3" fillId="5" borderId="2" xfId="1" applyNumberFormat="1" applyFont="1" applyFill="1" applyBorder="1" applyAlignment="1">
      <alignment horizontal="right" vertical="top"/>
    </xf>
    <xf numFmtId="166" fontId="3" fillId="2" borderId="0" xfId="1" applyNumberFormat="1" applyFont="1" applyFill="1" applyAlignment="1">
      <alignment horizontal="right" vertical="top"/>
    </xf>
    <xf numFmtId="166" fontId="3" fillId="5" borderId="0" xfId="1" applyNumberFormat="1" applyFont="1" applyFill="1" applyAlignment="1">
      <alignment horizontal="right" vertical="top"/>
    </xf>
    <xf numFmtId="166" fontId="4" fillId="2" borderId="0" xfId="1" applyNumberFormat="1" applyFont="1" applyFill="1">
      <alignment vertical="top"/>
    </xf>
    <xf numFmtId="166" fontId="4" fillId="2" borderId="0" xfId="0" applyNumberFormat="1" applyFont="1" applyFill="1">
      <alignment vertical="top"/>
    </xf>
    <xf numFmtId="166" fontId="4" fillId="5" borderId="0" xfId="0" applyNumberFormat="1" applyFont="1" applyFill="1">
      <alignment vertical="top"/>
    </xf>
    <xf numFmtId="0" fontId="14" fillId="3" borderId="0" xfId="0" applyFont="1" applyFill="1">
      <alignment vertical="top"/>
    </xf>
    <xf numFmtId="0" fontId="9" fillId="3" borderId="0" xfId="0" applyFont="1" applyFill="1">
      <alignment vertical="top"/>
    </xf>
    <xf numFmtId="9" fontId="9" fillId="3" borderId="0" xfId="0" applyNumberFormat="1" applyFont="1" applyFill="1">
      <alignment vertical="top"/>
    </xf>
    <xf numFmtId="9" fontId="9" fillId="3" borderId="0" xfId="2" applyFont="1" applyFill="1" applyAlignment="1">
      <alignment horizontal="right" vertical="top"/>
    </xf>
    <xf numFmtId="0" fontId="9" fillId="3" borderId="0" xfId="0" applyFont="1" applyFill="1" applyAlignment="1">
      <alignment horizontal="right" vertical="top"/>
    </xf>
    <xf numFmtId="166" fontId="3" fillId="2" borderId="2" xfId="1" applyNumberFormat="1" applyFont="1" applyFill="1" applyBorder="1">
      <alignment vertical="top"/>
    </xf>
    <xf numFmtId="9" fontId="9" fillId="3" borderId="0" xfId="0" applyNumberFormat="1" applyFont="1" applyFill="1" applyAlignment="1">
      <alignment horizontal="right" vertical="top"/>
    </xf>
    <xf numFmtId="0" fontId="3" fillId="5" borderId="3" xfId="0" applyFont="1" applyFill="1" applyBorder="1" applyAlignment="1">
      <alignment horizontal="right" vertical="top" wrapText="1"/>
    </xf>
    <xf numFmtId="0" fontId="4" fillId="2" borderId="0" xfId="0" applyFont="1" applyFill="1" applyAlignment="1">
      <alignment horizontal="right" vertical="top"/>
    </xf>
    <xf numFmtId="10" fontId="4" fillId="2" borderId="0" xfId="0" applyNumberFormat="1" applyFont="1" applyFill="1">
      <alignment vertical="top"/>
    </xf>
    <xf numFmtId="0" fontId="15" fillId="2" borderId="0" xfId="0" applyFont="1" applyFill="1">
      <alignment vertical="top"/>
    </xf>
    <xf numFmtId="9" fontId="4" fillId="2" borderId="0" xfId="0" applyNumberFormat="1" applyFont="1" applyFill="1" applyAlignment="1">
      <alignment horizontal="right" vertical="top"/>
    </xf>
    <xf numFmtId="0" fontId="3" fillId="2" borderId="4" xfId="0" applyFont="1" applyFill="1" applyBorder="1" applyAlignment="1"/>
    <xf numFmtId="165" fontId="3" fillId="2" borderId="4" xfId="0" applyNumberFormat="1" applyFont="1" applyFill="1" applyBorder="1" applyAlignment="1"/>
    <xf numFmtId="0" fontId="4" fillId="3" borderId="0" xfId="0" applyFont="1" applyFill="1">
      <alignment vertical="top"/>
    </xf>
    <xf numFmtId="166" fontId="4" fillId="2" borderId="0" xfId="0" applyNumberFormat="1" applyFont="1" applyFill="1" applyBorder="1" applyAlignment="1">
      <alignment horizontal="right" vertical="center"/>
    </xf>
    <xf numFmtId="165" fontId="3" fillId="2" borderId="1" xfId="1" applyNumberFormat="1" applyFont="1" applyFill="1" applyBorder="1">
      <alignment vertical="top"/>
    </xf>
    <xf numFmtId="166" fontId="9" fillId="2" borderId="0" xfId="0" applyNumberFormat="1" applyFont="1" applyFill="1">
      <alignment vertical="top"/>
    </xf>
    <xf numFmtId="2" fontId="4" fillId="3" borderId="0" xfId="0" applyNumberFormat="1" applyFont="1" applyFill="1" applyAlignment="1">
      <alignment horizontal="right" vertical="top"/>
    </xf>
    <xf numFmtId="2" fontId="4" fillId="2" borderId="0" xfId="0" applyNumberFormat="1" applyFont="1" applyFill="1">
      <alignment vertical="top"/>
    </xf>
    <xf numFmtId="2" fontId="3" fillId="2" borderId="1" xfId="0" applyNumberFormat="1" applyFont="1" applyFill="1" applyBorder="1" applyAlignment="1">
      <alignment horizontal="right" vertical="top"/>
    </xf>
    <xf numFmtId="0" fontId="16" fillId="2" borderId="0" xfId="0" applyFont="1" applyFill="1">
      <alignment vertical="top"/>
    </xf>
    <xf numFmtId="2" fontId="11" fillId="3" borderId="0" xfId="0" applyNumberFormat="1" applyFont="1" applyFill="1" applyAlignment="1">
      <alignment horizontal="right"/>
    </xf>
    <xf numFmtId="0" fontId="7" fillId="4" borderId="0" xfId="0" applyFont="1" applyFill="1" applyAlignment="1">
      <alignment horizontal="center" vertical="top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>
                <a:solidFill>
                  <a:srgbClr val="002060"/>
                </a:solidFill>
              </a:rPr>
              <a:t>Tesla vehicle</a:t>
            </a:r>
            <a:r>
              <a:rPr lang="en-US" sz="1400" b="1" baseline="0">
                <a:solidFill>
                  <a:srgbClr val="002060"/>
                </a:solidFill>
              </a:rPr>
              <a:t> deliveries 2014-2027 (actuals and forecasts)</a:t>
            </a:r>
            <a:endParaRPr lang="en-US" sz="1400" b="1">
              <a:solidFill>
                <a:srgbClr val="002060"/>
              </a:solidFill>
            </a:endParaRPr>
          </a:p>
        </c:rich>
      </c:tx>
      <c:layout>
        <c:manualLayout>
          <c:xMode val="edge"/>
          <c:yMode val="edge"/>
          <c:x val="5.0621780083541838E-2"/>
          <c:y val="2.09214715740441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949941694014521E-2"/>
          <c:y val="0.11001056524035922"/>
          <c:w val="0.89789168805756225"/>
          <c:h val="0.739280440578842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Deliveries!$B$5</c:f>
              <c:strCache>
                <c:ptCount val="1"/>
                <c:pt idx="0">
                  <c:v>Tesla Model 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210-4DB6-9889-2037335EE60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Deliveries!$C$4:$S$4</c:f>
              <c:strCache>
                <c:ptCount val="17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 H1
Act</c:v>
                </c:pt>
                <c:pt idx="5">
                  <c:v>2018 H2
Fcst</c:v>
                </c:pt>
                <c:pt idx="6">
                  <c:v>2018
Fcst</c:v>
                </c:pt>
                <c:pt idx="7">
                  <c:v>2019
Fcst</c:v>
                </c:pt>
                <c:pt idx="8">
                  <c:v>2020
Fcst</c:v>
                </c:pt>
                <c:pt idx="9">
                  <c:v>2021
Fcst</c:v>
                </c:pt>
                <c:pt idx="10">
                  <c:v>2022
Fcst</c:v>
                </c:pt>
                <c:pt idx="11">
                  <c:v>2023
Fcst</c:v>
                </c:pt>
                <c:pt idx="12">
                  <c:v>2024
Fcst</c:v>
                </c:pt>
                <c:pt idx="13">
                  <c:v>2025
Fcst</c:v>
                </c:pt>
                <c:pt idx="14">
                  <c:v>2026
Fcst</c:v>
                </c:pt>
                <c:pt idx="15">
                  <c:v>2027
Fcst</c:v>
                </c:pt>
                <c:pt idx="16">
                  <c:v>2028
Fcst</c:v>
                </c:pt>
              </c:strCache>
            </c:strRef>
          </c:cat>
          <c:val>
            <c:numRef>
              <c:f>Deliveries!$C$5:$S$5</c:f>
              <c:numCache>
                <c:formatCode>_(* #\ ##0_);_(* \(#\ ##0\);_(* "-"?_);@_)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1764</c:v>
                </c:pt>
                <c:pt idx="4">
                  <c:v>26620</c:v>
                </c:pt>
                <c:pt idx="5">
                  <c:v>104000</c:v>
                </c:pt>
                <c:pt idx="6">
                  <c:v>130620</c:v>
                </c:pt>
                <c:pt idx="7">
                  <c:v>260000</c:v>
                </c:pt>
                <c:pt idx="8">
                  <c:v>416000</c:v>
                </c:pt>
                <c:pt idx="9">
                  <c:v>457600.00000000006</c:v>
                </c:pt>
                <c:pt idx="10">
                  <c:v>503360.00000000012</c:v>
                </c:pt>
                <c:pt idx="11">
                  <c:v>528528.00000000012</c:v>
                </c:pt>
                <c:pt idx="12">
                  <c:v>554954.40000000014</c:v>
                </c:pt>
                <c:pt idx="13">
                  <c:v>566053.48800000013</c:v>
                </c:pt>
                <c:pt idx="14">
                  <c:v>577374.55776000011</c:v>
                </c:pt>
                <c:pt idx="15">
                  <c:v>588922.04891520017</c:v>
                </c:pt>
                <c:pt idx="16">
                  <c:v>600700.48989350419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10-4DB6-9889-2037335EE607}"/>
            </c:ext>
          </c:extLst>
        </c:ser>
        <c:ser>
          <c:idx val="1"/>
          <c:order val="1"/>
          <c:tx>
            <c:strRef>
              <c:f>Deliveries!$B$6</c:f>
              <c:strCache>
                <c:ptCount val="1"/>
                <c:pt idx="0">
                  <c:v>Tesla Model S and 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Deliveries!$C$4:$S$4</c:f>
              <c:strCache>
                <c:ptCount val="17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 H1
Act</c:v>
                </c:pt>
                <c:pt idx="5">
                  <c:v>2018 H2
Fcst</c:v>
                </c:pt>
                <c:pt idx="6">
                  <c:v>2018
Fcst</c:v>
                </c:pt>
                <c:pt idx="7">
                  <c:v>2019
Fcst</c:v>
                </c:pt>
                <c:pt idx="8">
                  <c:v>2020
Fcst</c:v>
                </c:pt>
                <c:pt idx="9">
                  <c:v>2021
Fcst</c:v>
                </c:pt>
                <c:pt idx="10">
                  <c:v>2022
Fcst</c:v>
                </c:pt>
                <c:pt idx="11">
                  <c:v>2023
Fcst</c:v>
                </c:pt>
                <c:pt idx="12">
                  <c:v>2024
Fcst</c:v>
                </c:pt>
                <c:pt idx="13">
                  <c:v>2025
Fcst</c:v>
                </c:pt>
                <c:pt idx="14">
                  <c:v>2026
Fcst</c:v>
                </c:pt>
                <c:pt idx="15">
                  <c:v>2027
Fcst</c:v>
                </c:pt>
                <c:pt idx="16">
                  <c:v>2028
Fcst</c:v>
                </c:pt>
              </c:strCache>
            </c:strRef>
          </c:cat>
          <c:val>
            <c:numRef>
              <c:f>Deliveries!$C$6:$S$6</c:f>
              <c:numCache>
                <c:formatCode>_(* #\ ##0_);_(* \(#\ ##0\);_(* "-"?_);@_)</c:formatCode>
                <c:ptCount val="17"/>
                <c:pt idx="0">
                  <c:v>33600</c:v>
                </c:pt>
                <c:pt idx="1">
                  <c:v>50580</c:v>
                </c:pt>
                <c:pt idx="2">
                  <c:v>76230</c:v>
                </c:pt>
                <c:pt idx="3">
                  <c:v>101312</c:v>
                </c:pt>
                <c:pt idx="4">
                  <c:v>44100</c:v>
                </c:pt>
                <c:pt idx="5">
                  <c:v>55900</c:v>
                </c:pt>
                <c:pt idx="6">
                  <c:v>100000</c:v>
                </c:pt>
                <c:pt idx="7">
                  <c:v>102000</c:v>
                </c:pt>
                <c:pt idx="8">
                  <c:v>104040</c:v>
                </c:pt>
                <c:pt idx="9">
                  <c:v>106120.8</c:v>
                </c:pt>
                <c:pt idx="10">
                  <c:v>108243.216</c:v>
                </c:pt>
                <c:pt idx="11">
                  <c:v>110408.08032000001</c:v>
                </c:pt>
                <c:pt idx="12">
                  <c:v>112616.24192640001</c:v>
                </c:pt>
                <c:pt idx="13">
                  <c:v>114868.56676492801</c:v>
                </c:pt>
                <c:pt idx="14">
                  <c:v>117165.93810022657</c:v>
                </c:pt>
                <c:pt idx="15">
                  <c:v>119509.25686223111</c:v>
                </c:pt>
                <c:pt idx="16">
                  <c:v>121899.44199947573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10-4DB6-9889-2037335EE607}"/>
            </c:ext>
          </c:extLst>
        </c:ser>
        <c:ser>
          <c:idx val="2"/>
          <c:order val="2"/>
          <c:tx>
            <c:strRef>
              <c:f>Deliveries!$B$7</c:f>
              <c:strCache>
                <c:ptCount val="1"/>
                <c:pt idx="0">
                  <c:v>Tesla Model 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D210-4DB6-9889-2037335EE607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D210-4DB6-9889-2037335EE607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10-4DB6-9889-2037335EE607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210-4DB6-9889-2037335EE607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210-4DB6-9889-2037335EE60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Deliveries!$C$4:$S$4</c:f>
              <c:strCache>
                <c:ptCount val="17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 H1
Act</c:v>
                </c:pt>
                <c:pt idx="5">
                  <c:v>2018 H2
Fcst</c:v>
                </c:pt>
                <c:pt idx="6">
                  <c:v>2018
Fcst</c:v>
                </c:pt>
                <c:pt idx="7">
                  <c:v>2019
Fcst</c:v>
                </c:pt>
                <c:pt idx="8">
                  <c:v>2020
Fcst</c:v>
                </c:pt>
                <c:pt idx="9">
                  <c:v>2021
Fcst</c:v>
                </c:pt>
                <c:pt idx="10">
                  <c:v>2022
Fcst</c:v>
                </c:pt>
                <c:pt idx="11">
                  <c:v>2023
Fcst</c:v>
                </c:pt>
                <c:pt idx="12">
                  <c:v>2024
Fcst</c:v>
                </c:pt>
                <c:pt idx="13">
                  <c:v>2025
Fcst</c:v>
                </c:pt>
                <c:pt idx="14">
                  <c:v>2026
Fcst</c:v>
                </c:pt>
                <c:pt idx="15">
                  <c:v>2027
Fcst</c:v>
                </c:pt>
                <c:pt idx="16">
                  <c:v>2028
Fcst</c:v>
                </c:pt>
              </c:strCache>
            </c:strRef>
          </c:cat>
          <c:val>
            <c:numRef>
              <c:f>Deliveries!$C$7:$S$7</c:f>
              <c:numCache>
                <c:formatCode>_(* #\ ##0_);_(* \(#\ ##0\);_(* "-"?_);@_)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1764</c:v>
                </c:pt>
                <c:pt idx="8">
                  <c:v>130620</c:v>
                </c:pt>
                <c:pt idx="9">
                  <c:v>260000</c:v>
                </c:pt>
                <c:pt idx="10">
                  <c:v>416000</c:v>
                </c:pt>
                <c:pt idx="11">
                  <c:v>457600.00000000006</c:v>
                </c:pt>
                <c:pt idx="12">
                  <c:v>503360.00000000012</c:v>
                </c:pt>
                <c:pt idx="13">
                  <c:v>528528.00000000012</c:v>
                </c:pt>
                <c:pt idx="14">
                  <c:v>554954.40000000014</c:v>
                </c:pt>
                <c:pt idx="15">
                  <c:v>566053.48800000013</c:v>
                </c:pt>
                <c:pt idx="16">
                  <c:v>577374.55776000011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10-4DB6-9889-2037335EE607}"/>
            </c:ext>
          </c:extLst>
        </c:ser>
        <c:ser>
          <c:idx val="3"/>
          <c:order val="3"/>
          <c:tx>
            <c:strRef>
              <c:f>Deliveries!$B$8</c:f>
              <c:strCache>
                <c:ptCount val="1"/>
                <c:pt idx="0">
                  <c:v>Tesla Roadster 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Deliveries!$C$4:$S$4</c:f>
              <c:strCache>
                <c:ptCount val="17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 H1
Act</c:v>
                </c:pt>
                <c:pt idx="5">
                  <c:v>2018 H2
Fcst</c:v>
                </c:pt>
                <c:pt idx="6">
                  <c:v>2018
Fcst</c:v>
                </c:pt>
                <c:pt idx="7">
                  <c:v>2019
Fcst</c:v>
                </c:pt>
                <c:pt idx="8">
                  <c:v>2020
Fcst</c:v>
                </c:pt>
                <c:pt idx="9">
                  <c:v>2021
Fcst</c:v>
                </c:pt>
                <c:pt idx="10">
                  <c:v>2022
Fcst</c:v>
                </c:pt>
                <c:pt idx="11">
                  <c:v>2023
Fcst</c:v>
                </c:pt>
                <c:pt idx="12">
                  <c:v>2024
Fcst</c:v>
                </c:pt>
                <c:pt idx="13">
                  <c:v>2025
Fcst</c:v>
                </c:pt>
                <c:pt idx="14">
                  <c:v>2026
Fcst</c:v>
                </c:pt>
                <c:pt idx="15">
                  <c:v>2027
Fcst</c:v>
                </c:pt>
                <c:pt idx="16">
                  <c:v>2028
Fcst</c:v>
                </c:pt>
              </c:strCache>
            </c:strRef>
          </c:cat>
          <c:val>
            <c:numRef>
              <c:f>Deliveries!$C$8:$S$8</c:f>
              <c:numCache>
                <c:formatCode>_(* #\ ##0_);_(* \(#\ ##0\);_(* "-"?_);@_)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500</c:v>
                </c:pt>
                <c:pt idx="9">
                  <c:v>1000</c:v>
                </c:pt>
                <c:pt idx="10">
                  <c:v>1500</c:v>
                </c:pt>
                <c:pt idx="11">
                  <c:v>1650.0000000000002</c:v>
                </c:pt>
                <c:pt idx="12">
                  <c:v>1815.0000000000005</c:v>
                </c:pt>
                <c:pt idx="13">
                  <c:v>1905.7500000000005</c:v>
                </c:pt>
                <c:pt idx="14">
                  <c:v>2001.0375000000006</c:v>
                </c:pt>
                <c:pt idx="15">
                  <c:v>2041.0582500000007</c:v>
                </c:pt>
                <c:pt idx="16">
                  <c:v>2081.8794150000008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210-4DB6-9889-2037335EE607}"/>
            </c:ext>
          </c:extLst>
        </c:ser>
        <c:ser>
          <c:idx val="4"/>
          <c:order val="4"/>
          <c:tx>
            <c:strRef>
              <c:f>Deliveries!$B$9</c:f>
              <c:strCache>
                <c:ptCount val="1"/>
                <c:pt idx="0">
                  <c:v>Tesla Pickup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BC4-4203-8181-80AE5FCC871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Deliveries!$C$4:$S$4</c:f>
              <c:strCache>
                <c:ptCount val="17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 H1
Act</c:v>
                </c:pt>
                <c:pt idx="5">
                  <c:v>2018 H2
Fcst</c:v>
                </c:pt>
                <c:pt idx="6">
                  <c:v>2018
Fcst</c:v>
                </c:pt>
                <c:pt idx="7">
                  <c:v>2019
Fcst</c:v>
                </c:pt>
                <c:pt idx="8">
                  <c:v>2020
Fcst</c:v>
                </c:pt>
                <c:pt idx="9">
                  <c:v>2021
Fcst</c:v>
                </c:pt>
                <c:pt idx="10">
                  <c:v>2022
Fcst</c:v>
                </c:pt>
                <c:pt idx="11">
                  <c:v>2023
Fcst</c:v>
                </c:pt>
                <c:pt idx="12">
                  <c:v>2024
Fcst</c:v>
                </c:pt>
                <c:pt idx="13">
                  <c:v>2025
Fcst</c:v>
                </c:pt>
                <c:pt idx="14">
                  <c:v>2026
Fcst</c:v>
                </c:pt>
                <c:pt idx="15">
                  <c:v>2027
Fcst</c:v>
                </c:pt>
                <c:pt idx="16">
                  <c:v>2028
Fcst</c:v>
                </c:pt>
              </c:strCache>
            </c:strRef>
          </c:cat>
          <c:val>
            <c:numRef>
              <c:f>Deliveries!$C$9:$S$9</c:f>
              <c:numCache>
                <c:formatCode>_(* #\ ##0_);_(* \(#\ ##0\);_(* "-"?_);@_)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250</c:v>
                </c:pt>
                <c:pt idx="8">
                  <c:v>18511.904761904763</c:v>
                </c:pt>
                <c:pt idx="9">
                  <c:v>36848.072562358284</c:v>
                </c:pt>
                <c:pt idx="10">
                  <c:v>58956.916099773254</c:v>
                </c:pt>
                <c:pt idx="11">
                  <c:v>64852.607709750584</c:v>
                </c:pt>
                <c:pt idx="12">
                  <c:v>71337.86848072565</c:v>
                </c:pt>
                <c:pt idx="13">
                  <c:v>74904.761904761937</c:v>
                </c:pt>
                <c:pt idx="14">
                  <c:v>78650.000000000044</c:v>
                </c:pt>
                <c:pt idx="15">
                  <c:v>80223.000000000044</c:v>
                </c:pt>
                <c:pt idx="16">
                  <c:v>81827.46000000005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10-4DB6-9889-2037335EE607}"/>
            </c:ext>
          </c:extLst>
        </c:ser>
        <c:ser>
          <c:idx val="5"/>
          <c:order val="5"/>
          <c:tx>
            <c:strRef>
              <c:f>Deliveries!$B$10</c:f>
              <c:strCache>
                <c:ptCount val="1"/>
                <c:pt idx="0">
                  <c:v>Tesla Semi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D210-4DB6-9889-2037335EE607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210-4DB6-9889-2037335EE607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10-4DB6-9889-2037335EE607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210-4DB6-9889-2037335EE607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D210-4DB6-9889-2037335EE607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D210-4DB6-9889-2037335EE607}"/>
                </c:ext>
              </c:extLst>
            </c:dLbl>
            <c:dLbl>
              <c:idx val="6"/>
              <c:layout>
                <c:manualLayout>
                  <c:x val="-8.4058328966294317E-17"/>
                  <c:y val="-1.320655044902271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10-4DB6-9889-2037335EE607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BC4-4203-8181-80AE5FCC871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Deliveries!$C$4:$S$4</c:f>
              <c:strCache>
                <c:ptCount val="17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 H1
Act</c:v>
                </c:pt>
                <c:pt idx="5">
                  <c:v>2018 H2
Fcst</c:v>
                </c:pt>
                <c:pt idx="6">
                  <c:v>2018
Fcst</c:v>
                </c:pt>
                <c:pt idx="7">
                  <c:v>2019
Fcst</c:v>
                </c:pt>
                <c:pt idx="8">
                  <c:v>2020
Fcst</c:v>
                </c:pt>
                <c:pt idx="9">
                  <c:v>2021
Fcst</c:v>
                </c:pt>
                <c:pt idx="10">
                  <c:v>2022
Fcst</c:v>
                </c:pt>
                <c:pt idx="11">
                  <c:v>2023
Fcst</c:v>
                </c:pt>
                <c:pt idx="12">
                  <c:v>2024
Fcst</c:v>
                </c:pt>
                <c:pt idx="13">
                  <c:v>2025
Fcst</c:v>
                </c:pt>
                <c:pt idx="14">
                  <c:v>2026
Fcst</c:v>
                </c:pt>
                <c:pt idx="15">
                  <c:v>2027
Fcst</c:v>
                </c:pt>
                <c:pt idx="16">
                  <c:v>2028
Fcst</c:v>
                </c:pt>
              </c:strCache>
            </c:strRef>
          </c:cat>
          <c:val>
            <c:numRef>
              <c:f>Deliveries!$C$10:$S$10</c:f>
              <c:numCache>
                <c:formatCode>_(* #\ ##0_);_(* \(#\ ##0\);_(* "-"?_);@_)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250</c:v>
                </c:pt>
                <c:pt idx="8">
                  <c:v>18511.904761904763</c:v>
                </c:pt>
                <c:pt idx="9">
                  <c:v>36848.072562358284</c:v>
                </c:pt>
                <c:pt idx="10">
                  <c:v>58956.916099773254</c:v>
                </c:pt>
                <c:pt idx="11">
                  <c:v>64852.607709750584</c:v>
                </c:pt>
                <c:pt idx="12">
                  <c:v>71337.86848072565</c:v>
                </c:pt>
                <c:pt idx="13">
                  <c:v>74904.761904761937</c:v>
                </c:pt>
                <c:pt idx="14">
                  <c:v>78650.000000000044</c:v>
                </c:pt>
                <c:pt idx="15">
                  <c:v>80223.000000000044</c:v>
                </c:pt>
                <c:pt idx="16">
                  <c:v>81827.46000000005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210-4DB6-9889-2037335EE6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01046368"/>
        <c:axId val="601044072"/>
      </c:barChart>
      <c:catAx>
        <c:axId val="601046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044072"/>
        <c:crosses val="autoZero"/>
        <c:auto val="1"/>
        <c:lblAlgn val="ctr"/>
        <c:lblOffset val="100"/>
        <c:noMultiLvlLbl val="0"/>
      </c:catAx>
      <c:valAx>
        <c:axId val="601044072"/>
        <c:scaling>
          <c:orientation val="minMax"/>
          <c:max val="2000000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Production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\ ##0_);_(* \(#\ ##0\);_(* &quot;-&quot;?_);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046368"/>
        <c:crosses val="autoZero"/>
        <c:crossBetween val="between"/>
        <c:majorUnit val="20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G"/><Relationship Id="rId1" Type="http://schemas.openxmlformats.org/officeDocument/2006/relationships/image" Target="../media/image2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487680</xdr:colOff>
      <xdr:row>0</xdr:row>
      <xdr:rowOff>0</xdr:rowOff>
    </xdr:from>
    <xdr:to>
      <xdr:col>22</xdr:col>
      <xdr:colOff>121920</xdr:colOff>
      <xdr:row>27</xdr:row>
      <xdr:rowOff>116840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DECFC3C-7143-4EF3-984F-BADB362185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98720" y="0"/>
          <a:ext cx="8382000" cy="5588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238908</xdr:colOff>
      <xdr:row>1</xdr:row>
      <xdr:rowOff>53340</xdr:rowOff>
    </xdr:from>
    <xdr:to>
      <xdr:col>10</xdr:col>
      <xdr:colOff>121919</xdr:colOff>
      <xdr:row>19</xdr:row>
      <xdr:rowOff>114300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3E572DA-DB7E-409D-B549-B912FDF330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97448" y="251460"/>
          <a:ext cx="4348331" cy="2712720"/>
        </a:xfrm>
        <a:prstGeom prst="rect">
          <a:avLst/>
        </a:prstGeom>
      </xdr:spPr>
    </xdr:pic>
    <xdr:clientData/>
  </xdr:twoCellAnchor>
  <xdr:twoCellAnchor editAs="oneCell">
    <xdr:from>
      <xdr:col>10</xdr:col>
      <xdr:colOff>277700</xdr:colOff>
      <xdr:row>1</xdr:row>
      <xdr:rowOff>53340</xdr:rowOff>
    </xdr:from>
    <xdr:to>
      <xdr:col>14</xdr:col>
      <xdr:colOff>670559</xdr:colOff>
      <xdr:row>25</xdr:row>
      <xdr:rowOff>7620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24E606D0-DC6D-4F5A-91AE-D80CD93E17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01560" y="251460"/>
          <a:ext cx="3250359" cy="347472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22860</xdr:rowOff>
    </xdr:from>
    <xdr:to>
      <xdr:col>22</xdr:col>
      <xdr:colOff>160020</xdr:colOff>
      <xdr:row>34</xdr:row>
      <xdr:rowOff>106680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810652E-16B4-4864-83D3-1071C576AB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275CB-43A1-41B9-9A4A-DD70DC72C585}">
  <sheetPr>
    <tabColor rgb="FFC00000"/>
  </sheetPr>
  <dimension ref="B9:C10"/>
  <sheetViews>
    <sheetView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9" spans="2:3" ht="50.4" x14ac:dyDescent="0.25">
      <c r="B9" s="11" t="s">
        <v>110</v>
      </c>
      <c r="C9" s="58"/>
    </row>
    <row r="10" spans="2:3" ht="50.4" x14ac:dyDescent="0.25">
      <c r="B10" s="11" t="s">
        <v>111</v>
      </c>
      <c r="C10" s="58"/>
    </row>
  </sheetData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E07D8-2EE7-44FE-8CF5-9BBCEA245865}">
  <dimension ref="I1:K1"/>
  <sheetViews>
    <sheetView workbookViewId="0"/>
  </sheetViews>
  <sheetFormatPr defaultColWidth="9.109375" defaultRowHeight="11.4" outlineLevelCol="1" x14ac:dyDescent="0.25"/>
  <cols>
    <col min="1" max="1" width="2" style="8" customWidth="1"/>
    <col min="2" max="3" width="15.109375" style="8" customWidth="1"/>
    <col min="4" max="4" width="2" style="8" customWidth="1"/>
    <col min="5" max="6" width="11.33203125" style="8" bestFit="1" customWidth="1"/>
    <col min="7" max="7" width="9.109375" style="8"/>
    <col min="8" max="8" width="11.44140625" style="8" bestFit="1" customWidth="1"/>
    <col min="9" max="10" width="10.33203125" style="8" hidden="1" customWidth="1" outlineLevel="1"/>
    <col min="11" max="11" width="10.33203125" style="8" bestFit="1" customWidth="1" collapsed="1"/>
    <col min="12" max="12" width="10.33203125" style="8" bestFit="1" customWidth="1"/>
    <col min="13" max="17" width="10.44140625" style="8" bestFit="1" customWidth="1"/>
    <col min="18" max="16384" width="9.109375" style="8"/>
  </cols>
  <sheetData/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735C4-A3CF-4014-9C0F-0FC78BC8706D}">
  <dimension ref="A1:F19"/>
  <sheetViews>
    <sheetView workbookViewId="0">
      <selection activeCell="D1" sqref="D1"/>
    </sheetView>
  </sheetViews>
  <sheetFormatPr defaultColWidth="9.109375" defaultRowHeight="11.4" x14ac:dyDescent="0.25"/>
  <cols>
    <col min="1" max="1" width="2" style="8" customWidth="1"/>
    <col min="2" max="2" width="17.77734375" style="8" customWidth="1"/>
    <col min="3" max="3" width="33.33203125" style="8" customWidth="1"/>
    <col min="4" max="4" width="11.6640625" style="8" customWidth="1"/>
    <col min="5" max="6" width="9.109375" style="8"/>
    <col min="7" max="7" width="2" style="8" customWidth="1"/>
    <col min="8" max="16384" width="9.109375" style="8"/>
  </cols>
  <sheetData>
    <row r="1" spans="1:6" ht="15.6" x14ac:dyDescent="0.25">
      <c r="A1" s="1"/>
      <c r="B1" s="2" t="s">
        <v>139</v>
      </c>
    </row>
    <row r="2" spans="1:6" ht="15.6" x14ac:dyDescent="0.25">
      <c r="A2" s="1"/>
      <c r="B2" s="2"/>
    </row>
    <row r="3" spans="1:6" x14ac:dyDescent="0.25">
      <c r="B3" s="69" t="s">
        <v>113</v>
      </c>
    </row>
    <row r="5" spans="1:6" x14ac:dyDescent="0.25">
      <c r="F5" s="8" t="s">
        <v>114</v>
      </c>
    </row>
    <row r="6" spans="1:6" ht="12" x14ac:dyDescent="0.25">
      <c r="B6" s="18" t="s">
        <v>86</v>
      </c>
      <c r="C6" s="19" t="s">
        <v>112</v>
      </c>
      <c r="D6" s="19" t="s">
        <v>129</v>
      </c>
    </row>
    <row r="7" spans="1:6" x14ac:dyDescent="0.25">
      <c r="B7" s="8" t="s">
        <v>118</v>
      </c>
      <c r="C7" s="13">
        <v>9600340</v>
      </c>
      <c r="D7" s="13">
        <v>9600340</v>
      </c>
    </row>
    <row r="8" spans="1:6" x14ac:dyDescent="0.25">
      <c r="B8" s="8" t="s">
        <v>119</v>
      </c>
      <c r="C8" s="13">
        <f>(119+373+1566+1582+2967)*1000</f>
        <v>6607000</v>
      </c>
      <c r="D8" s="13">
        <f>(119+373+1566+1582+2967)*1000</f>
        <v>6607000</v>
      </c>
    </row>
    <row r="9" spans="1:6" x14ac:dyDescent="0.25">
      <c r="B9" s="8" t="s">
        <v>120</v>
      </c>
      <c r="C9" s="13">
        <v>4740000</v>
      </c>
      <c r="D9" s="13">
        <v>4740000</v>
      </c>
    </row>
    <row r="10" spans="1:6" x14ac:dyDescent="0.25">
      <c r="B10" s="8" t="s">
        <v>121</v>
      </c>
      <c r="C10" s="13">
        <v>2460000</v>
      </c>
      <c r="D10" s="13">
        <v>2460000</v>
      </c>
    </row>
    <row r="11" spans="1:6" x14ac:dyDescent="0.25">
      <c r="B11" s="8" t="s">
        <v>122</v>
      </c>
      <c r="C11" s="13">
        <v>10700000</v>
      </c>
      <c r="D11" s="13">
        <v>10700000</v>
      </c>
    </row>
    <row r="12" spans="1:6" x14ac:dyDescent="0.25">
      <c r="B12" s="62" t="s">
        <v>123</v>
      </c>
      <c r="C12" s="66" t="s">
        <v>65</v>
      </c>
      <c r="D12" s="66" t="s">
        <v>65</v>
      </c>
    </row>
    <row r="13" spans="1:6" x14ac:dyDescent="0.25">
      <c r="B13" s="62" t="s">
        <v>124</v>
      </c>
      <c r="C13" s="66" t="s">
        <v>65</v>
      </c>
      <c r="D13" s="66" t="s">
        <v>65</v>
      </c>
    </row>
    <row r="14" spans="1:6" x14ac:dyDescent="0.25">
      <c r="B14" s="62" t="s">
        <v>125</v>
      </c>
      <c r="C14" s="66" t="s">
        <v>65</v>
      </c>
      <c r="D14" s="66" t="s">
        <v>65</v>
      </c>
    </row>
    <row r="15" spans="1:6" x14ac:dyDescent="0.25">
      <c r="B15" s="62" t="s">
        <v>126</v>
      </c>
      <c r="C15" s="66" t="s">
        <v>65</v>
      </c>
      <c r="D15" s="66" t="s">
        <v>65</v>
      </c>
    </row>
    <row r="16" spans="1:6" x14ac:dyDescent="0.25">
      <c r="B16" s="62" t="s">
        <v>127</v>
      </c>
      <c r="C16" s="66" t="s">
        <v>65</v>
      </c>
      <c r="D16" s="66" t="s">
        <v>65</v>
      </c>
    </row>
    <row r="17" spans="2:4" x14ac:dyDescent="0.25">
      <c r="B17" s="62" t="s">
        <v>128</v>
      </c>
      <c r="C17" s="66" t="s">
        <v>65</v>
      </c>
      <c r="D17" s="66" t="s">
        <v>65</v>
      </c>
    </row>
    <row r="18" spans="2:4" ht="12" x14ac:dyDescent="0.25">
      <c r="B18" s="9" t="s">
        <v>112</v>
      </c>
      <c r="C18" s="68" t="s">
        <v>65</v>
      </c>
      <c r="D18" s="64">
        <f>AVERAGE(D7:D17)</f>
        <v>6821468</v>
      </c>
    </row>
    <row r="19" spans="2:4" x14ac:dyDescent="0.25">
      <c r="C19" s="67"/>
      <c r="D19" s="67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533312-7F7F-4DE3-86D6-6BD35A28CEEA}">
  <dimension ref="A1:T44"/>
  <sheetViews>
    <sheetView tabSelected="1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B1" sqref="B1"/>
    </sheetView>
  </sheetViews>
  <sheetFormatPr defaultColWidth="9.109375" defaultRowHeight="11.4" outlineLevelCol="1" x14ac:dyDescent="0.25"/>
  <cols>
    <col min="1" max="1" width="2" style="8" customWidth="1"/>
    <col min="2" max="2" width="15.109375" style="8" customWidth="1"/>
    <col min="3" max="6" width="9.77734375" style="8" customWidth="1"/>
    <col min="7" max="8" width="9.77734375" style="8" customWidth="1" outlineLevel="1"/>
    <col min="9" max="19" width="9.77734375" style="8" customWidth="1"/>
    <col min="20" max="20" width="15.109375" style="8" customWidth="1"/>
    <col min="21" max="16384" width="9.109375" style="8"/>
  </cols>
  <sheetData>
    <row r="1" spans="1:20" ht="15.6" x14ac:dyDescent="0.25">
      <c r="A1" s="1"/>
      <c r="B1" s="2" t="s">
        <v>116</v>
      </c>
      <c r="T1" s="8" t="s">
        <v>74</v>
      </c>
    </row>
    <row r="2" spans="1:20" ht="15.6" x14ac:dyDescent="0.25">
      <c r="A2" s="1"/>
      <c r="B2" s="2"/>
    </row>
    <row r="3" spans="1:20" ht="12" x14ac:dyDescent="0.25">
      <c r="C3" s="71" t="s">
        <v>117</v>
      </c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</row>
    <row r="4" spans="1:20" ht="24" x14ac:dyDescent="0.25">
      <c r="B4" s="18" t="s">
        <v>86</v>
      </c>
      <c r="C4" s="6" t="s">
        <v>45</v>
      </c>
      <c r="D4" s="6" t="s">
        <v>46</v>
      </c>
      <c r="E4" s="6" t="s">
        <v>47</v>
      </c>
      <c r="F4" s="6" t="s">
        <v>79</v>
      </c>
      <c r="G4" s="6" t="s">
        <v>87</v>
      </c>
      <c r="H4" s="55" t="s">
        <v>98</v>
      </c>
      <c r="I4" s="55" t="s">
        <v>97</v>
      </c>
      <c r="J4" s="55" t="s">
        <v>99</v>
      </c>
      <c r="K4" s="55" t="s">
        <v>100</v>
      </c>
      <c r="L4" s="55" t="s">
        <v>101</v>
      </c>
      <c r="M4" s="55" t="s">
        <v>102</v>
      </c>
      <c r="N4" s="55" t="s">
        <v>103</v>
      </c>
      <c r="O4" s="55" t="s">
        <v>134</v>
      </c>
      <c r="P4" s="55" t="s">
        <v>135</v>
      </c>
      <c r="Q4" s="55" t="s">
        <v>136</v>
      </c>
      <c r="R4" s="55" t="s">
        <v>137</v>
      </c>
      <c r="S4" s="55" t="s">
        <v>138</v>
      </c>
      <c r="T4" s="19" t="s">
        <v>93</v>
      </c>
    </row>
    <row r="5" spans="1:20" ht="13.2" customHeight="1" x14ac:dyDescent="0.25">
      <c r="B5" s="8" t="s">
        <v>89</v>
      </c>
      <c r="C5" s="46"/>
      <c r="D5" s="46"/>
      <c r="E5" s="46"/>
      <c r="F5" s="63" t="s">
        <v>65</v>
      </c>
      <c r="G5" s="63" t="s">
        <v>65</v>
      </c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5">
        <v>42000</v>
      </c>
    </row>
    <row r="6" spans="1:20" x14ac:dyDescent="0.25">
      <c r="B6" s="8" t="s">
        <v>95</v>
      </c>
      <c r="C6" s="46">
        <f>'P&amp;L Input'!C4/1000</f>
        <v>3007.0120000000002</v>
      </c>
      <c r="D6" s="46">
        <f>'P&amp;L Input'!D4/1000</f>
        <v>3740.973</v>
      </c>
      <c r="E6" s="46">
        <f>'P&amp;L Input'!E4/1000</f>
        <v>6350.7659999999996</v>
      </c>
      <c r="F6" s="63" t="s">
        <v>65</v>
      </c>
      <c r="G6" s="63" t="s">
        <v>65</v>
      </c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5">
        <f>(84000+91000)/2</f>
        <v>87500</v>
      </c>
    </row>
    <row r="7" spans="1:20" x14ac:dyDescent="0.25">
      <c r="B7" s="8" t="s">
        <v>90</v>
      </c>
      <c r="C7" s="46">
        <f>($T7*Deliveries!C7)/1000000</f>
        <v>0</v>
      </c>
      <c r="D7" s="46">
        <f>($T7*Deliveries!D7)/1000000</f>
        <v>0</v>
      </c>
      <c r="E7" s="46">
        <f>($T7*Deliveries!E7)/1000000</f>
        <v>0</v>
      </c>
      <c r="F7" s="46">
        <f>($T7*Deliveries!F7)/1000000</f>
        <v>0</v>
      </c>
      <c r="G7" s="46">
        <f>($T7*Deliveries!G7)/1000000</f>
        <v>0</v>
      </c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5">
        <v>50000</v>
      </c>
    </row>
    <row r="8" spans="1:20" x14ac:dyDescent="0.25">
      <c r="B8" s="8" t="s">
        <v>92</v>
      </c>
      <c r="C8" s="46">
        <f>($T8*Deliveries!C8)/1000000</f>
        <v>0</v>
      </c>
      <c r="D8" s="46">
        <f>($T8*Deliveries!D8)/1000000</f>
        <v>0</v>
      </c>
      <c r="E8" s="46">
        <f>($T8*Deliveries!E8)/1000000</f>
        <v>0</v>
      </c>
      <c r="F8" s="46">
        <f>($T8*Deliveries!F8)/1000000</f>
        <v>0</v>
      </c>
      <c r="G8" s="46">
        <f>($T8*Deliveries!G8)/1000000</f>
        <v>0</v>
      </c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5">
        <v>230000</v>
      </c>
    </row>
    <row r="9" spans="1:20" x14ac:dyDescent="0.25">
      <c r="B9" s="8" t="s">
        <v>91</v>
      </c>
      <c r="C9" s="46">
        <f>($T9*Deliveries!C9)/1000000</f>
        <v>0</v>
      </c>
      <c r="D9" s="46">
        <f>($T9*Deliveries!D9)/1000000</f>
        <v>0</v>
      </c>
      <c r="E9" s="46">
        <f>($T9*Deliveries!E9)/1000000</f>
        <v>0</v>
      </c>
      <c r="F9" s="46">
        <f>($T9*Deliveries!F9)/1000000</f>
        <v>0</v>
      </c>
      <c r="G9" s="46">
        <f>($T9*Deliveries!G9)/1000000</f>
        <v>0</v>
      </c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5">
        <v>63000</v>
      </c>
    </row>
    <row r="10" spans="1:20" x14ac:dyDescent="0.25">
      <c r="B10" s="8" t="s">
        <v>88</v>
      </c>
      <c r="C10" s="46">
        <f>($T10*Deliveries!C10)/1000000</f>
        <v>0</v>
      </c>
      <c r="D10" s="46">
        <f>($T10*Deliveries!D10)/1000000</f>
        <v>0</v>
      </c>
      <c r="E10" s="46">
        <f>($T10*Deliveries!E10)/1000000</f>
        <v>0</v>
      </c>
      <c r="F10" s="46">
        <f>($T10*Deliveries!F10)/1000000</f>
        <v>0</v>
      </c>
      <c r="G10" s="46">
        <f>($T10*Deliveries!G10)/1000000</f>
        <v>0</v>
      </c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5">
        <v>200000</v>
      </c>
    </row>
    <row r="11" spans="1:20" ht="12.6" thickBot="1" x14ac:dyDescent="0.3">
      <c r="B11" s="60" t="s">
        <v>68</v>
      </c>
      <c r="C11" s="61">
        <f>SUM(C5:C10)</f>
        <v>3007.0120000000002</v>
      </c>
      <c r="D11" s="61">
        <f t="shared" ref="D11:N11" si="0">SUM(D5:D10)</f>
        <v>3740.973</v>
      </c>
      <c r="E11" s="61">
        <f t="shared" si="0"/>
        <v>6350.7659999999996</v>
      </c>
      <c r="F11" s="61">
        <f>'P&amp;L Input'!F4/1000</f>
        <v>9641.2999999999993</v>
      </c>
      <c r="G11" s="61">
        <f>'P&amp;L Input'!G4/1000</f>
        <v>6092.9979999999996</v>
      </c>
      <c r="H11" s="61">
        <f t="shared" si="0"/>
        <v>0</v>
      </c>
      <c r="I11" s="61">
        <f t="shared" si="0"/>
        <v>0</v>
      </c>
      <c r="J11" s="61">
        <f t="shared" si="0"/>
        <v>0</v>
      </c>
      <c r="K11" s="61">
        <f t="shared" si="0"/>
        <v>0</v>
      </c>
      <c r="L11" s="61">
        <f t="shared" si="0"/>
        <v>0</v>
      </c>
      <c r="M11" s="61">
        <f t="shared" si="0"/>
        <v>0</v>
      </c>
      <c r="N11" s="61">
        <f t="shared" si="0"/>
        <v>0</v>
      </c>
      <c r="O11" s="61">
        <f t="shared" ref="O11:S11" si="1">SUM(O5:O10)</f>
        <v>0</v>
      </c>
      <c r="P11" s="61">
        <f t="shared" si="1"/>
        <v>0</v>
      </c>
      <c r="Q11" s="61">
        <f t="shared" si="1"/>
        <v>0</v>
      </c>
      <c r="R11" s="61">
        <f t="shared" si="1"/>
        <v>0</v>
      </c>
      <c r="S11" s="61">
        <f t="shared" si="1"/>
        <v>0</v>
      </c>
      <c r="T11" s="53"/>
    </row>
    <row r="12" spans="1:20" ht="3" customHeight="1" x14ac:dyDescent="0.25"/>
    <row r="13" spans="1:20" x14ac:dyDescent="0.25">
      <c r="B13" s="48" t="s">
        <v>73</v>
      </c>
      <c r="C13" s="49"/>
      <c r="D13" s="49"/>
      <c r="E13" s="49"/>
      <c r="F13" s="49"/>
      <c r="G13" s="49"/>
      <c r="H13" s="49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17"/>
    </row>
    <row r="14" spans="1:20" x14ac:dyDescent="0.25">
      <c r="B14" s="49" t="s">
        <v>89</v>
      </c>
      <c r="C14" s="52"/>
      <c r="D14" s="52"/>
      <c r="E14" s="52"/>
      <c r="F14" s="52"/>
      <c r="G14" s="49"/>
      <c r="H14" s="49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17"/>
    </row>
    <row r="15" spans="1:20" x14ac:dyDescent="0.25">
      <c r="B15" s="49" t="s">
        <v>95</v>
      </c>
      <c r="C15" s="52"/>
      <c r="D15" s="36"/>
      <c r="E15" s="36"/>
      <c r="F15" s="36"/>
      <c r="G15" s="49"/>
      <c r="H15" s="49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17"/>
    </row>
    <row r="16" spans="1:20" x14ac:dyDescent="0.25">
      <c r="B16" s="49" t="s">
        <v>90</v>
      </c>
      <c r="C16" s="52"/>
      <c r="D16" s="52"/>
      <c r="E16" s="52"/>
      <c r="F16" s="52"/>
      <c r="G16" s="49"/>
      <c r="H16" s="49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17"/>
    </row>
    <row r="17" spans="2:20" x14ac:dyDescent="0.25">
      <c r="B17" s="49" t="s">
        <v>92</v>
      </c>
      <c r="C17" s="52"/>
      <c r="D17" s="52"/>
      <c r="E17" s="52"/>
      <c r="F17" s="52"/>
      <c r="G17" s="49"/>
      <c r="H17" s="49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65"/>
    </row>
    <row r="18" spans="2:20" x14ac:dyDescent="0.25">
      <c r="B18" s="49" t="s">
        <v>91</v>
      </c>
      <c r="C18" s="52"/>
      <c r="D18" s="52"/>
      <c r="E18" s="52"/>
      <c r="F18" s="52"/>
      <c r="G18" s="49"/>
      <c r="H18" s="49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17"/>
    </row>
    <row r="19" spans="2:20" x14ac:dyDescent="0.25">
      <c r="B19" s="49" t="s">
        <v>88</v>
      </c>
      <c r="C19" s="52"/>
      <c r="D19" s="52"/>
      <c r="E19" s="52"/>
      <c r="F19" s="52"/>
      <c r="G19" s="49"/>
      <c r="H19" s="49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17"/>
    </row>
    <row r="20" spans="2:20" x14ac:dyDescent="0.25">
      <c r="B20" s="49"/>
      <c r="C20" s="52"/>
      <c r="D20" s="52"/>
      <c r="E20" s="52"/>
      <c r="F20" s="52"/>
      <c r="G20" s="49"/>
      <c r="H20" s="49"/>
      <c r="I20" s="52"/>
      <c r="J20" s="52"/>
      <c r="K20" s="50"/>
      <c r="L20" s="50"/>
      <c r="M20" s="50"/>
      <c r="N20" s="50"/>
      <c r="O20" s="50"/>
      <c r="P20" s="50"/>
      <c r="Q20" s="50"/>
      <c r="R20" s="50"/>
      <c r="S20" s="50"/>
      <c r="T20" s="17"/>
    </row>
    <row r="21" spans="2:20" x14ac:dyDescent="0.25">
      <c r="B21" s="48" t="s">
        <v>69</v>
      </c>
      <c r="C21" s="49"/>
      <c r="D21" s="49"/>
      <c r="E21" s="49"/>
      <c r="F21" s="49"/>
      <c r="G21" s="49"/>
      <c r="H21" s="49"/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17"/>
    </row>
    <row r="22" spans="2:20" x14ac:dyDescent="0.25">
      <c r="B22" s="49" t="s">
        <v>89</v>
      </c>
      <c r="C22" s="52"/>
      <c r="D22" s="52"/>
      <c r="E22" s="52"/>
      <c r="F22" s="52"/>
      <c r="G22" s="49"/>
      <c r="H22" s="49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17"/>
    </row>
    <row r="23" spans="2:20" x14ac:dyDescent="0.25">
      <c r="B23" s="49" t="s">
        <v>95</v>
      </c>
      <c r="C23" s="52"/>
      <c r="D23" s="36"/>
      <c r="E23" s="36"/>
      <c r="F23" s="36"/>
      <c r="G23" s="49"/>
      <c r="H23" s="49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17"/>
    </row>
    <row r="24" spans="2:20" x14ac:dyDescent="0.25">
      <c r="B24" s="49" t="s">
        <v>90</v>
      </c>
      <c r="C24" s="52"/>
      <c r="D24" s="52"/>
      <c r="E24" s="52"/>
      <c r="F24" s="52"/>
      <c r="G24" s="49"/>
      <c r="H24" s="49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17"/>
    </row>
    <row r="25" spans="2:20" x14ac:dyDescent="0.25">
      <c r="B25" s="49" t="s">
        <v>92</v>
      </c>
      <c r="C25" s="52"/>
      <c r="D25" s="52"/>
      <c r="E25" s="52"/>
      <c r="F25" s="52"/>
      <c r="G25" s="49"/>
      <c r="H25" s="49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17"/>
    </row>
    <row r="26" spans="2:20" x14ac:dyDescent="0.25">
      <c r="B26" s="49" t="s">
        <v>91</v>
      </c>
      <c r="C26" s="52"/>
      <c r="D26" s="52"/>
      <c r="E26" s="52"/>
      <c r="F26" s="52"/>
      <c r="G26" s="49"/>
      <c r="H26" s="49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17"/>
    </row>
    <row r="27" spans="2:20" x14ac:dyDescent="0.25">
      <c r="B27" s="49" t="s">
        <v>88</v>
      </c>
      <c r="C27" s="52"/>
      <c r="D27" s="52"/>
      <c r="E27" s="52"/>
      <c r="F27" s="52"/>
      <c r="G27" s="49"/>
      <c r="H27" s="49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17"/>
    </row>
    <row r="28" spans="2:20" x14ac:dyDescent="0.25">
      <c r="B28" s="49"/>
      <c r="C28" s="52"/>
      <c r="D28" s="52"/>
      <c r="E28" s="52"/>
      <c r="F28" s="52"/>
      <c r="G28" s="49"/>
      <c r="H28" s="49"/>
      <c r="I28" s="52"/>
      <c r="J28" s="52"/>
      <c r="K28" s="50"/>
      <c r="L28" s="50"/>
      <c r="M28" s="50"/>
      <c r="N28" s="50"/>
      <c r="O28" s="50"/>
      <c r="P28" s="50"/>
      <c r="Q28" s="50"/>
      <c r="R28" s="50"/>
      <c r="S28" s="50"/>
      <c r="T28" s="17"/>
    </row>
    <row r="29" spans="2:20" x14ac:dyDescent="0.25">
      <c r="B29" s="48" t="s">
        <v>70</v>
      </c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17"/>
    </row>
    <row r="30" spans="2:20" x14ac:dyDescent="0.25">
      <c r="B30" s="49" t="s">
        <v>89</v>
      </c>
      <c r="C30" s="52"/>
      <c r="D30" s="52"/>
      <c r="E30" s="52"/>
      <c r="F30" s="52"/>
      <c r="G30" s="49"/>
      <c r="H30" s="49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51"/>
      <c r="T30" s="17"/>
    </row>
    <row r="31" spans="2:20" x14ac:dyDescent="0.25">
      <c r="B31" s="49" t="s">
        <v>95</v>
      </c>
      <c r="C31" s="52"/>
      <c r="D31" s="36"/>
      <c r="E31" s="36"/>
      <c r="F31" s="36"/>
      <c r="G31" s="49"/>
      <c r="H31" s="49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17"/>
    </row>
    <row r="32" spans="2:20" x14ac:dyDescent="0.25">
      <c r="B32" s="49" t="s">
        <v>90</v>
      </c>
      <c r="C32" s="52"/>
      <c r="D32" s="52"/>
      <c r="E32" s="52"/>
      <c r="F32" s="52"/>
      <c r="G32" s="49"/>
      <c r="H32" s="49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17"/>
    </row>
    <row r="33" spans="2:20" x14ac:dyDescent="0.25">
      <c r="B33" s="49" t="s">
        <v>92</v>
      </c>
      <c r="C33" s="52"/>
      <c r="D33" s="52"/>
      <c r="E33" s="52"/>
      <c r="F33" s="52"/>
      <c r="G33" s="49"/>
      <c r="H33" s="49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17"/>
    </row>
    <row r="34" spans="2:20" x14ac:dyDescent="0.25">
      <c r="B34" s="49" t="s">
        <v>91</v>
      </c>
      <c r="C34" s="52"/>
      <c r="D34" s="52"/>
      <c r="E34" s="52"/>
      <c r="F34" s="52"/>
      <c r="G34" s="49"/>
      <c r="H34" s="49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17"/>
    </row>
    <row r="35" spans="2:20" x14ac:dyDescent="0.25">
      <c r="B35" s="49" t="s">
        <v>88</v>
      </c>
      <c r="C35" s="52"/>
      <c r="D35" s="52"/>
      <c r="E35" s="52"/>
      <c r="F35" s="52"/>
      <c r="G35" s="49"/>
      <c r="H35" s="49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17"/>
    </row>
    <row r="36" spans="2:20" x14ac:dyDescent="0.25">
      <c r="B36" s="49"/>
      <c r="C36" s="52"/>
      <c r="D36" s="52"/>
      <c r="E36" s="52"/>
      <c r="F36" s="52"/>
      <c r="G36" s="49"/>
      <c r="H36" s="49"/>
      <c r="I36" s="52"/>
      <c r="J36" s="52"/>
      <c r="K36" s="50"/>
      <c r="L36" s="50"/>
      <c r="M36" s="50"/>
      <c r="N36" s="50"/>
      <c r="O36" s="50"/>
      <c r="P36" s="50"/>
      <c r="Q36" s="50"/>
      <c r="R36" s="50"/>
      <c r="S36" s="50"/>
      <c r="T36" s="17"/>
    </row>
    <row r="37" spans="2:20" x14ac:dyDescent="0.25">
      <c r="B37" s="48" t="s">
        <v>71</v>
      </c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17"/>
    </row>
    <row r="38" spans="2:20" x14ac:dyDescent="0.25">
      <c r="B38" s="49" t="s">
        <v>89</v>
      </c>
      <c r="C38" s="52"/>
      <c r="D38" s="52"/>
      <c r="E38" s="52"/>
      <c r="F38" s="52"/>
      <c r="G38" s="49"/>
      <c r="H38" s="49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17"/>
    </row>
    <row r="39" spans="2:20" x14ac:dyDescent="0.25">
      <c r="B39" s="49" t="s">
        <v>95</v>
      </c>
      <c r="C39" s="52"/>
      <c r="D39" s="36"/>
      <c r="E39" s="36"/>
      <c r="F39" s="36"/>
      <c r="G39" s="49"/>
      <c r="H39" s="49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17"/>
    </row>
    <row r="40" spans="2:20" x14ac:dyDescent="0.25">
      <c r="B40" s="49" t="s">
        <v>90</v>
      </c>
      <c r="C40" s="52"/>
      <c r="D40" s="52"/>
      <c r="E40" s="52"/>
      <c r="F40" s="52"/>
      <c r="G40" s="49"/>
      <c r="H40" s="49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17"/>
    </row>
    <row r="41" spans="2:20" x14ac:dyDescent="0.25">
      <c r="B41" s="49" t="s">
        <v>92</v>
      </c>
      <c r="C41" s="52"/>
      <c r="D41" s="52"/>
      <c r="E41" s="52"/>
      <c r="F41" s="52"/>
      <c r="G41" s="49"/>
      <c r="H41" s="49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17"/>
    </row>
    <row r="42" spans="2:20" x14ac:dyDescent="0.25">
      <c r="B42" s="49" t="s">
        <v>91</v>
      </c>
      <c r="C42" s="52"/>
      <c r="D42" s="52"/>
      <c r="E42" s="52"/>
      <c r="F42" s="52"/>
      <c r="G42" s="49"/>
      <c r="H42" s="49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17"/>
    </row>
    <row r="43" spans="2:20" x14ac:dyDescent="0.25">
      <c r="B43" s="49" t="s">
        <v>88</v>
      </c>
      <c r="C43" s="52"/>
      <c r="D43" s="52"/>
      <c r="E43" s="52"/>
      <c r="F43" s="52"/>
      <c r="G43" s="49"/>
      <c r="H43" s="49"/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17"/>
    </row>
    <row r="44" spans="2:20" x14ac:dyDescent="0.25">
      <c r="B44" s="49"/>
      <c r="C44" s="52"/>
      <c r="D44" s="52"/>
      <c r="E44" s="52"/>
      <c r="F44" s="52"/>
      <c r="G44" s="49"/>
      <c r="H44" s="49"/>
      <c r="I44" s="52"/>
      <c r="J44" s="52"/>
      <c r="K44" s="50"/>
      <c r="L44" s="50"/>
      <c r="M44" s="50"/>
      <c r="N44" s="50"/>
      <c r="O44" s="50"/>
      <c r="P44" s="50"/>
      <c r="Q44" s="50"/>
      <c r="R44" s="50"/>
      <c r="S44" s="50"/>
      <c r="T44" s="17"/>
    </row>
  </sheetData>
  <mergeCells count="1">
    <mergeCell ref="C3:S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3"/>
  <sheetViews>
    <sheetView workbookViewId="0">
      <selection activeCell="D13" sqref="D13"/>
    </sheetView>
  </sheetViews>
  <sheetFormatPr defaultColWidth="9.109375" defaultRowHeight="11.4" x14ac:dyDescent="0.25"/>
  <cols>
    <col min="1" max="1" width="2" style="8" customWidth="1"/>
    <col min="2" max="2" width="27.21875" style="8" bestFit="1" customWidth="1"/>
    <col min="3" max="6" width="11.33203125" style="8" bestFit="1" customWidth="1"/>
    <col min="7" max="7" width="11.44140625" style="8" bestFit="1" customWidth="1"/>
    <col min="8" max="11" width="10.33203125" style="8" bestFit="1" customWidth="1"/>
    <col min="12" max="16" width="10.44140625" style="8" bestFit="1" customWidth="1"/>
    <col min="17" max="16384" width="9.109375" style="8"/>
  </cols>
  <sheetData>
    <row r="1" spans="1:6" ht="15.6" x14ac:dyDescent="0.25">
      <c r="A1" s="1"/>
      <c r="B1" s="2" t="s">
        <v>72</v>
      </c>
    </row>
    <row r="3" spans="1:6" ht="13.2" x14ac:dyDescent="0.25">
      <c r="B3" s="8" t="s">
        <v>73</v>
      </c>
      <c r="C3" s="12">
        <v>2</v>
      </c>
      <c r="E3" s="4"/>
      <c r="F3" s="4"/>
    </row>
    <row r="4" spans="1:6" ht="13.2" x14ac:dyDescent="0.25">
      <c r="B4" s="8" t="s">
        <v>150</v>
      </c>
      <c r="C4" s="59" t="s">
        <v>110</v>
      </c>
      <c r="E4" s="4"/>
      <c r="F4" s="4"/>
    </row>
    <row r="5" spans="1:6" x14ac:dyDescent="0.25">
      <c r="B5" s="8" t="s">
        <v>105</v>
      </c>
      <c r="C5" s="56" t="s">
        <v>106</v>
      </c>
    </row>
    <row r="6" spans="1:6" x14ac:dyDescent="0.25">
      <c r="B6" s="8" t="s">
        <v>107</v>
      </c>
      <c r="C6" s="56" t="s">
        <v>108</v>
      </c>
    </row>
    <row r="7" spans="1:6" x14ac:dyDescent="0.25">
      <c r="B7" s="8" t="s">
        <v>151</v>
      </c>
      <c r="C7" s="57">
        <v>3.0700000000000002E-2</v>
      </c>
    </row>
    <row r="8" spans="1:6" x14ac:dyDescent="0.25">
      <c r="B8" s="8" t="s">
        <v>109</v>
      </c>
      <c r="C8" s="16">
        <v>0.05</v>
      </c>
    </row>
    <row r="9" spans="1:6" x14ac:dyDescent="0.25">
      <c r="B9" s="8" t="s">
        <v>152</v>
      </c>
      <c r="C9" s="8">
        <v>0.78</v>
      </c>
    </row>
    <row r="10" spans="1:6" x14ac:dyDescent="0.25">
      <c r="B10" s="8" t="s">
        <v>153</v>
      </c>
      <c r="C10" s="8">
        <v>307.8</v>
      </c>
    </row>
    <row r="11" spans="1:6" x14ac:dyDescent="0.2">
      <c r="B11" s="14" t="s">
        <v>154</v>
      </c>
      <c r="C11" s="15">
        <v>7.4999999999999997E-2</v>
      </c>
    </row>
    <row r="12" spans="1:6" x14ac:dyDescent="0.25">
      <c r="B12" s="8" t="s">
        <v>77</v>
      </c>
      <c r="C12" s="16">
        <v>0.3</v>
      </c>
    </row>
    <row r="13" spans="1:6" x14ac:dyDescent="0.25">
      <c r="B13" s="8" t="s">
        <v>78</v>
      </c>
      <c r="C13" s="16">
        <v>0.02</v>
      </c>
    </row>
  </sheetData>
  <dataValidations count="1">
    <dataValidation type="list" allowBlank="1" showInputMessage="1" showErrorMessage="1" sqref="C3" xr:uid="{00000000-0002-0000-0300-000000000000}">
      <formula1>"1,2,3"</formula1>
    </dataValidation>
  </dataValidations>
  <pageMargins left="0.7" right="0.7" top="0.75" bottom="0.75" header="0.3" footer="0.3"/>
  <pageSetup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2060"/>
  </sheetPr>
  <dimension ref="B14"/>
  <sheetViews>
    <sheetView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67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G36"/>
  <sheetViews>
    <sheetView workbookViewId="0">
      <selection activeCell="G16" sqref="G16"/>
    </sheetView>
  </sheetViews>
  <sheetFormatPr defaultColWidth="9.109375" defaultRowHeight="13.2" x14ac:dyDescent="0.25"/>
  <cols>
    <col min="1" max="1" width="2" style="1" customWidth="1"/>
    <col min="2" max="2" width="41.6640625" style="1" bestFit="1" customWidth="1"/>
    <col min="3" max="5" width="11.33203125" style="1" bestFit="1" customWidth="1"/>
    <col min="6" max="6" width="11.5546875" style="1" customWidth="1"/>
    <col min="7" max="7" width="11.44140625" style="1" bestFit="1" customWidth="1"/>
    <col min="8" max="16384" width="9.109375" style="1"/>
  </cols>
  <sheetData>
    <row r="1" spans="2:7" ht="15.6" x14ac:dyDescent="0.25">
      <c r="B1" s="2" t="s">
        <v>80</v>
      </c>
    </row>
    <row r="3" spans="2:7" ht="24" x14ac:dyDescent="0.25">
      <c r="B3" s="5" t="s">
        <v>37</v>
      </c>
      <c r="C3" s="6" t="s">
        <v>45</v>
      </c>
      <c r="D3" s="6" t="s">
        <v>46</v>
      </c>
      <c r="E3" s="6" t="s">
        <v>47</v>
      </c>
      <c r="F3" s="6" t="s">
        <v>79</v>
      </c>
      <c r="G3" s="55" t="s">
        <v>87</v>
      </c>
    </row>
    <row r="4" spans="2:7" x14ac:dyDescent="0.25">
      <c r="B4" s="7" t="s">
        <v>75</v>
      </c>
      <c r="C4" s="28">
        <v>3007012</v>
      </c>
      <c r="D4" s="28">
        <v>3740973</v>
      </c>
      <c r="E4" s="28">
        <v>6350766</v>
      </c>
      <c r="F4" s="28">
        <v>9641300</v>
      </c>
      <c r="G4" s="29">
        <v>6092998</v>
      </c>
    </row>
    <row r="5" spans="2:7" x14ac:dyDescent="0.25">
      <c r="B5" s="8" t="s">
        <v>3</v>
      </c>
      <c r="C5" s="30">
        <v>4208</v>
      </c>
      <c r="D5" s="30">
        <v>14477</v>
      </c>
      <c r="E5" s="30">
        <v>181394</v>
      </c>
      <c r="F5" s="30">
        <v>1116266</v>
      </c>
      <c r="G5" s="31">
        <v>784430</v>
      </c>
    </row>
    <row r="6" spans="2:7" x14ac:dyDescent="0.25">
      <c r="B6" s="8" t="s">
        <v>2</v>
      </c>
      <c r="C6" s="30">
        <v>187136</v>
      </c>
      <c r="D6" s="30">
        <v>290575</v>
      </c>
      <c r="E6" s="30">
        <v>467972</v>
      </c>
      <c r="F6" s="30">
        <v>1001185</v>
      </c>
      <c r="G6" s="31">
        <v>533554</v>
      </c>
    </row>
    <row r="7" spans="2:7" x14ac:dyDescent="0.25">
      <c r="B7" s="9" t="s">
        <v>0</v>
      </c>
      <c r="C7" s="32">
        <f>SUM(C4:C6)</f>
        <v>3198356</v>
      </c>
      <c r="D7" s="32">
        <f>SUM(D4:D6)</f>
        <v>4046025</v>
      </c>
      <c r="E7" s="32">
        <f>SUM(E4:E6)</f>
        <v>7000132</v>
      </c>
      <c r="F7" s="32">
        <f>SUM(F4:F6)</f>
        <v>11758751</v>
      </c>
      <c r="G7" s="33">
        <f>SUM(G4:G6)</f>
        <v>7410982</v>
      </c>
    </row>
    <row r="8" spans="2:7" x14ac:dyDescent="0.25">
      <c r="B8" s="8" t="s">
        <v>42</v>
      </c>
      <c r="C8" s="30">
        <v>-2145749</v>
      </c>
      <c r="D8" s="30">
        <v>-2823302</v>
      </c>
      <c r="E8" s="30">
        <v>-4750081</v>
      </c>
      <c r="F8" s="30">
        <v>-7432704</v>
      </c>
      <c r="G8" s="31">
        <v>-4862547</v>
      </c>
    </row>
    <row r="9" spans="2:7" x14ac:dyDescent="0.25">
      <c r="B9" s="8" t="s">
        <v>40</v>
      </c>
      <c r="C9" s="30">
        <v>-4005</v>
      </c>
      <c r="D9" s="30">
        <v>-12287</v>
      </c>
      <c r="E9" s="30">
        <v>-178332</v>
      </c>
      <c r="F9" s="30">
        <v>-874538</v>
      </c>
      <c r="G9" s="31">
        <v>-705636</v>
      </c>
    </row>
    <row r="10" spans="2:7" x14ac:dyDescent="0.25">
      <c r="B10" s="8" t="s">
        <v>41</v>
      </c>
      <c r="C10" s="30">
        <v>-166931</v>
      </c>
      <c r="D10" s="30">
        <v>-286933</v>
      </c>
      <c r="E10" s="30">
        <v>-472462</v>
      </c>
      <c r="F10" s="30">
        <v>-1229022</v>
      </c>
      <c r="G10" s="31">
        <v>-767343</v>
      </c>
    </row>
    <row r="11" spans="2:7" x14ac:dyDescent="0.25">
      <c r="B11" s="9" t="s">
        <v>1</v>
      </c>
      <c r="C11" s="32">
        <f>SUM(C7:C10)</f>
        <v>881671</v>
      </c>
      <c r="D11" s="32">
        <f>SUM(D7:D10)</f>
        <v>923503</v>
      </c>
      <c r="E11" s="32">
        <f>SUM(E7:E10)</f>
        <v>1599257</v>
      </c>
      <c r="F11" s="32">
        <f>SUM(F7:F10)</f>
        <v>2222487</v>
      </c>
      <c r="G11" s="33">
        <f>SUM(G7:G10)</f>
        <v>1075456</v>
      </c>
    </row>
    <row r="12" spans="2:7" x14ac:dyDescent="0.25">
      <c r="B12" s="8" t="s">
        <v>4</v>
      </c>
      <c r="C12" s="30">
        <v>-464700</v>
      </c>
      <c r="D12" s="30">
        <v>-717900</v>
      </c>
      <c r="E12" s="30">
        <v>-834408</v>
      </c>
      <c r="F12" s="30">
        <v>-1378073</v>
      </c>
      <c r="G12" s="31">
        <v>-753225</v>
      </c>
    </row>
    <row r="13" spans="2:7" x14ac:dyDescent="0.25">
      <c r="B13" s="8" t="s">
        <v>33</v>
      </c>
      <c r="C13" s="30">
        <v>-603660</v>
      </c>
      <c r="D13" s="30">
        <v>-922232</v>
      </c>
      <c r="E13" s="30">
        <v>-1432189</v>
      </c>
      <c r="F13" s="30">
        <v>-2476500</v>
      </c>
      <c r="G13" s="31">
        <v>-1437163</v>
      </c>
    </row>
    <row r="14" spans="2:7" x14ac:dyDescent="0.25">
      <c r="B14" s="8" t="s">
        <v>84</v>
      </c>
      <c r="C14" s="30"/>
      <c r="D14" s="30"/>
      <c r="E14" s="30"/>
      <c r="F14" s="30"/>
      <c r="G14" s="31">
        <v>-103434</v>
      </c>
    </row>
    <row r="15" spans="2:7" x14ac:dyDescent="0.25">
      <c r="B15" s="9" t="s">
        <v>43</v>
      </c>
      <c r="C15" s="32">
        <f t="shared" ref="C15:F15" si="0">SUM(C11:C14)</f>
        <v>-186689</v>
      </c>
      <c r="D15" s="32">
        <f t="shared" si="0"/>
        <v>-716629</v>
      </c>
      <c r="E15" s="32">
        <f t="shared" si="0"/>
        <v>-667340</v>
      </c>
      <c r="F15" s="32">
        <f t="shared" si="0"/>
        <v>-1632086</v>
      </c>
      <c r="G15" s="33">
        <f>SUM(G11:G14)</f>
        <v>-1218366</v>
      </c>
    </row>
    <row r="16" spans="2:7" x14ac:dyDescent="0.25">
      <c r="B16" s="8" t="s">
        <v>34</v>
      </c>
      <c r="C16" s="30">
        <v>1126</v>
      </c>
      <c r="D16" s="30">
        <v>1508</v>
      </c>
      <c r="E16" s="30">
        <v>8530</v>
      </c>
      <c r="F16" s="30">
        <v>19686</v>
      </c>
      <c r="G16" s="31">
        <v>10278</v>
      </c>
    </row>
    <row r="17" spans="2:7" x14ac:dyDescent="0.25">
      <c r="B17" s="8" t="s">
        <v>5</v>
      </c>
      <c r="C17" s="30">
        <v>-100886</v>
      </c>
      <c r="D17" s="30">
        <v>-118851</v>
      </c>
      <c r="E17" s="30">
        <v>-198810</v>
      </c>
      <c r="F17" s="30">
        <v>-471259</v>
      </c>
      <c r="G17" s="31">
        <v>-313128</v>
      </c>
    </row>
    <row r="18" spans="2:7" x14ac:dyDescent="0.25">
      <c r="B18" s="8" t="s">
        <v>35</v>
      </c>
      <c r="C18" s="30">
        <v>1813</v>
      </c>
      <c r="D18" s="30">
        <v>-41652</v>
      </c>
      <c r="E18" s="30">
        <v>111272</v>
      </c>
      <c r="F18" s="30">
        <v>-125373</v>
      </c>
      <c r="G18" s="31">
        <v>13195</v>
      </c>
    </row>
    <row r="19" spans="2:7" x14ac:dyDescent="0.25">
      <c r="B19" s="9" t="s">
        <v>44</v>
      </c>
      <c r="C19" s="32">
        <f>SUM(C15:C18)</f>
        <v>-284636</v>
      </c>
      <c r="D19" s="32">
        <f>SUM(D15:D18)</f>
        <v>-875624</v>
      </c>
      <c r="E19" s="32">
        <f>SUM(E15:E18)</f>
        <v>-746348</v>
      </c>
      <c r="F19" s="32">
        <f>SUM(F15:F18)</f>
        <v>-2209032</v>
      </c>
      <c r="G19" s="33">
        <f>SUM(G15:G18)</f>
        <v>-1508021</v>
      </c>
    </row>
    <row r="20" spans="2:7" x14ac:dyDescent="0.25">
      <c r="B20" s="8" t="s">
        <v>6</v>
      </c>
      <c r="C20" s="30">
        <v>-9404</v>
      </c>
      <c r="D20" s="30">
        <v>-13039</v>
      </c>
      <c r="E20" s="30">
        <v>-26698</v>
      </c>
      <c r="F20" s="30">
        <v>-31546</v>
      </c>
      <c r="G20" s="31">
        <v>-19312</v>
      </c>
    </row>
    <row r="21" spans="2:7" x14ac:dyDescent="0.25">
      <c r="B21" s="9" t="s">
        <v>58</v>
      </c>
      <c r="C21" s="32">
        <f>SUM(C19:C20)</f>
        <v>-294040</v>
      </c>
      <c r="D21" s="32">
        <f>SUM(D19:D20)</f>
        <v>-888663</v>
      </c>
      <c r="E21" s="32">
        <f>SUM(E19:E20)</f>
        <v>-773046</v>
      </c>
      <c r="F21" s="32">
        <f>SUM(F19:F20)</f>
        <v>-2240578</v>
      </c>
      <c r="G21" s="33">
        <f>SUM(G19:G20)</f>
        <v>-1527333</v>
      </c>
    </row>
    <row r="22" spans="2:7" s="3" customFormat="1" x14ac:dyDescent="0.25">
      <c r="B22" s="8" t="s">
        <v>59</v>
      </c>
      <c r="C22" s="30">
        <v>0</v>
      </c>
      <c r="D22" s="30">
        <v>0</v>
      </c>
      <c r="E22" s="30">
        <v>98132</v>
      </c>
      <c r="F22" s="30">
        <v>279178</v>
      </c>
      <c r="G22" s="31">
        <v>100243</v>
      </c>
    </row>
    <row r="23" spans="2:7" s="3" customFormat="1" ht="13.8" thickBot="1" x14ac:dyDescent="0.3">
      <c r="B23" s="10" t="s">
        <v>36</v>
      </c>
      <c r="C23" s="34">
        <f>SUM(C21:C22)</f>
        <v>-294040</v>
      </c>
      <c r="D23" s="34">
        <f>SUM(D21:D22)</f>
        <v>-888663</v>
      </c>
      <c r="E23" s="34">
        <f>SUM(E21:E22)</f>
        <v>-674914</v>
      </c>
      <c r="F23" s="34">
        <f>SUM(F21:F22)</f>
        <v>-1961400</v>
      </c>
      <c r="G23" s="35">
        <f>SUM(G21:G22)</f>
        <v>-1427090</v>
      </c>
    </row>
    <row r="25" spans="2:7" x14ac:dyDescent="0.2">
      <c r="B25" s="27" t="s">
        <v>85</v>
      </c>
      <c r="C25" s="26"/>
      <c r="D25" s="26"/>
      <c r="E25" s="26"/>
      <c r="F25" s="26"/>
      <c r="G25" s="26"/>
    </row>
    <row r="26" spans="2:7" x14ac:dyDescent="0.2">
      <c r="B26" s="26" t="s">
        <v>140</v>
      </c>
      <c r="C26" s="36"/>
      <c r="D26" s="36">
        <f t="shared" ref="D26:F28" si="1">D4/C4-1</f>
        <v>0.2440831629537894</v>
      </c>
      <c r="E26" s="36">
        <f t="shared" si="1"/>
        <v>0.69762412078355007</v>
      </c>
      <c r="F26" s="36">
        <f t="shared" si="1"/>
        <v>0.51813182850698647</v>
      </c>
      <c r="G26" s="36"/>
    </row>
    <row r="27" spans="2:7" x14ac:dyDescent="0.2">
      <c r="B27" s="26" t="s">
        <v>141</v>
      </c>
      <c r="C27" s="36"/>
      <c r="D27" s="36">
        <f t="shared" si="1"/>
        <v>2.440351711026616</v>
      </c>
      <c r="E27" s="36">
        <f t="shared" si="1"/>
        <v>11.529805899012226</v>
      </c>
      <c r="F27" s="36">
        <f t="shared" si="1"/>
        <v>5.1538198617374338</v>
      </c>
      <c r="G27" s="36"/>
    </row>
    <row r="28" spans="2:7" x14ac:dyDescent="0.2">
      <c r="B28" s="26" t="s">
        <v>142</v>
      </c>
      <c r="C28" s="36"/>
      <c r="D28" s="36">
        <f t="shared" si="1"/>
        <v>0.55274773426812596</v>
      </c>
      <c r="E28" s="36">
        <f t="shared" si="1"/>
        <v>0.61050331239783184</v>
      </c>
      <c r="F28" s="36">
        <f t="shared" si="1"/>
        <v>1.1394121870539262</v>
      </c>
      <c r="G28" s="36"/>
    </row>
    <row r="29" spans="2:7" x14ac:dyDescent="0.2">
      <c r="B29" s="26" t="s">
        <v>60</v>
      </c>
      <c r="C29" s="36">
        <f>(C4+C8)/C4</f>
        <v>0.28641821183287597</v>
      </c>
      <c r="D29" s="36">
        <f t="shared" ref="D29:G29" si="2">(D4+D8)/D4</f>
        <v>0.24530275946926108</v>
      </c>
      <c r="E29" s="36">
        <f t="shared" si="2"/>
        <v>0.2520459736667986</v>
      </c>
      <c r="F29" s="36">
        <f t="shared" si="2"/>
        <v>0.2290765768101812</v>
      </c>
      <c r="G29" s="36">
        <f t="shared" si="2"/>
        <v>0.20194508516168888</v>
      </c>
    </row>
    <row r="30" spans="2:7" x14ac:dyDescent="0.2">
      <c r="B30" s="26" t="s">
        <v>61</v>
      </c>
      <c r="C30" s="36">
        <f t="shared" ref="C30:G30" si="3">(C5+C9)/C5</f>
        <v>4.8241444866920155E-2</v>
      </c>
      <c r="D30" s="36">
        <f t="shared" si="3"/>
        <v>0.15127443531118326</v>
      </c>
      <c r="E30" s="36">
        <f t="shared" si="3"/>
        <v>1.688038193104513E-2</v>
      </c>
      <c r="F30" s="36">
        <f t="shared" si="3"/>
        <v>0.21655053544585251</v>
      </c>
      <c r="G30" s="36">
        <f t="shared" si="3"/>
        <v>0.10044745866425303</v>
      </c>
    </row>
    <row r="31" spans="2:7" x14ac:dyDescent="0.2">
      <c r="B31" s="26" t="s">
        <v>62</v>
      </c>
      <c r="C31" s="36">
        <f t="shared" ref="C31:G31" si="4">(C6+C10)/C6</f>
        <v>0.10796960499316005</v>
      </c>
      <c r="D31" s="36">
        <f t="shared" si="4"/>
        <v>1.2533769250623763E-2</v>
      </c>
      <c r="E31" s="36">
        <f t="shared" si="4"/>
        <v>-9.5945911293838088E-3</v>
      </c>
      <c r="F31" s="36">
        <f t="shared" si="4"/>
        <v>-0.22756733271073779</v>
      </c>
      <c r="G31" s="36">
        <f t="shared" si="4"/>
        <v>-0.43817308088778267</v>
      </c>
    </row>
    <row r="32" spans="2:7" x14ac:dyDescent="0.2">
      <c r="B32" s="26" t="s">
        <v>63</v>
      </c>
      <c r="C32" s="36">
        <f>(SUM(C4:C6)+SUM(C8:C10))/SUM(C4:C6)</f>
        <v>0.27566380978227567</v>
      </c>
      <c r="D32" s="36">
        <f>(SUM(D4:D6)+SUM(D8:D10))/SUM(D4:D6)</f>
        <v>0.22824945471172323</v>
      </c>
      <c r="E32" s="36">
        <f>(SUM(E4:E6)+SUM(E8:E10))/SUM(E4:E6)</f>
        <v>0.22846097759299397</v>
      </c>
      <c r="F32" s="36">
        <f>(SUM(F4:F6)+SUM(F8:F10))/SUM(F4:F6)</f>
        <v>0.18900706376042831</v>
      </c>
      <c r="G32" s="36">
        <f>(SUM(G4:G6)+SUM(G8:G10))/SUM(G4:G6)</f>
        <v>0.14511653111557957</v>
      </c>
    </row>
    <row r="33" spans="2:7" x14ac:dyDescent="0.2">
      <c r="B33" s="26" t="s">
        <v>57</v>
      </c>
      <c r="C33" s="36">
        <f>C15/C7</f>
        <v>-5.8370300241749197E-2</v>
      </c>
      <c r="D33" s="36">
        <f t="shared" ref="D33:G33" si="5">D15/D7</f>
        <v>-0.17711927138364197</v>
      </c>
      <c r="E33" s="36">
        <f t="shared" si="5"/>
        <v>-9.533248801594027E-2</v>
      </c>
      <c r="F33" s="36">
        <f t="shared" si="5"/>
        <v>-0.13879756446921956</v>
      </c>
      <c r="G33" s="36">
        <f t="shared" si="5"/>
        <v>-0.16440007545558741</v>
      </c>
    </row>
    <row r="34" spans="2:7" x14ac:dyDescent="0.2">
      <c r="B34" s="26" t="s">
        <v>64</v>
      </c>
      <c r="C34" s="36">
        <f>C23/C7</f>
        <v>-9.1934731468291842E-2</v>
      </c>
      <c r="D34" s="36">
        <f t="shared" ref="D34:G34" si="6">D23/D7</f>
        <v>-0.21963853411681836</v>
      </c>
      <c r="E34" s="36">
        <f t="shared" si="6"/>
        <v>-9.6414467612896446E-2</v>
      </c>
      <c r="F34" s="36">
        <f t="shared" si="6"/>
        <v>-0.16680343005817538</v>
      </c>
      <c r="G34" s="36">
        <f t="shared" si="6"/>
        <v>-0.19256422428228809</v>
      </c>
    </row>
    <row r="35" spans="2:7" x14ac:dyDescent="0.2">
      <c r="B35" s="26" t="s">
        <v>55</v>
      </c>
      <c r="C35" s="36">
        <f>C23/'Balance Sheet Input'!C17</f>
        <v>-5.0429907933346216E-2</v>
      </c>
      <c r="D35" s="36">
        <f>D23/'Balance Sheet Input'!D17</f>
        <v>-0.11014746145205113</v>
      </c>
      <c r="E35" s="36">
        <f>E23/'Balance Sheet Input'!E17</f>
        <v>-2.9779021214012873E-2</v>
      </c>
      <c r="F35" s="36">
        <f>F23/'Balance Sheet Input'!F17</f>
        <v>-6.8447898704647764E-2</v>
      </c>
      <c r="G35" s="36">
        <f>G23/'Balance Sheet Input'!G17</f>
        <v>-5.1131852382658542E-2</v>
      </c>
    </row>
    <row r="36" spans="2:7" x14ac:dyDescent="0.2">
      <c r="B36" s="26" t="s">
        <v>56</v>
      </c>
      <c r="C36" s="36">
        <f>C23/'Balance Sheet Input'!C31</f>
        <v>-0.32251483476105341</v>
      </c>
      <c r="D36" s="36">
        <f>D23/'Balance Sheet Input'!D31</f>
        <v>-0.82002373341798129</v>
      </c>
      <c r="E36" s="36">
        <f>E23/'Balance Sheet Input'!E31</f>
        <v>-0.1420001342335255</v>
      </c>
      <c r="F36" s="36">
        <f>F23/'Balance Sheet Input'!F31</f>
        <v>-0.46289544000555077</v>
      </c>
      <c r="G36" s="36">
        <f>G23/'Balance Sheet Input'!G31</f>
        <v>-0.32098601043599839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G45"/>
  <sheetViews>
    <sheetView topLeftCell="A15" workbookViewId="0">
      <selection activeCell="I41" sqref="I41"/>
    </sheetView>
  </sheetViews>
  <sheetFormatPr defaultColWidth="9.109375" defaultRowHeight="11.4" x14ac:dyDescent="0.25"/>
  <cols>
    <col min="1" max="1" width="2" style="8" customWidth="1"/>
    <col min="2" max="2" width="44.88671875" style="8" bestFit="1" customWidth="1"/>
    <col min="3" max="4" width="12.88671875" style="8" bestFit="1" customWidth="1"/>
    <col min="5" max="5" width="14" style="8" bestFit="1" customWidth="1"/>
    <col min="6" max="7" width="11.44140625" style="8" customWidth="1"/>
    <col min="8" max="8" width="9.109375" style="8"/>
    <col min="9" max="10" width="10.33203125" style="8" bestFit="1" customWidth="1"/>
    <col min="11" max="16384" width="9.109375" style="8"/>
  </cols>
  <sheetData>
    <row r="1" spans="2:7" ht="15.6" x14ac:dyDescent="0.25">
      <c r="B1" s="2" t="s">
        <v>82</v>
      </c>
    </row>
    <row r="3" spans="2:7" ht="24" x14ac:dyDescent="0.25">
      <c r="B3" s="5" t="s">
        <v>37</v>
      </c>
      <c r="C3" s="19" t="s">
        <v>48</v>
      </c>
      <c r="D3" s="19" t="s">
        <v>49</v>
      </c>
      <c r="E3" s="19" t="s">
        <v>50</v>
      </c>
      <c r="F3" s="19" t="s">
        <v>81</v>
      </c>
      <c r="G3" s="22" t="s">
        <v>83</v>
      </c>
    </row>
    <row r="4" spans="2:7" x14ac:dyDescent="0.25">
      <c r="B4" s="8" t="s">
        <v>7</v>
      </c>
      <c r="C4" s="37">
        <v>1905713</v>
      </c>
      <c r="D4" s="37">
        <v>1196908</v>
      </c>
      <c r="E4" s="37">
        <v>3393216</v>
      </c>
      <c r="F4" s="37">
        <v>3367914</v>
      </c>
      <c r="G4" s="38">
        <v>2236424</v>
      </c>
    </row>
    <row r="5" spans="2:7" x14ac:dyDescent="0.25">
      <c r="B5" s="8" t="s">
        <v>39</v>
      </c>
      <c r="C5" s="37">
        <v>17947</v>
      </c>
      <c r="D5" s="37">
        <v>22628</v>
      </c>
      <c r="E5" s="37">
        <v>105519</v>
      </c>
      <c r="F5" s="37">
        <v>155323</v>
      </c>
      <c r="G5" s="38">
        <v>146822</v>
      </c>
    </row>
    <row r="6" spans="2:7" x14ac:dyDescent="0.25">
      <c r="B6" s="8" t="s">
        <v>8</v>
      </c>
      <c r="C6" s="37">
        <v>226604</v>
      </c>
      <c r="D6" s="37">
        <v>168965</v>
      </c>
      <c r="E6" s="37">
        <v>499142</v>
      </c>
      <c r="F6" s="37">
        <v>515381</v>
      </c>
      <c r="G6" s="38">
        <v>569874</v>
      </c>
    </row>
    <row r="7" spans="2:7" x14ac:dyDescent="0.25">
      <c r="B7" s="8" t="s">
        <v>9</v>
      </c>
      <c r="C7" s="37">
        <v>953675</v>
      </c>
      <c r="D7" s="37">
        <v>1277838</v>
      </c>
      <c r="E7" s="37">
        <v>2067454</v>
      </c>
      <c r="F7" s="37">
        <v>2263537</v>
      </c>
      <c r="G7" s="38">
        <v>3324643</v>
      </c>
    </row>
    <row r="8" spans="2:7" x14ac:dyDescent="0.25">
      <c r="B8" s="8" t="s">
        <v>10</v>
      </c>
      <c r="C8" s="37">
        <v>76134</v>
      </c>
      <c r="D8" s="37">
        <v>115667</v>
      </c>
      <c r="E8" s="37">
        <v>194465</v>
      </c>
      <c r="F8" s="37">
        <v>268365</v>
      </c>
      <c r="G8" s="38">
        <v>422034</v>
      </c>
    </row>
    <row r="9" spans="2:7" ht="12" x14ac:dyDescent="0.25">
      <c r="B9" s="9" t="s">
        <v>11</v>
      </c>
      <c r="C9" s="39">
        <f>SUM(C4:C8)</f>
        <v>3180073</v>
      </c>
      <c r="D9" s="39">
        <f>SUM(D4:D8)</f>
        <v>2782006</v>
      </c>
      <c r="E9" s="39">
        <f>SUM(E4:E8)</f>
        <v>6259796</v>
      </c>
      <c r="F9" s="39">
        <f>SUM(F4:F8)</f>
        <v>6570520</v>
      </c>
      <c r="G9" s="40">
        <f>SUM(G4:G8)</f>
        <v>6699797</v>
      </c>
    </row>
    <row r="10" spans="2:7" x14ac:dyDescent="0.25">
      <c r="B10" s="8" t="s">
        <v>12</v>
      </c>
      <c r="C10" s="37">
        <v>766744</v>
      </c>
      <c r="D10" s="37">
        <v>1791403</v>
      </c>
      <c r="E10" s="37">
        <v>3134080</v>
      </c>
      <c r="F10" s="37">
        <v>4116604</v>
      </c>
      <c r="G10" s="38">
        <v>2282047</v>
      </c>
    </row>
    <row r="11" spans="2:7" x14ac:dyDescent="0.25">
      <c r="B11" s="8" t="s">
        <v>13</v>
      </c>
      <c r="C11" s="37">
        <v>0</v>
      </c>
      <c r="D11" s="37">
        <v>0</v>
      </c>
      <c r="E11" s="37">
        <v>5919880</v>
      </c>
      <c r="F11" s="37">
        <v>6347490</v>
      </c>
      <c r="G11" s="38">
        <v>6340031</v>
      </c>
    </row>
    <row r="12" spans="2:7" x14ac:dyDescent="0.25">
      <c r="B12" s="8" t="s">
        <v>14</v>
      </c>
      <c r="C12" s="37">
        <v>1829267</v>
      </c>
      <c r="D12" s="37">
        <v>3403334</v>
      </c>
      <c r="E12" s="37">
        <v>5982957</v>
      </c>
      <c r="F12" s="37">
        <v>10027522</v>
      </c>
      <c r="G12" s="38">
        <v>10969348</v>
      </c>
    </row>
    <row r="13" spans="2:7" x14ac:dyDescent="0.25">
      <c r="B13" s="8" t="s">
        <v>15</v>
      </c>
      <c r="C13" s="37">
        <v>0</v>
      </c>
      <c r="D13" s="37">
        <v>12816</v>
      </c>
      <c r="E13" s="37">
        <v>376145</v>
      </c>
      <c r="F13" s="37">
        <v>361502</v>
      </c>
      <c r="G13" s="38">
        <v>364690</v>
      </c>
    </row>
    <row r="14" spans="2:7" x14ac:dyDescent="0.25">
      <c r="B14" s="8" t="s">
        <v>16</v>
      </c>
      <c r="C14" s="37">
        <v>0</v>
      </c>
      <c r="D14" s="37">
        <v>0</v>
      </c>
      <c r="E14" s="37">
        <v>506302</v>
      </c>
      <c r="F14" s="37">
        <f>456652+60237</f>
        <v>516889</v>
      </c>
      <c r="G14" s="38">
        <v>434841</v>
      </c>
    </row>
    <row r="15" spans="2:7" x14ac:dyDescent="0.25">
      <c r="B15" s="8" t="s">
        <v>17</v>
      </c>
      <c r="C15" s="37">
        <v>11374</v>
      </c>
      <c r="D15" s="37">
        <v>31522</v>
      </c>
      <c r="E15" s="37">
        <v>268165</v>
      </c>
      <c r="F15" s="37">
        <v>441722</v>
      </c>
      <c r="G15" s="38">
        <v>399992</v>
      </c>
    </row>
    <row r="16" spans="2:7" x14ac:dyDescent="0.25">
      <c r="B16" s="8" t="s">
        <v>18</v>
      </c>
      <c r="C16" s="37">
        <v>43209</v>
      </c>
      <c r="D16" s="37">
        <v>46858</v>
      </c>
      <c r="E16" s="37">
        <v>216751</v>
      </c>
      <c r="F16" s="37">
        <v>273123</v>
      </c>
      <c r="G16" s="38">
        <v>419254</v>
      </c>
    </row>
    <row r="17" spans="2:7" ht="12.6" thickBot="1" x14ac:dyDescent="0.3">
      <c r="B17" s="10" t="s">
        <v>19</v>
      </c>
      <c r="C17" s="41">
        <f t="shared" ref="C17:E17" si="0">SUM(C9:C16)</f>
        <v>5830667</v>
      </c>
      <c r="D17" s="41">
        <f t="shared" si="0"/>
        <v>8067939</v>
      </c>
      <c r="E17" s="41">
        <f t="shared" si="0"/>
        <v>22664076</v>
      </c>
      <c r="F17" s="41">
        <f>SUM(F9:F16)</f>
        <v>28655372</v>
      </c>
      <c r="G17" s="42">
        <f>SUM(G9:G16)</f>
        <v>27910000</v>
      </c>
    </row>
    <row r="18" spans="2:7" x14ac:dyDescent="0.25">
      <c r="B18" s="8" t="s">
        <v>20</v>
      </c>
      <c r="C18" s="37">
        <v>777946</v>
      </c>
      <c r="D18" s="37">
        <v>916148</v>
      </c>
      <c r="E18" s="37">
        <v>1860341</v>
      </c>
      <c r="F18" s="37">
        <v>2390250</v>
      </c>
      <c r="G18" s="38">
        <v>3030493</v>
      </c>
    </row>
    <row r="19" spans="2:7" x14ac:dyDescent="0.25">
      <c r="B19" s="8" t="s">
        <v>38</v>
      </c>
      <c r="C19" s="37">
        <v>268883</v>
      </c>
      <c r="D19" s="37">
        <v>422798</v>
      </c>
      <c r="E19" s="37">
        <v>1210028</v>
      </c>
      <c r="F19" s="37">
        <v>1731366</v>
      </c>
      <c r="G19" s="38">
        <v>1814979</v>
      </c>
    </row>
    <row r="20" spans="2:7" x14ac:dyDescent="0.25">
      <c r="B20" s="8" t="s">
        <v>21</v>
      </c>
      <c r="C20" s="37">
        <v>191651</v>
      </c>
      <c r="D20" s="37">
        <v>423961</v>
      </c>
      <c r="E20" s="37">
        <v>763126</v>
      </c>
      <c r="F20" s="37">
        <v>1015253</v>
      </c>
      <c r="G20" s="38">
        <v>576321</v>
      </c>
    </row>
    <row r="21" spans="2:7" x14ac:dyDescent="0.25">
      <c r="B21" s="8" t="s">
        <v>22</v>
      </c>
      <c r="C21" s="37">
        <v>0</v>
      </c>
      <c r="D21" s="37">
        <v>136831</v>
      </c>
      <c r="E21" s="37">
        <v>179504</v>
      </c>
      <c r="F21" s="37">
        <v>787333</v>
      </c>
      <c r="G21" s="38">
        <v>674255</v>
      </c>
    </row>
    <row r="22" spans="2:7" x14ac:dyDescent="0.25">
      <c r="B22" s="8" t="s">
        <v>23</v>
      </c>
      <c r="C22" s="37">
        <v>257587</v>
      </c>
      <c r="D22" s="37">
        <v>283370</v>
      </c>
      <c r="E22" s="37">
        <v>663859</v>
      </c>
      <c r="F22" s="37">
        <v>853919</v>
      </c>
      <c r="G22" s="38">
        <v>942129</v>
      </c>
    </row>
    <row r="23" spans="2:7" x14ac:dyDescent="0.25">
      <c r="B23" s="8" t="s">
        <v>24</v>
      </c>
      <c r="C23" s="37">
        <v>611099</v>
      </c>
      <c r="D23" s="37">
        <v>627927</v>
      </c>
      <c r="E23" s="37">
        <v>984211</v>
      </c>
      <c r="F23" s="37">
        <v>796549</v>
      </c>
      <c r="G23" s="38">
        <v>2103185</v>
      </c>
    </row>
    <row r="24" spans="2:7" x14ac:dyDescent="0.25">
      <c r="B24" s="8" t="s">
        <v>25</v>
      </c>
      <c r="C24" s="37">
        <v>0</v>
      </c>
      <c r="D24" s="37"/>
      <c r="E24" s="37"/>
      <c r="F24" s="30"/>
      <c r="G24" s="31"/>
    </row>
    <row r="25" spans="2:7" x14ac:dyDescent="0.25">
      <c r="B25" s="8" t="s">
        <v>26</v>
      </c>
      <c r="C25" s="37">
        <v>0</v>
      </c>
      <c r="D25" s="37">
        <v>0</v>
      </c>
      <c r="E25" s="37">
        <v>165936</v>
      </c>
      <c r="F25" s="37">
        <v>100000</v>
      </c>
      <c r="G25" s="38">
        <v>0</v>
      </c>
    </row>
    <row r="26" spans="2:7" ht="12" x14ac:dyDescent="0.25">
      <c r="B26" s="9" t="s">
        <v>27</v>
      </c>
      <c r="C26" s="39">
        <v>2107166</v>
      </c>
      <c r="D26" s="39">
        <v>2811035</v>
      </c>
      <c r="E26" s="39">
        <v>5827005</v>
      </c>
      <c r="F26" s="39">
        <f>SUM(F18:F25)</f>
        <v>7674670</v>
      </c>
      <c r="G26" s="40">
        <f>SUM(G18:G25)</f>
        <v>9141362</v>
      </c>
    </row>
    <row r="27" spans="2:7" x14ac:dyDescent="0.25">
      <c r="B27" s="8" t="s">
        <v>28</v>
      </c>
      <c r="C27" s="37"/>
      <c r="D27" s="37"/>
      <c r="E27" s="37"/>
      <c r="F27" s="37"/>
      <c r="G27" s="38"/>
    </row>
    <row r="28" spans="2:7" x14ac:dyDescent="0.25">
      <c r="B28" s="8" t="s">
        <v>16</v>
      </c>
      <c r="C28" s="37">
        <v>1818785</v>
      </c>
      <c r="D28" s="37">
        <v>2021093</v>
      </c>
      <c r="E28" s="37">
        <v>5860049</v>
      </c>
      <c r="F28" s="37">
        <v>9415700</v>
      </c>
      <c r="G28" s="38">
        <v>9513390</v>
      </c>
    </row>
    <row r="29" spans="2:7" x14ac:dyDescent="0.25">
      <c r="B29" s="8" t="s">
        <v>66</v>
      </c>
      <c r="C29" s="30">
        <v>993006</v>
      </c>
      <c r="D29" s="30">
        <v>2152107</v>
      </c>
      <c r="E29" s="30">
        <v>5438936</v>
      </c>
      <c r="F29" s="30">
        <v>6330414</v>
      </c>
      <c r="G29" s="31">
        <f>795820+584857+2607458</f>
        <v>3988135</v>
      </c>
    </row>
    <row r="30" spans="2:7" ht="12" x14ac:dyDescent="0.25">
      <c r="B30" s="21" t="s">
        <v>29</v>
      </c>
      <c r="C30" s="43">
        <f>SUM(C26:C29)</f>
        <v>4918957</v>
      </c>
      <c r="D30" s="43">
        <f>SUM(D26:D29)</f>
        <v>6984235</v>
      </c>
      <c r="E30" s="43">
        <f>SUM(E26:E29)</f>
        <v>17125990</v>
      </c>
      <c r="F30" s="43">
        <f>SUM(F26:F29)</f>
        <v>23420784</v>
      </c>
      <c r="G30" s="44">
        <f>SUM(G26:G29)</f>
        <v>22642887</v>
      </c>
    </row>
    <row r="31" spans="2:7" ht="12" x14ac:dyDescent="0.25">
      <c r="B31" s="21" t="s">
        <v>30</v>
      </c>
      <c r="C31" s="43">
        <v>911710</v>
      </c>
      <c r="D31" s="43">
        <v>1083704</v>
      </c>
      <c r="E31" s="43">
        <v>4752911</v>
      </c>
      <c r="F31" s="43">
        <v>4237242</v>
      </c>
      <c r="G31" s="44">
        <f>3906421+539536</f>
        <v>4445957</v>
      </c>
    </row>
    <row r="32" spans="2:7" x14ac:dyDescent="0.25">
      <c r="B32" s="8" t="s">
        <v>31</v>
      </c>
      <c r="C32" s="37">
        <v>0</v>
      </c>
      <c r="D32" s="37">
        <v>0</v>
      </c>
      <c r="E32" s="37">
        <v>785175</v>
      </c>
      <c r="F32" s="37">
        <v>997346</v>
      </c>
      <c r="G32" s="38">
        <v>821156</v>
      </c>
    </row>
    <row r="33" spans="2:7" ht="12.6" thickBot="1" x14ac:dyDescent="0.3">
      <c r="B33" s="10" t="s">
        <v>32</v>
      </c>
      <c r="C33" s="41">
        <f>C30+C31+C32</f>
        <v>5830667</v>
      </c>
      <c r="D33" s="41">
        <f>D30+D31+D32</f>
        <v>8067939</v>
      </c>
      <c r="E33" s="41">
        <f>E30+E31+E32</f>
        <v>22664076</v>
      </c>
      <c r="F33" s="41">
        <f>F30+F31+F32</f>
        <v>28655372</v>
      </c>
      <c r="G33" s="42">
        <f>G30+G31+G32</f>
        <v>27910000</v>
      </c>
    </row>
    <row r="34" spans="2:7" x14ac:dyDescent="0.25">
      <c r="F34" s="20"/>
    </row>
    <row r="35" spans="2:7" x14ac:dyDescent="0.2">
      <c r="B35" s="25" t="s">
        <v>85</v>
      </c>
      <c r="C35" s="24"/>
      <c r="D35" s="24"/>
      <c r="E35" s="24"/>
      <c r="F35" s="24"/>
      <c r="G35" s="24"/>
    </row>
    <row r="36" spans="2:7" x14ac:dyDescent="0.2">
      <c r="B36" s="25" t="s">
        <v>143</v>
      </c>
      <c r="C36" s="24"/>
      <c r="D36" s="24"/>
      <c r="E36" s="24"/>
      <c r="F36" s="24"/>
      <c r="G36" s="24"/>
    </row>
    <row r="37" spans="2:7" x14ac:dyDescent="0.2">
      <c r="B37" s="23" t="s">
        <v>145</v>
      </c>
      <c r="C37" s="24">
        <f>(C4+C5)/C26</f>
        <v>0.91291336325662054</v>
      </c>
      <c r="D37" s="24">
        <f t="shared" ref="D37:G37" si="1">(D4+D5)/D26</f>
        <v>0.43383878180100921</v>
      </c>
      <c r="E37" s="24">
        <f t="shared" si="1"/>
        <v>0.60043452854425217</v>
      </c>
      <c r="F37" s="24">
        <f t="shared" si="1"/>
        <v>0.45907341944344188</v>
      </c>
      <c r="G37" s="24">
        <f t="shared" si="1"/>
        <v>0.26071016550925341</v>
      </c>
    </row>
    <row r="38" spans="2:7" x14ac:dyDescent="0.2">
      <c r="B38" s="23" t="s">
        <v>146</v>
      </c>
      <c r="C38" s="24">
        <f>C9/C26</f>
        <v>1.5091706111431182</v>
      </c>
      <c r="D38" s="24">
        <f>D9/D26</f>
        <v>0.98967319866170289</v>
      </c>
      <c r="E38" s="24">
        <f>E9/E26</f>
        <v>1.0742733187975642</v>
      </c>
      <c r="F38" s="24">
        <f>F9/F26</f>
        <v>0.8561306219029613</v>
      </c>
      <c r="G38" s="24">
        <f>G9/G26</f>
        <v>0.7329101505880633</v>
      </c>
    </row>
    <row r="39" spans="2:7" x14ac:dyDescent="0.2">
      <c r="B39" s="23" t="s">
        <v>51</v>
      </c>
      <c r="C39" s="24">
        <f>C6/'P&amp;L Input'!C7*360</f>
        <v>25.506053735106413</v>
      </c>
      <c r="D39" s="24">
        <f>D6/'P&amp;L Input'!D7*360</f>
        <v>15.033866572747325</v>
      </c>
      <c r="E39" s="24">
        <f>E6/'P&amp;L Input'!E7*360</f>
        <v>25.66967594325364</v>
      </c>
      <c r="F39" s="24">
        <f>F6/'P&amp;L Input'!F7*360</f>
        <v>15.77864519794662</v>
      </c>
      <c r="G39" s="24">
        <f>G6/'P&amp;L Input'!G7*180</f>
        <v>13.841258823729435</v>
      </c>
    </row>
    <row r="40" spans="2:7" x14ac:dyDescent="0.2">
      <c r="B40" s="23" t="s">
        <v>52</v>
      </c>
      <c r="C40" s="24">
        <f>-C7/SUM('P&amp;L Input'!C8:C10)*360</f>
        <v>148.19580564470351</v>
      </c>
      <c r="D40" s="24">
        <f>-D7/SUM('P&amp;L Input'!D8:D10)*360</f>
        <v>147.32375944829212</v>
      </c>
      <c r="E40" s="24">
        <f>-E7/SUM('P&amp;L Input'!E8:E10)*360</f>
        <v>137.80793667692734</v>
      </c>
      <c r="F40" s="24">
        <f>-F7/SUM('P&amp;L Input'!F8:F10)*360</f>
        <v>85.449953986173199</v>
      </c>
      <c r="G40" s="24">
        <f>-G7/SUM('P&amp;L Input'!G8:G10)*180</f>
        <v>94.457151624032477</v>
      </c>
    </row>
    <row r="41" spans="2:7" x14ac:dyDescent="0.2">
      <c r="B41" s="23" t="s">
        <v>53</v>
      </c>
      <c r="C41" s="24">
        <f>-C18/SUM('P&amp;L Input'!C8:C10)*360</f>
        <v>120.88849368817945</v>
      </c>
      <c r="D41" s="24">
        <f>-D18/SUM('P&amp;L Input'!D8:D10)*360</f>
        <v>105.62400521117225</v>
      </c>
      <c r="E41" s="24">
        <f>-E18/SUM('P&amp;L Input'!E8:E10)*360</f>
        <v>124.00264031291226</v>
      </c>
      <c r="F41" s="24">
        <f>-F18/SUM('P&amp;L Input'!F8:F10)*360</f>
        <v>90.233449912879919</v>
      </c>
      <c r="G41" s="24">
        <f>-G18/SUM('P&amp;L Input'!G8:G10)*180</f>
        <v>86.099992328971581</v>
      </c>
    </row>
    <row r="42" spans="2:7" x14ac:dyDescent="0.2">
      <c r="B42" s="23" t="s">
        <v>54</v>
      </c>
      <c r="C42" s="24">
        <f>C39+C40-C41</f>
        <v>52.813365691630466</v>
      </c>
      <c r="D42" s="24">
        <f>D39+D40-D41</f>
        <v>56.73362080986719</v>
      </c>
      <c r="E42" s="24">
        <f>E39+E40-E41</f>
        <v>39.474972307268729</v>
      </c>
      <c r="F42" s="24">
        <f>F39+F40-F41</f>
        <v>10.995149271239896</v>
      </c>
      <c r="G42" s="24">
        <f>G39+G40-G41</f>
        <v>22.198418118790329</v>
      </c>
    </row>
    <row r="43" spans="2:7" x14ac:dyDescent="0.2">
      <c r="B43" s="25" t="s">
        <v>147</v>
      </c>
      <c r="C43" s="24"/>
      <c r="D43" s="24"/>
      <c r="E43" s="24"/>
      <c r="F43" s="24"/>
      <c r="G43" s="24"/>
    </row>
    <row r="44" spans="2:7" x14ac:dyDescent="0.2">
      <c r="B44" s="23" t="s">
        <v>144</v>
      </c>
      <c r="C44" s="24">
        <f>C17/C30</f>
        <v>1.1853462024571468</v>
      </c>
      <c r="D44" s="24">
        <f t="shared" ref="D44:G44" si="2">D17/D30</f>
        <v>1.1551643093338069</v>
      </c>
      <c r="E44" s="24">
        <f t="shared" si="2"/>
        <v>1.3233731889368148</v>
      </c>
      <c r="F44" s="24">
        <f t="shared" si="2"/>
        <v>1.2235018264119595</v>
      </c>
      <c r="G44" s="24">
        <f t="shared" si="2"/>
        <v>1.23261667118685</v>
      </c>
    </row>
    <row r="45" spans="2:7" x14ac:dyDescent="0.2">
      <c r="B45" s="23" t="s">
        <v>148</v>
      </c>
      <c r="C45" s="70" t="s">
        <v>149</v>
      </c>
      <c r="D45" s="70" t="s">
        <v>149</v>
      </c>
      <c r="E45" s="70" t="s">
        <v>149</v>
      </c>
      <c r="F45" s="70" t="s">
        <v>149</v>
      </c>
      <c r="G45" s="70" t="s">
        <v>149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2060"/>
  </sheetPr>
  <dimension ref="B14"/>
  <sheetViews>
    <sheetView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76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AE883-0D4D-4DA8-ABAA-F07CB55B280E}">
  <sheetPr>
    <tabColor rgb="FFC00000"/>
  </sheetPr>
  <dimension ref="B14:G29"/>
  <sheetViews>
    <sheetView workbookViewId="0">
      <selection activeCell="G29" sqref="G29"/>
    </sheetView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130</v>
      </c>
    </row>
    <row r="29" spans="7:7" x14ac:dyDescent="0.25">
      <c r="G29" s="1" t="s">
        <v>74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973E8-D4EE-442D-98FE-72A55CFF9E96}">
  <sheetPr>
    <tabColor theme="5"/>
  </sheetPr>
  <dimension ref="B14"/>
  <sheetViews>
    <sheetView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115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B5A35-43D7-48CF-8D07-FCB5D996320B}">
  <dimension ref="A1:S27"/>
  <sheetViews>
    <sheetView topLeftCell="G1" workbookViewId="0">
      <selection activeCell="H5" sqref="H5:M10"/>
    </sheetView>
  </sheetViews>
  <sheetFormatPr defaultColWidth="9.109375" defaultRowHeight="11.4" outlineLevelCol="1" x14ac:dyDescent="0.25"/>
  <cols>
    <col min="1" max="1" width="2" style="8" customWidth="1"/>
    <col min="2" max="2" width="15.109375" style="8" customWidth="1"/>
    <col min="3" max="4" width="11.33203125" style="8" bestFit="1" customWidth="1"/>
    <col min="5" max="5" width="9.109375" style="8"/>
    <col min="6" max="6" width="11.44140625" style="8" bestFit="1" customWidth="1"/>
    <col min="7" max="8" width="10.33203125" style="8" customWidth="1" outlineLevel="1"/>
    <col min="9" max="10" width="10.33203125" style="8" bestFit="1" customWidth="1"/>
    <col min="11" max="14" width="10.44140625" style="8" bestFit="1" customWidth="1"/>
    <col min="15" max="16384" width="9.109375" style="8"/>
  </cols>
  <sheetData>
    <row r="1" spans="1:19" ht="15.6" x14ac:dyDescent="0.25">
      <c r="A1" s="1"/>
      <c r="B1" s="2" t="s">
        <v>94</v>
      </c>
    </row>
    <row r="2" spans="1:19" ht="15.6" x14ac:dyDescent="0.25">
      <c r="A2" s="1"/>
      <c r="B2" s="2"/>
    </row>
    <row r="3" spans="1:19" ht="12" x14ac:dyDescent="0.25">
      <c r="C3" s="71" t="s">
        <v>96</v>
      </c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</row>
    <row r="4" spans="1:19" ht="24" x14ac:dyDescent="0.25">
      <c r="B4" s="18" t="s">
        <v>86</v>
      </c>
      <c r="C4" s="6" t="s">
        <v>45</v>
      </c>
      <c r="D4" s="6" t="s">
        <v>46</v>
      </c>
      <c r="E4" s="6" t="s">
        <v>47</v>
      </c>
      <c r="F4" s="6" t="s">
        <v>79</v>
      </c>
      <c r="G4" s="6" t="s">
        <v>87</v>
      </c>
      <c r="H4" s="55" t="s">
        <v>98</v>
      </c>
      <c r="I4" s="55" t="s">
        <v>97</v>
      </c>
      <c r="J4" s="55" t="s">
        <v>99</v>
      </c>
      <c r="K4" s="55" t="s">
        <v>100</v>
      </c>
      <c r="L4" s="55" t="s">
        <v>101</v>
      </c>
      <c r="M4" s="55" t="s">
        <v>102</v>
      </c>
      <c r="N4" s="55" t="s">
        <v>103</v>
      </c>
      <c r="O4" s="55" t="s">
        <v>134</v>
      </c>
      <c r="P4" s="55" t="s">
        <v>135</v>
      </c>
      <c r="Q4" s="55" t="s">
        <v>136</v>
      </c>
      <c r="R4" s="55" t="s">
        <v>137</v>
      </c>
      <c r="S4" s="55" t="s">
        <v>138</v>
      </c>
    </row>
    <row r="5" spans="1:19" x14ac:dyDescent="0.25">
      <c r="B5" s="8" t="s">
        <v>89</v>
      </c>
      <c r="C5" s="30">
        <v>0</v>
      </c>
      <c r="D5" s="30">
        <v>0</v>
      </c>
      <c r="E5" s="30">
        <v>0</v>
      </c>
      <c r="F5" s="30">
        <v>1764</v>
      </c>
      <c r="G5" s="30">
        <v>26620</v>
      </c>
      <c r="H5" s="31">
        <f>26*4000</f>
        <v>104000</v>
      </c>
      <c r="I5" s="31">
        <f>G5+H5</f>
        <v>130620</v>
      </c>
      <c r="J5" s="31">
        <f>52*5000</f>
        <v>260000</v>
      </c>
      <c r="K5" s="31">
        <f>52*8000</f>
        <v>416000</v>
      </c>
      <c r="L5" s="31">
        <f>K5*(1+L15)</f>
        <v>457600.00000000006</v>
      </c>
      <c r="M5" s="31">
        <f>L5*(1+M15)</f>
        <v>503360.00000000012</v>
      </c>
      <c r="N5" s="31">
        <f>M5*(1+N15)</f>
        <v>528528.00000000012</v>
      </c>
      <c r="O5" s="31">
        <f t="shared" ref="O5:S5" si="0">N5*(1+O15)</f>
        <v>554954.40000000014</v>
      </c>
      <c r="P5" s="31">
        <f t="shared" si="0"/>
        <v>566053.48800000013</v>
      </c>
      <c r="Q5" s="31">
        <f t="shared" si="0"/>
        <v>577374.55776000011</v>
      </c>
      <c r="R5" s="31">
        <f t="shared" si="0"/>
        <v>588922.04891520017</v>
      </c>
      <c r="S5" s="31">
        <f t="shared" si="0"/>
        <v>600700.48989350419</v>
      </c>
    </row>
    <row r="6" spans="1:19" x14ac:dyDescent="0.25">
      <c r="B6" s="8" t="s">
        <v>95</v>
      </c>
      <c r="C6" s="30">
        <v>33600</v>
      </c>
      <c r="D6" s="30">
        <v>50580</v>
      </c>
      <c r="E6" s="30">
        <v>76230</v>
      </c>
      <c r="F6" s="30">
        <v>101312</v>
      </c>
      <c r="G6" s="30">
        <f>22660+21440</f>
        <v>44100</v>
      </c>
      <c r="H6" s="31">
        <v>55900</v>
      </c>
      <c r="I6" s="31">
        <f t="shared" ref="I6:I10" si="1">G6+H6</f>
        <v>100000</v>
      </c>
      <c r="J6" s="31">
        <f>I6*(1+J16)</f>
        <v>102000</v>
      </c>
      <c r="K6" s="31">
        <f>J6*(1+K16)</f>
        <v>104040</v>
      </c>
      <c r="L6" s="31">
        <f>K6*(1+L16)</f>
        <v>106120.8</v>
      </c>
      <c r="M6" s="31">
        <f t="shared" ref="M6:S6" si="2">L6*(1+M16)</f>
        <v>108243.216</v>
      </c>
      <c r="N6" s="31">
        <f t="shared" si="2"/>
        <v>110408.08032000001</v>
      </c>
      <c r="O6" s="31">
        <f t="shared" si="2"/>
        <v>112616.24192640001</v>
      </c>
      <c r="P6" s="31">
        <f t="shared" si="2"/>
        <v>114868.56676492801</v>
      </c>
      <c r="Q6" s="31">
        <f t="shared" si="2"/>
        <v>117165.93810022657</v>
      </c>
      <c r="R6" s="31">
        <f t="shared" si="2"/>
        <v>119509.25686223111</v>
      </c>
      <c r="S6" s="31">
        <f t="shared" si="2"/>
        <v>121899.44199947573</v>
      </c>
    </row>
    <row r="7" spans="1:19" x14ac:dyDescent="0.25">
      <c r="B7" s="8" t="s">
        <v>90</v>
      </c>
      <c r="C7" s="30">
        <v>0</v>
      </c>
      <c r="D7" s="30">
        <v>0</v>
      </c>
      <c r="E7" s="30">
        <v>0</v>
      </c>
      <c r="F7" s="30">
        <v>0</v>
      </c>
      <c r="G7" s="30">
        <v>0</v>
      </c>
      <c r="H7" s="31">
        <v>0</v>
      </c>
      <c r="I7" s="31">
        <f t="shared" si="1"/>
        <v>0</v>
      </c>
      <c r="J7" s="31">
        <f>F5</f>
        <v>1764</v>
      </c>
      <c r="K7" s="31">
        <f>J7*(1+K17)</f>
        <v>130620</v>
      </c>
      <c r="L7" s="31">
        <f>K7*(1+L17)</f>
        <v>260000</v>
      </c>
      <c r="M7" s="31">
        <f t="shared" ref="M7:S7" si="3">L7*(1+M17)</f>
        <v>416000</v>
      </c>
      <c r="N7" s="31">
        <f t="shared" si="3"/>
        <v>457600.00000000006</v>
      </c>
      <c r="O7" s="31">
        <f t="shared" si="3"/>
        <v>503360.00000000012</v>
      </c>
      <c r="P7" s="31">
        <f t="shared" si="3"/>
        <v>528528.00000000012</v>
      </c>
      <c r="Q7" s="31">
        <f t="shared" si="3"/>
        <v>554954.40000000014</v>
      </c>
      <c r="R7" s="31">
        <f t="shared" si="3"/>
        <v>566053.48800000013</v>
      </c>
      <c r="S7" s="31">
        <f t="shared" si="3"/>
        <v>577374.55776000011</v>
      </c>
    </row>
    <row r="8" spans="1:19" x14ac:dyDescent="0.25">
      <c r="B8" s="8" t="s">
        <v>92</v>
      </c>
      <c r="C8" s="30">
        <v>0</v>
      </c>
      <c r="D8" s="30">
        <v>0</v>
      </c>
      <c r="E8" s="30">
        <v>0</v>
      </c>
      <c r="F8" s="30">
        <v>0</v>
      </c>
      <c r="G8" s="30">
        <v>0</v>
      </c>
      <c r="H8" s="31">
        <v>0</v>
      </c>
      <c r="I8" s="31">
        <f t="shared" si="1"/>
        <v>0</v>
      </c>
      <c r="J8" s="31">
        <v>0</v>
      </c>
      <c r="K8" s="31">
        <v>500</v>
      </c>
      <c r="L8" s="31">
        <f t="shared" ref="L8:S8" si="4">K8*(1+L18)</f>
        <v>1000</v>
      </c>
      <c r="M8" s="31">
        <f t="shared" si="4"/>
        <v>1500</v>
      </c>
      <c r="N8" s="31">
        <f t="shared" si="4"/>
        <v>1650.0000000000002</v>
      </c>
      <c r="O8" s="31">
        <f t="shared" si="4"/>
        <v>1815.0000000000005</v>
      </c>
      <c r="P8" s="31">
        <f t="shared" si="4"/>
        <v>1905.7500000000005</v>
      </c>
      <c r="Q8" s="31">
        <f t="shared" si="4"/>
        <v>2001.0375000000006</v>
      </c>
      <c r="R8" s="31">
        <f t="shared" si="4"/>
        <v>2041.0582500000007</v>
      </c>
      <c r="S8" s="31">
        <f t="shared" si="4"/>
        <v>2081.8794150000008</v>
      </c>
    </row>
    <row r="9" spans="1:19" x14ac:dyDescent="0.25">
      <c r="B9" s="8" t="s">
        <v>91</v>
      </c>
      <c r="C9" s="30">
        <v>0</v>
      </c>
      <c r="D9" s="30">
        <v>0</v>
      </c>
      <c r="E9" s="30">
        <v>0</v>
      </c>
      <c r="F9" s="30">
        <v>0</v>
      </c>
      <c r="G9" s="30">
        <v>0</v>
      </c>
      <c r="H9" s="31">
        <v>0</v>
      </c>
      <c r="I9" s="31">
        <f t="shared" si="1"/>
        <v>0</v>
      </c>
      <c r="J9" s="31">
        <v>250</v>
      </c>
      <c r="K9" s="31">
        <f>J9*(1+K19)</f>
        <v>18511.904761904763</v>
      </c>
      <c r="L9" s="31">
        <f t="shared" ref="L9:S9" si="5">K9*(1+L19)</f>
        <v>36848.072562358284</v>
      </c>
      <c r="M9" s="31">
        <f t="shared" si="5"/>
        <v>58956.916099773254</v>
      </c>
      <c r="N9" s="31">
        <f t="shared" si="5"/>
        <v>64852.607709750584</v>
      </c>
      <c r="O9" s="31">
        <f t="shared" si="5"/>
        <v>71337.86848072565</v>
      </c>
      <c r="P9" s="31">
        <f t="shared" si="5"/>
        <v>74904.761904761937</v>
      </c>
      <c r="Q9" s="31">
        <f t="shared" si="5"/>
        <v>78650.000000000044</v>
      </c>
      <c r="R9" s="31">
        <f t="shared" si="5"/>
        <v>80223.000000000044</v>
      </c>
      <c r="S9" s="31">
        <f t="shared" si="5"/>
        <v>81827.46000000005</v>
      </c>
    </row>
    <row r="10" spans="1:19" x14ac:dyDescent="0.25">
      <c r="B10" s="8" t="s">
        <v>88</v>
      </c>
      <c r="C10" s="30">
        <v>0</v>
      </c>
      <c r="D10" s="30">
        <v>0</v>
      </c>
      <c r="E10" s="30">
        <v>0</v>
      </c>
      <c r="F10" s="30">
        <v>0</v>
      </c>
      <c r="G10" s="30">
        <v>0</v>
      </c>
      <c r="H10" s="31">
        <v>0</v>
      </c>
      <c r="I10" s="31">
        <f t="shared" si="1"/>
        <v>0</v>
      </c>
      <c r="J10" s="31">
        <v>250</v>
      </c>
      <c r="K10" s="31">
        <f>J10*(1+K20)</f>
        <v>18511.904761904763</v>
      </c>
      <c r="L10" s="31">
        <f t="shared" ref="L10:S10" si="6">K10*(1+L20)</f>
        <v>36848.072562358284</v>
      </c>
      <c r="M10" s="31">
        <f t="shared" si="6"/>
        <v>58956.916099773254</v>
      </c>
      <c r="N10" s="31">
        <f t="shared" si="6"/>
        <v>64852.607709750584</v>
      </c>
      <c r="O10" s="31">
        <f t="shared" si="6"/>
        <v>71337.86848072565</v>
      </c>
      <c r="P10" s="31">
        <f t="shared" si="6"/>
        <v>74904.761904761937</v>
      </c>
      <c r="Q10" s="31">
        <f t="shared" si="6"/>
        <v>78650.000000000044</v>
      </c>
      <c r="R10" s="31">
        <f t="shared" si="6"/>
        <v>80223.000000000044</v>
      </c>
      <c r="S10" s="31">
        <f t="shared" si="6"/>
        <v>81827.46000000005</v>
      </c>
    </row>
    <row r="11" spans="1:19" ht="12.6" thickBot="1" x14ac:dyDescent="0.3">
      <c r="B11" s="60" t="s">
        <v>68</v>
      </c>
      <c r="C11" s="61">
        <f>SUM(C5:C10)</f>
        <v>33600</v>
      </c>
      <c r="D11" s="61">
        <f t="shared" ref="D11:S11" si="7">SUM(D5:D10)</f>
        <v>50580</v>
      </c>
      <c r="E11" s="61">
        <f t="shared" si="7"/>
        <v>76230</v>
      </c>
      <c r="F11" s="61">
        <f t="shared" si="7"/>
        <v>103076</v>
      </c>
      <c r="G11" s="61">
        <f t="shared" si="7"/>
        <v>70720</v>
      </c>
      <c r="H11" s="61">
        <f t="shared" si="7"/>
        <v>159900</v>
      </c>
      <c r="I11" s="61">
        <f t="shared" si="7"/>
        <v>230620</v>
      </c>
      <c r="J11" s="61">
        <f t="shared" si="7"/>
        <v>364264</v>
      </c>
      <c r="K11" s="61">
        <f t="shared" si="7"/>
        <v>688183.80952380947</v>
      </c>
      <c r="L11" s="61">
        <f t="shared" si="7"/>
        <v>898416.94512471673</v>
      </c>
      <c r="M11" s="61">
        <f t="shared" si="7"/>
        <v>1147017.0481995465</v>
      </c>
      <c r="N11" s="61">
        <f t="shared" si="7"/>
        <v>1227891.2957395012</v>
      </c>
      <c r="O11" s="61">
        <f t="shared" si="7"/>
        <v>1315421.3788878517</v>
      </c>
      <c r="P11" s="61">
        <f t="shared" si="7"/>
        <v>1361165.3285744521</v>
      </c>
      <c r="Q11" s="61">
        <f t="shared" si="7"/>
        <v>1408795.9333602269</v>
      </c>
      <c r="R11" s="61">
        <f t="shared" si="7"/>
        <v>1436971.8520274314</v>
      </c>
      <c r="S11" s="61">
        <f t="shared" si="7"/>
        <v>1465711.2890679801</v>
      </c>
    </row>
    <row r="12" spans="1:19" ht="3" customHeight="1" x14ac:dyDescent="0.25"/>
    <row r="13" spans="1:19" x14ac:dyDescent="0.25">
      <c r="B13" s="48" t="s">
        <v>104</v>
      </c>
      <c r="C13" s="49"/>
      <c r="D13" s="49"/>
      <c r="E13" s="49"/>
      <c r="F13" s="49"/>
      <c r="G13" s="49"/>
      <c r="H13" s="49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</row>
    <row r="14" spans="1:19" ht="3" customHeight="1" x14ac:dyDescent="0.25">
      <c r="B14" s="48"/>
      <c r="C14" s="49"/>
      <c r="D14" s="49"/>
      <c r="E14" s="49"/>
      <c r="F14" s="49"/>
      <c r="G14" s="49"/>
      <c r="H14" s="49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9"/>
    </row>
    <row r="15" spans="1:19" x14ac:dyDescent="0.25">
      <c r="B15" s="49" t="s">
        <v>89</v>
      </c>
      <c r="C15" s="52" t="s">
        <v>65</v>
      </c>
      <c r="D15" s="52" t="s">
        <v>65</v>
      </c>
      <c r="E15" s="52" t="s">
        <v>65</v>
      </c>
      <c r="F15" s="52" t="s">
        <v>65</v>
      </c>
      <c r="G15" s="49"/>
      <c r="H15" s="49"/>
      <c r="I15" s="51">
        <f>(I5/F5-1)</f>
        <v>73.047619047619051</v>
      </c>
      <c r="J15" s="51">
        <f>J5/I5-1</f>
        <v>0.99050681365793913</v>
      </c>
      <c r="K15" s="51">
        <f>K5/J5-1</f>
        <v>0.60000000000000009</v>
      </c>
      <c r="L15" s="51">
        <f>$C$25</f>
        <v>0.1</v>
      </c>
      <c r="M15" s="51">
        <f>$C$25</f>
        <v>0.1</v>
      </c>
      <c r="N15" s="51">
        <f>$C$26</f>
        <v>0.05</v>
      </c>
      <c r="O15" s="51">
        <f>$C$26</f>
        <v>0.05</v>
      </c>
      <c r="P15" s="51">
        <f>$C$27</f>
        <v>0.02</v>
      </c>
      <c r="Q15" s="51">
        <f t="shared" ref="Q15:S16" si="8">$C$27</f>
        <v>0.02</v>
      </c>
      <c r="R15" s="51">
        <f t="shared" si="8"/>
        <v>0.02</v>
      </c>
      <c r="S15" s="51">
        <f t="shared" si="8"/>
        <v>0.02</v>
      </c>
    </row>
    <row r="16" spans="1:19" x14ac:dyDescent="0.25">
      <c r="B16" s="49" t="s">
        <v>95</v>
      </c>
      <c r="C16" s="52" t="s">
        <v>65</v>
      </c>
      <c r="D16" s="36">
        <f>D6/C6-1</f>
        <v>0.50535714285714284</v>
      </c>
      <c r="E16" s="36">
        <f>E6/D6-1</f>
        <v>0.50711743772241991</v>
      </c>
      <c r="F16" s="36">
        <f>F6/E6-1</f>
        <v>0.32903056539420183</v>
      </c>
      <c r="G16" s="49"/>
      <c r="H16" s="49"/>
      <c r="I16" s="51">
        <f>(I6/F6-1)</f>
        <v>-1.2950094756790875E-2</v>
      </c>
      <c r="J16" s="54">
        <f>$C$27</f>
        <v>0.02</v>
      </c>
      <c r="K16" s="54">
        <f t="shared" ref="K16:P16" si="9">$C$27</f>
        <v>0.02</v>
      </c>
      <c r="L16" s="54">
        <f t="shared" si="9"/>
        <v>0.02</v>
      </c>
      <c r="M16" s="54">
        <f t="shared" si="9"/>
        <v>0.02</v>
      </c>
      <c r="N16" s="54">
        <f t="shared" si="9"/>
        <v>0.02</v>
      </c>
      <c r="O16" s="54">
        <f t="shared" si="9"/>
        <v>0.02</v>
      </c>
      <c r="P16" s="54">
        <f t="shared" si="9"/>
        <v>0.02</v>
      </c>
      <c r="Q16" s="54">
        <f t="shared" si="8"/>
        <v>0.02</v>
      </c>
      <c r="R16" s="54">
        <f t="shared" si="8"/>
        <v>0.02</v>
      </c>
      <c r="S16" s="54">
        <f t="shared" si="8"/>
        <v>0.02</v>
      </c>
    </row>
    <row r="17" spans="2:19" x14ac:dyDescent="0.25">
      <c r="B17" s="49" t="s">
        <v>90</v>
      </c>
      <c r="C17" s="52" t="s">
        <v>65</v>
      </c>
      <c r="D17" s="52" t="s">
        <v>65</v>
      </c>
      <c r="E17" s="52" t="s">
        <v>65</v>
      </c>
      <c r="F17" s="52" t="s">
        <v>65</v>
      </c>
      <c r="G17" s="49"/>
      <c r="H17" s="49"/>
      <c r="I17" s="51" t="s">
        <v>65</v>
      </c>
      <c r="J17" s="51" t="s">
        <v>65</v>
      </c>
      <c r="K17" s="54">
        <f>I15</f>
        <v>73.047619047619051</v>
      </c>
      <c r="L17" s="54">
        <f t="shared" ref="L17:M17" si="10">J15</f>
        <v>0.99050681365793913</v>
      </c>
      <c r="M17" s="54">
        <f t="shared" si="10"/>
        <v>0.60000000000000009</v>
      </c>
      <c r="N17" s="54">
        <f>$C$25</f>
        <v>0.1</v>
      </c>
      <c r="O17" s="54">
        <f>$C$25</f>
        <v>0.1</v>
      </c>
      <c r="P17" s="54">
        <f t="shared" ref="P17:Q20" si="11">$C$26</f>
        <v>0.05</v>
      </c>
      <c r="Q17" s="54">
        <f t="shared" si="11"/>
        <v>0.05</v>
      </c>
      <c r="R17" s="54">
        <f t="shared" ref="R17:S20" si="12">$C$27</f>
        <v>0.02</v>
      </c>
      <c r="S17" s="54">
        <f t="shared" si="12"/>
        <v>0.02</v>
      </c>
    </row>
    <row r="18" spans="2:19" x14ac:dyDescent="0.25">
      <c r="B18" s="49" t="s">
        <v>92</v>
      </c>
      <c r="C18" s="52" t="s">
        <v>65</v>
      </c>
      <c r="D18" s="52" t="s">
        <v>65</v>
      </c>
      <c r="E18" s="52" t="s">
        <v>65</v>
      </c>
      <c r="F18" s="52" t="s">
        <v>65</v>
      </c>
      <c r="G18" s="49"/>
      <c r="H18" s="49"/>
      <c r="I18" s="51" t="s">
        <v>65</v>
      </c>
      <c r="J18" s="51" t="s">
        <v>65</v>
      </c>
      <c r="K18" s="51" t="s">
        <v>65</v>
      </c>
      <c r="L18" s="54">
        <v>1</v>
      </c>
      <c r="M18" s="54">
        <v>0.5</v>
      </c>
      <c r="N18" s="54">
        <f>$C$25</f>
        <v>0.1</v>
      </c>
      <c r="O18" s="54">
        <f>$C$25</f>
        <v>0.1</v>
      </c>
      <c r="P18" s="54">
        <f t="shared" si="11"/>
        <v>0.05</v>
      </c>
      <c r="Q18" s="54">
        <f t="shared" si="11"/>
        <v>0.05</v>
      </c>
      <c r="R18" s="54">
        <f t="shared" si="12"/>
        <v>0.02</v>
      </c>
      <c r="S18" s="54">
        <f t="shared" si="12"/>
        <v>0.02</v>
      </c>
    </row>
    <row r="19" spans="2:19" x14ac:dyDescent="0.25">
      <c r="B19" s="49" t="s">
        <v>91</v>
      </c>
      <c r="C19" s="52" t="s">
        <v>65</v>
      </c>
      <c r="D19" s="52" t="s">
        <v>65</v>
      </c>
      <c r="E19" s="52" t="s">
        <v>65</v>
      </c>
      <c r="F19" s="52" t="s">
        <v>65</v>
      </c>
      <c r="G19" s="49"/>
      <c r="H19" s="49"/>
      <c r="I19" s="51" t="s">
        <v>65</v>
      </c>
      <c r="J19" s="51" t="s">
        <v>65</v>
      </c>
      <c r="K19" s="54">
        <f>I15</f>
        <v>73.047619047619051</v>
      </c>
      <c r="L19" s="54">
        <f t="shared" ref="L19:N19" si="13">J15</f>
        <v>0.99050681365793913</v>
      </c>
      <c r="M19" s="54">
        <f t="shared" si="13"/>
        <v>0.60000000000000009</v>
      </c>
      <c r="N19" s="54">
        <f t="shared" si="13"/>
        <v>0.1</v>
      </c>
      <c r="O19" s="54">
        <f>$C$25</f>
        <v>0.1</v>
      </c>
      <c r="P19" s="54">
        <f t="shared" si="11"/>
        <v>0.05</v>
      </c>
      <c r="Q19" s="54">
        <f t="shared" si="11"/>
        <v>0.05</v>
      </c>
      <c r="R19" s="54">
        <f t="shared" si="12"/>
        <v>0.02</v>
      </c>
      <c r="S19" s="54">
        <f t="shared" si="12"/>
        <v>0.02</v>
      </c>
    </row>
    <row r="20" spans="2:19" x14ac:dyDescent="0.25">
      <c r="B20" s="49" t="s">
        <v>88</v>
      </c>
      <c r="C20" s="52" t="s">
        <v>65</v>
      </c>
      <c r="D20" s="52" t="s">
        <v>65</v>
      </c>
      <c r="E20" s="52" t="s">
        <v>65</v>
      </c>
      <c r="F20" s="52" t="s">
        <v>65</v>
      </c>
      <c r="G20" s="49"/>
      <c r="H20" s="49"/>
      <c r="I20" s="51" t="s">
        <v>65</v>
      </c>
      <c r="J20" s="51" t="s">
        <v>65</v>
      </c>
      <c r="K20" s="54">
        <v>73.047619047619051</v>
      </c>
      <c r="L20" s="54">
        <v>0.99050681365793913</v>
      </c>
      <c r="M20" s="54">
        <v>0.60000000000000009</v>
      </c>
      <c r="N20" s="54">
        <f>$C$25</f>
        <v>0.1</v>
      </c>
      <c r="O20" s="54">
        <f>$C$25</f>
        <v>0.1</v>
      </c>
      <c r="P20" s="54">
        <f t="shared" si="11"/>
        <v>0.05</v>
      </c>
      <c r="Q20" s="54">
        <f t="shared" si="11"/>
        <v>0.05</v>
      </c>
      <c r="R20" s="54">
        <f t="shared" si="12"/>
        <v>0.02</v>
      </c>
      <c r="S20" s="54">
        <f t="shared" si="12"/>
        <v>0.02</v>
      </c>
    </row>
    <row r="21" spans="2:19" x14ac:dyDescent="0.25">
      <c r="B21" s="49"/>
      <c r="C21" s="52"/>
      <c r="D21" s="52"/>
      <c r="E21" s="52"/>
      <c r="F21" s="52"/>
      <c r="G21" s="49"/>
      <c r="H21" s="49"/>
      <c r="I21" s="52"/>
      <c r="J21" s="52"/>
      <c r="K21" s="50"/>
      <c r="L21" s="50"/>
      <c r="M21" s="50"/>
      <c r="N21" s="50"/>
      <c r="O21" s="50"/>
      <c r="P21" s="50"/>
      <c r="Q21" s="50"/>
      <c r="R21" s="50"/>
      <c r="S21" s="50"/>
    </row>
    <row r="24" spans="2:19" x14ac:dyDescent="0.25">
      <c r="B24" s="8" t="s">
        <v>131</v>
      </c>
    </row>
    <row r="25" spans="2:19" x14ac:dyDescent="0.25">
      <c r="B25" s="8" t="s">
        <v>132</v>
      </c>
      <c r="C25" s="16">
        <v>0.1</v>
      </c>
    </row>
    <row r="26" spans="2:19" x14ac:dyDescent="0.25">
      <c r="B26" s="8" t="s">
        <v>132</v>
      </c>
      <c r="C26" s="16">
        <v>0.05</v>
      </c>
    </row>
    <row r="27" spans="2:19" x14ac:dyDescent="0.25">
      <c r="B27" s="8" t="s">
        <v>133</v>
      </c>
      <c r="C27" s="16">
        <v>0.02</v>
      </c>
    </row>
  </sheetData>
  <mergeCells count="1">
    <mergeCell ref="C3:S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Cover</vt:lpstr>
      <vt:lpstr>Drivers</vt:lpstr>
      <vt:lpstr>Input --&gt;</vt:lpstr>
      <vt:lpstr>P&amp;L Input</vt:lpstr>
      <vt:lpstr>Balance Sheet Input</vt:lpstr>
      <vt:lpstr>Workings --&gt;</vt:lpstr>
      <vt:lpstr>Income Statement items</vt:lpstr>
      <vt:lpstr>Automotive</vt:lpstr>
      <vt:lpstr>Deliveries</vt:lpstr>
      <vt:lpstr>Deliveries development</vt:lpstr>
      <vt:lpstr>Deliveries comparables</vt:lpstr>
      <vt:lpstr>Revenue automotive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</dc:creator>
  <cp:lastModifiedBy>Ned</cp:lastModifiedBy>
  <dcterms:created xsi:type="dcterms:W3CDTF">2017-12-26T16:16:22Z</dcterms:created>
  <dcterms:modified xsi:type="dcterms:W3CDTF">2018-11-09T13:20:12Z</dcterms:modified>
</cp:coreProperties>
</file>