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shadow/Desktop/"/>
    </mc:Choice>
  </mc:AlternateContent>
  <xr:revisionPtr revIDLastSave="0" documentId="8_{02035FA4-5B0B-8F45-B091-A0A68558C3DF}" xr6:coauthVersionLast="47" xr6:coauthVersionMax="47" xr10:uidLastSave="{00000000-0000-0000-0000-000000000000}"/>
  <bookViews>
    <workbookView xWindow="4280" yWindow="680" windowWidth="24920" windowHeight="16060" firstSheet="4" activeTab="4" xr2:uid="{1CDA14BE-490D-FF4A-A646-C6956B6E1386}"/>
  </bookViews>
  <sheets>
    <sheet name="WELCOME" sheetId="2" r:id="rId1"/>
    <sheet name="PRELIMINARY ANALYSIS" sheetId="3" r:id="rId2"/>
    <sheet name="ASSUMPTIONS" sheetId="19" r:id="rId3"/>
    <sheet name=" P&amp;L Normal Situation" sheetId="8" r:id="rId4"/>
    <sheet name="1-P&amp;L Modified" sheetId="1" r:id="rId5"/>
    <sheet name="1-F&amp;B" sheetId="17" r:id="rId6"/>
    <sheet name="1-CAPEX" sheetId="9" r:id="rId7"/>
    <sheet name="1-CAPEX PLANNING" sheetId="15" r:id="rId8"/>
    <sheet name="CAPEX Rooms " sheetId="14" state="hidden" r:id="rId9"/>
    <sheet name="1-Capex Rooms Revenue" sheetId="18" state="hidden" r:id="rId10"/>
    <sheet name="CAPEX F&amp;B renovation" sheetId="12" state="hidden" r:id="rId11"/>
    <sheet name="CAPEX Fitness " sheetId="13" state="hidden" r:id="rId12"/>
    <sheet name="References Tab" sheetId="5" state="hidden" r:id="rId13"/>
    <sheet name="1-INCREMENTAL CF" sheetId="11" r:id="rId14"/>
    <sheet name="1-SENSITIVITY" sheetId="21" r:id="rId15"/>
    <sheet name="APPENDIX 1-STR Trend " sheetId="4" r:id="rId16"/>
    <sheet name="APPENDIX 2-Graph Presentation" sheetId="23" r:id="rId17"/>
  </sheets>
  <definedNames>
    <definedName name="Inflation">'1-P&amp;L Modified'!$B$3</definedName>
    <definedName name="Preliminary_Analysis" localSheetId="1">WELCOME!$B$27</definedName>
    <definedName name="_xlnm.Print_Area" localSheetId="15">'APPENDIX 1-STR Trend '!$A$3:$N$150</definedName>
    <definedName name="_xlnm.Print_Titles" localSheetId="15">'APPENDIX 1-STR Trend '!$3:$8</definedName>
    <definedName name="VAT">'1-F&amp;B'!$B$5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52" i="1" l="1"/>
  <c r="AF51" i="1"/>
  <c r="Q40" i="21"/>
  <c r="R45" i="21"/>
  <c r="R25" i="21"/>
  <c r="AA66" i="23"/>
  <c r="Z66" i="23"/>
  <c r="Y66" i="23"/>
  <c r="X66" i="23"/>
  <c r="W66" i="23"/>
  <c r="V66" i="23"/>
  <c r="U66" i="23"/>
  <c r="T66" i="23"/>
  <c r="S66" i="23"/>
  <c r="R66" i="23"/>
  <c r="Q66" i="23"/>
  <c r="P66" i="23"/>
  <c r="AA65" i="23"/>
  <c r="Z65" i="23"/>
  <c r="Y65" i="23"/>
  <c r="X65" i="23"/>
  <c r="W65" i="23"/>
  <c r="V65" i="23"/>
  <c r="U65" i="23"/>
  <c r="T65" i="23"/>
  <c r="S65" i="23"/>
  <c r="R65" i="23"/>
  <c r="Q65" i="23"/>
  <c r="P65" i="23"/>
  <c r="AA39" i="23"/>
  <c r="Z39" i="23"/>
  <c r="Y39" i="23"/>
  <c r="X39" i="23"/>
  <c r="W39" i="23"/>
  <c r="V39" i="23"/>
  <c r="U39" i="23"/>
  <c r="T39" i="23"/>
  <c r="S39" i="23"/>
  <c r="R39" i="23"/>
  <c r="Q39" i="23"/>
  <c r="P39" i="23"/>
  <c r="AA38" i="23"/>
  <c r="Z38" i="23"/>
  <c r="Y38" i="23"/>
  <c r="X38" i="23"/>
  <c r="W38" i="23"/>
  <c r="V38" i="23"/>
  <c r="U38" i="23"/>
  <c r="T38" i="23"/>
  <c r="S38" i="23"/>
  <c r="R38" i="23"/>
  <c r="Q38" i="23"/>
  <c r="P38" i="23"/>
  <c r="L9" i="23"/>
  <c r="L10" i="23"/>
  <c r="L6" i="23"/>
  <c r="L5" i="23"/>
  <c r="F29" i="19"/>
  <c r="P57" i="21"/>
  <c r="P37" i="21"/>
  <c r="C36" i="21"/>
  <c r="C56" i="21"/>
  <c r="X51" i="1"/>
  <c r="D23" i="9"/>
  <c r="F39" i="3"/>
  <c r="B65" i="8"/>
  <c r="B66" i="8" s="1"/>
  <c r="AC25" i="8"/>
  <c r="F27" i="17"/>
  <c r="F29" i="17"/>
  <c r="U45" i="21"/>
  <c r="T45" i="21"/>
  <c r="S45" i="21"/>
  <c r="Q45" i="21"/>
  <c r="U25" i="21"/>
  <c r="T25" i="21"/>
  <c r="S25" i="21"/>
  <c r="Q25" i="21"/>
  <c r="G45" i="21"/>
  <c r="F45" i="21"/>
  <c r="E45" i="21"/>
  <c r="D45" i="21"/>
  <c r="G25" i="21"/>
  <c r="F25" i="21"/>
  <c r="E25" i="21"/>
  <c r="D25" i="21"/>
  <c r="Z41" i="17"/>
  <c r="X41" i="17"/>
  <c r="V41" i="17"/>
  <c r="T41" i="17"/>
  <c r="R41" i="17"/>
  <c r="P41" i="17"/>
  <c r="L41" i="17"/>
  <c r="J41" i="17"/>
  <c r="H38" i="17"/>
  <c r="H70" i="17"/>
  <c r="F85" i="17"/>
  <c r="F84" i="17"/>
  <c r="L12" i="17"/>
  <c r="J12" i="17"/>
  <c r="H12" i="17"/>
  <c r="F12" i="17"/>
  <c r="AX19" i="8"/>
  <c r="AX20" i="8"/>
  <c r="AX21" i="8"/>
  <c r="AT19" i="8"/>
  <c r="AT20" i="8"/>
  <c r="AT21" i="8"/>
  <c r="AP19" i="8"/>
  <c r="AP20" i="8"/>
  <c r="AP21" i="8"/>
  <c r="AL19" i="8"/>
  <c r="AL20" i="8"/>
  <c r="AL21" i="8"/>
  <c r="AH19" i="8"/>
  <c r="AH20" i="8"/>
  <c r="AH21" i="8"/>
  <c r="N41" i="17"/>
  <c r="B9" i="17"/>
  <c r="G70" i="17"/>
  <c r="F70" i="17"/>
  <c r="I27" i="17"/>
  <c r="H27" i="17"/>
  <c r="G27" i="17"/>
  <c r="F28" i="17"/>
  <c r="Z19" i="1"/>
  <c r="D12" i="19"/>
  <c r="F12" i="19" s="1"/>
  <c r="BV20" i="1" s="1"/>
  <c r="D11" i="19"/>
  <c r="F11" i="19" s="1"/>
  <c r="BV19" i="1" s="1"/>
  <c r="L7" i="23" l="1"/>
  <c r="L11" i="23"/>
  <c r="BB21" i="8"/>
  <c r="BB20" i="8"/>
  <c r="BB19" i="8"/>
  <c r="AH20" i="1"/>
  <c r="AH19" i="1"/>
  <c r="BJ20" i="1"/>
  <c r="AP20" i="1"/>
  <c r="AT20" i="1"/>
  <c r="AX20" i="1"/>
  <c r="BN20" i="1"/>
  <c r="BN19" i="1"/>
  <c r="AP19" i="1"/>
  <c r="AX19" i="1"/>
  <c r="BF19" i="1"/>
  <c r="BB20" i="1"/>
  <c r="BR20" i="1"/>
  <c r="AL20" i="1"/>
  <c r="BF20" i="1"/>
  <c r="AT19" i="1"/>
  <c r="BJ19" i="1"/>
  <c r="AL19" i="1"/>
  <c r="BB19" i="1"/>
  <c r="BR19" i="1"/>
  <c r="AC20" i="1"/>
  <c r="AA30" i="1"/>
  <c r="D7" i="21"/>
  <c r="E7" i="21"/>
  <c r="F7" i="21"/>
  <c r="G7" i="21"/>
  <c r="H7" i="21"/>
  <c r="I7" i="21"/>
  <c r="J7" i="21"/>
  <c r="K7" i="21"/>
  <c r="L7" i="21"/>
  <c r="M7" i="21"/>
  <c r="C7" i="21"/>
  <c r="AF40" i="17"/>
  <c r="AF43" i="17"/>
  <c r="AF46" i="17"/>
  <c r="AF45" i="17"/>
  <c r="AF44" i="17"/>
  <c r="AF35" i="17"/>
  <c r="BF19" i="8" l="1"/>
  <c r="BF20" i="8"/>
  <c r="BF21" i="8"/>
  <c r="D19" i="19"/>
  <c r="E19" i="19"/>
  <c r="C19" i="19"/>
  <c r="C20" i="19"/>
  <c r="C22" i="19"/>
  <c r="C23" i="19"/>
  <c r="I27" i="9"/>
  <c r="V33" i="9"/>
  <c r="BG68" i="9"/>
  <c r="BG67" i="9"/>
  <c r="BH67" i="9" s="1"/>
  <c r="BG65" i="9"/>
  <c r="BH65" i="9" s="1"/>
  <c r="BG64" i="9"/>
  <c r="BH64" i="9" s="1"/>
  <c r="G48" i="9"/>
  <c r="BG63" i="9" s="1"/>
  <c r="G49" i="9"/>
  <c r="T15" i="9"/>
  <c r="P15" i="9"/>
  <c r="B4" i="17"/>
  <c r="F19" i="19" l="1"/>
  <c r="AI30" i="1" s="1"/>
  <c r="AF30" i="1" s="1"/>
  <c r="BH68" i="9"/>
  <c r="BI67" i="9"/>
  <c r="BJ67" i="9"/>
  <c r="BI65" i="9"/>
  <c r="BJ65" i="9"/>
  <c r="BI64" i="9"/>
  <c r="BJ64" i="9"/>
  <c r="BH63" i="9"/>
  <c r="BJ21" i="8"/>
  <c r="BJ20" i="8"/>
  <c r="BJ19" i="8"/>
  <c r="BI68" i="9" l="1"/>
  <c r="BJ68" i="9"/>
  <c r="BI63" i="9"/>
  <c r="BJ63" i="9"/>
  <c r="BN20" i="8"/>
  <c r="BN21" i="8"/>
  <c r="BN19" i="8"/>
  <c r="P9" i="1"/>
  <c r="R9" i="1"/>
  <c r="T9" i="1"/>
  <c r="V9" i="1"/>
  <c r="X9" i="1"/>
  <c r="AD20" i="8"/>
  <c r="AD21" i="8"/>
  <c r="AD19" i="8"/>
  <c r="J41" i="19"/>
  <c r="J40" i="19"/>
  <c r="AJ51" i="17"/>
  <c r="AI8" i="17"/>
  <c r="AG12" i="17"/>
  <c r="AI12" i="17"/>
  <c r="H55" i="17"/>
  <c r="J55" i="17" s="1"/>
  <c r="L55" i="17" s="1"/>
  <c r="N55" i="17" s="1"/>
  <c r="P55" i="17" s="1"/>
  <c r="R55" i="17" s="1"/>
  <c r="T55" i="17" s="1"/>
  <c r="V55" i="17" s="1"/>
  <c r="X55" i="17" s="1"/>
  <c r="Z55" i="17" s="1"/>
  <c r="AD3" i="17"/>
  <c r="AI10" i="17"/>
  <c r="AI5" i="17"/>
  <c r="AG20" i="17"/>
  <c r="AI13" i="17"/>
  <c r="AG23" i="17"/>
  <c r="AG14" i="17"/>
  <c r="AG10" i="17"/>
  <c r="C31" i="19"/>
  <c r="AJ44" i="8"/>
  <c r="BS37" i="8"/>
  <c r="C41" i="19" l="1"/>
  <c r="P33" i="9"/>
  <c r="C27" i="9"/>
  <c r="BR19" i="8"/>
  <c r="BR21" i="8"/>
  <c r="BR20" i="8"/>
  <c r="BW29" i="1"/>
  <c r="BW22" i="1"/>
  <c r="E205" i="11"/>
  <c r="D205" i="11"/>
  <c r="D21" i="19"/>
  <c r="C30" i="19"/>
  <c r="J6" i="19"/>
  <c r="J32" i="19"/>
  <c r="J31" i="19"/>
  <c r="J30" i="19"/>
  <c r="J29" i="19"/>
  <c r="J28" i="19"/>
  <c r="J27" i="19"/>
  <c r="J26" i="19"/>
  <c r="X9" i="9"/>
  <c r="Y9" i="9"/>
  <c r="Z9" i="9"/>
  <c r="AA9" i="9"/>
  <c r="AB9" i="9"/>
  <c r="X10" i="9"/>
  <c r="Y10" i="9"/>
  <c r="Z10" i="9"/>
  <c r="AA10" i="9"/>
  <c r="AB10" i="9"/>
  <c r="X11" i="9"/>
  <c r="Y11" i="9"/>
  <c r="Z11" i="9"/>
  <c r="AA11" i="9"/>
  <c r="AB11" i="9"/>
  <c r="X12" i="9"/>
  <c r="Y12" i="9"/>
  <c r="Z12" i="9"/>
  <c r="AA12" i="9"/>
  <c r="AB12" i="9"/>
  <c r="X13" i="9"/>
  <c r="Y13" i="9"/>
  <c r="Z13" i="9"/>
  <c r="AA13" i="9"/>
  <c r="AB13" i="9"/>
  <c r="X14" i="9"/>
  <c r="Y14" i="9"/>
  <c r="Z14" i="9"/>
  <c r="AA14" i="9"/>
  <c r="AB14" i="9"/>
  <c r="Y8" i="9"/>
  <c r="Z8" i="9"/>
  <c r="AA8" i="9"/>
  <c r="AB8" i="9"/>
  <c r="X8" i="9"/>
  <c r="W15" i="9"/>
  <c r="V15" i="9"/>
  <c r="U15" i="9"/>
  <c r="AJ8" i="1" s="1"/>
  <c r="S15" i="9"/>
  <c r="AF8" i="1" s="1"/>
  <c r="Q15" i="9"/>
  <c r="R14" i="9"/>
  <c r="R13" i="9"/>
  <c r="R12" i="9"/>
  <c r="R11" i="9"/>
  <c r="R10" i="9"/>
  <c r="R9" i="9"/>
  <c r="R8" i="9"/>
  <c r="AC31" i="8"/>
  <c r="AC32" i="8"/>
  <c r="AC33" i="8"/>
  <c r="AC34" i="8"/>
  <c r="C12" i="19"/>
  <c r="BQ24" i="8"/>
  <c r="BM24" i="8"/>
  <c r="BI24" i="8"/>
  <c r="BE24" i="8"/>
  <c r="AO24" i="8"/>
  <c r="AK24" i="8"/>
  <c r="AG25" i="8"/>
  <c r="AK25" i="8" s="1"/>
  <c r="AO25" i="8" s="1"/>
  <c r="AG24" i="8"/>
  <c r="D163" i="11"/>
  <c r="L46" i="1"/>
  <c r="J46" i="1"/>
  <c r="T46" i="1"/>
  <c r="T51" i="1" s="1"/>
  <c r="K23" i="3"/>
  <c r="K22" i="3"/>
  <c r="K21" i="3"/>
  <c r="C6" i="5"/>
  <c r="B69" i="1"/>
  <c r="B70" i="1" s="1"/>
  <c r="J34" i="19" l="1"/>
  <c r="AF45" i="1" s="1"/>
  <c r="U33" i="9"/>
  <c r="S33" i="9"/>
  <c r="F27" i="9"/>
  <c r="H27" i="9"/>
  <c r="B3" i="1"/>
  <c r="P6" i="21"/>
  <c r="AB15" i="9"/>
  <c r="AA15" i="9"/>
  <c r="R15" i="9"/>
  <c r="AN8" i="1"/>
  <c r="Z15" i="9"/>
  <c r="Y15" i="9"/>
  <c r="X15" i="9"/>
  <c r="AS24" i="8"/>
  <c r="AS25" i="8"/>
  <c r="AF46" i="1"/>
  <c r="Q37" i="21" l="1"/>
  <c r="Q57" i="21"/>
  <c r="D56" i="21"/>
  <c r="D36" i="21"/>
  <c r="Y33" i="9"/>
  <c r="X33" i="9"/>
  <c r="W33" i="9"/>
  <c r="T33" i="9"/>
  <c r="Z33" i="9" s="1"/>
  <c r="L27" i="9"/>
  <c r="J27" i="9"/>
  <c r="G27" i="9"/>
  <c r="K27" i="9"/>
  <c r="AM30" i="1"/>
  <c r="AE30" i="1"/>
  <c r="AB30" i="1" s="1"/>
  <c r="AJ45" i="1"/>
  <c r="AW24" i="8"/>
  <c r="AW25" i="8"/>
  <c r="M27" i="9" l="1"/>
  <c r="D42" i="9" s="1"/>
  <c r="P41" i="9" s="1"/>
  <c r="EM15" i="15"/>
  <c r="EL15" i="15"/>
  <c r="EK15" i="15"/>
  <c r="EJ15" i="15"/>
  <c r="AL35" i="15"/>
  <c r="AM45" i="1"/>
  <c r="AJ46" i="1"/>
  <c r="AN45" i="1"/>
  <c r="BA24" i="8"/>
  <c r="BA25" i="8"/>
  <c r="BE25" i="8" s="1"/>
  <c r="BI25" i="8" s="1"/>
  <c r="BM25" i="8" s="1"/>
  <c r="BQ25" i="8" s="1"/>
  <c r="D7" i="19"/>
  <c r="D6" i="19"/>
  <c r="C6" i="19"/>
  <c r="C7" i="19"/>
  <c r="R46" i="1"/>
  <c r="P46" i="1"/>
  <c r="N46" i="1"/>
  <c r="H46" i="1"/>
  <c r="F46" i="1"/>
  <c r="D46" i="1"/>
  <c r="D51" i="1" s="1"/>
  <c r="B46" i="1"/>
  <c r="B51" i="1" s="1"/>
  <c r="V10" i="8"/>
  <c r="V9" i="8"/>
  <c r="Z12" i="17"/>
  <c r="X12" i="17"/>
  <c r="V12" i="17"/>
  <c r="T12" i="17"/>
  <c r="R12" i="17"/>
  <c r="P12" i="17"/>
  <c r="N12" i="17"/>
  <c r="AG17" i="17"/>
  <c r="AG9" i="17"/>
  <c r="AH5" i="17"/>
  <c r="AH3" i="17"/>
  <c r="AF5" i="17"/>
  <c r="F42" i="3"/>
  <c r="E20" i="3"/>
  <c r="BS29" i="1"/>
  <c r="BS22" i="1"/>
  <c r="BT8" i="1"/>
  <c r="Z24" i="17"/>
  <c r="AA24" i="17"/>
  <c r="Z42" i="17"/>
  <c r="Z52" i="17"/>
  <c r="Z56" i="17"/>
  <c r="Z66" i="17"/>
  <c r="AA66" i="17"/>
  <c r="Z70" i="17"/>
  <c r="AA70" i="17"/>
  <c r="Z80" i="17"/>
  <c r="Z82" i="17"/>
  <c r="Z84" i="17" s="1"/>
  <c r="AI3" i="17"/>
  <c r="B2" i="17"/>
  <c r="AV103" i="9"/>
  <c r="AV64" i="9" s="1"/>
  <c r="AV76" i="9"/>
  <c r="AV62" i="9" s="1"/>
  <c r="AV88" i="9"/>
  <c r="AV63" i="9" s="1"/>
  <c r="AY76" i="9"/>
  <c r="AY62" i="9" s="1"/>
  <c r="BB94" i="9"/>
  <c r="AW96" i="9" s="1"/>
  <c r="AX96" i="9" s="1"/>
  <c r="BB82" i="9"/>
  <c r="AW82" i="9" s="1"/>
  <c r="AX82" i="9" s="1"/>
  <c r="BB72" i="9"/>
  <c r="E21" i="19"/>
  <c r="AM46" i="1" l="1"/>
  <c r="AQ45" i="1"/>
  <c r="AN46" i="1"/>
  <c r="AQ46" i="1" s="1"/>
  <c r="AR45" i="1"/>
  <c r="B59" i="1"/>
  <c r="B55" i="8"/>
  <c r="J71" i="17"/>
  <c r="K71" i="17"/>
  <c r="AF31" i="17"/>
  <c r="F14" i="17" s="1"/>
  <c r="F21" i="19"/>
  <c r="AK32" i="1" s="1"/>
  <c r="AO32" i="1" s="1"/>
  <c r="AS32" i="1" s="1"/>
  <c r="AW32" i="1" s="1"/>
  <c r="BA32" i="1" s="1"/>
  <c r="BE32" i="1" s="1"/>
  <c r="BI32" i="1" s="1"/>
  <c r="BM32" i="1" s="1"/>
  <c r="BQ32" i="1" s="1"/>
  <c r="BU32" i="1" s="1"/>
  <c r="AW94" i="9"/>
  <c r="AX94" i="9" s="1"/>
  <c r="AW102" i="9"/>
  <c r="AY102" i="9" s="1"/>
  <c r="AW95" i="9"/>
  <c r="AX95" i="9" s="1"/>
  <c r="AW93" i="9"/>
  <c r="AZ93" i="9" s="1"/>
  <c r="AW100" i="9"/>
  <c r="AZ100" i="9" s="1"/>
  <c r="AW99" i="9"/>
  <c r="AZ99" i="9" s="1"/>
  <c r="AW84" i="9"/>
  <c r="AZ84" i="9" s="1"/>
  <c r="AW98" i="9"/>
  <c r="AX98" i="9" s="1"/>
  <c r="AX103" i="9" s="1"/>
  <c r="AV65" i="9"/>
  <c r="AV66" i="9" s="1"/>
  <c r="AW83" i="9"/>
  <c r="AX83" i="9" s="1"/>
  <c r="AW97" i="9"/>
  <c r="AZ97" i="9" s="1"/>
  <c r="AW101" i="9"/>
  <c r="AY101" i="9" s="1"/>
  <c r="AW86" i="9"/>
  <c r="AY86" i="9" s="1"/>
  <c r="AY88" i="9" s="1"/>
  <c r="AY89" i="9" s="1"/>
  <c r="AW85" i="9"/>
  <c r="AZ85" i="9" s="1"/>
  <c r="Q136" i="11"/>
  <c r="Q52" i="11"/>
  <c r="Q94" i="11"/>
  <c r="Q178" i="11"/>
  <c r="Q11" i="11"/>
  <c r="P9" i="21" s="1"/>
  <c r="AW87" i="9"/>
  <c r="AX87" i="9" s="1"/>
  <c r="AW81" i="9"/>
  <c r="AW72" i="9"/>
  <c r="AW73" i="9"/>
  <c r="AW74" i="9"/>
  <c r="AX74" i="9" s="1"/>
  <c r="AW75" i="9"/>
  <c r="AW71" i="9"/>
  <c r="AY103" i="9" l="1"/>
  <c r="AR46" i="1"/>
  <c r="AV45" i="1"/>
  <c r="AY63" i="9"/>
  <c r="AZ103" i="9"/>
  <c r="AX88" i="9"/>
  <c r="AW103" i="9"/>
  <c r="AW104" i="9" s="1"/>
  <c r="AZ81" i="9"/>
  <c r="AZ88" i="9" s="1"/>
  <c r="AW88" i="9"/>
  <c r="AW76" i="9"/>
  <c r="AW62" i="9" s="1"/>
  <c r="AX71" i="9"/>
  <c r="AX64" i="9"/>
  <c r="AX104" i="9"/>
  <c r="AY64" i="9" l="1"/>
  <c r="AY65" i="9" s="1"/>
  <c r="AY66" i="9" s="1"/>
  <c r="AY104" i="9"/>
  <c r="AZ64" i="9"/>
  <c r="AZ104" i="9"/>
  <c r="AX89" i="9"/>
  <c r="AX63" i="9"/>
  <c r="AV46" i="1"/>
  <c r="AZ45" i="1"/>
  <c r="AW64" i="9"/>
  <c r="AZ89" i="9"/>
  <c r="AZ63" i="9"/>
  <c r="AW63" i="9"/>
  <c r="AW65" i="9" s="1"/>
  <c r="AW66" i="9" s="1"/>
  <c r="AW89" i="9"/>
  <c r="D26" i="9" l="1"/>
  <c r="Q32" i="9"/>
  <c r="F197" i="11" s="1"/>
  <c r="AZ46" i="1"/>
  <c r="BD45" i="1"/>
  <c r="B3" i="8"/>
  <c r="AI26" i="17"/>
  <c r="AH26" i="17"/>
  <c r="AI24" i="17"/>
  <c r="AI25" i="17"/>
  <c r="AH25" i="17"/>
  <c r="AG25" i="17"/>
  <c r="AH24" i="17"/>
  <c r="AG24" i="17"/>
  <c r="AD23" i="17" s="1"/>
  <c r="AF42" i="17" s="1"/>
  <c r="F57" i="17" s="1"/>
  <c r="AI23" i="17"/>
  <c r="AH23" i="17"/>
  <c r="AH21" i="17"/>
  <c r="AG21" i="17"/>
  <c r="AH20" i="17"/>
  <c r="AH19" i="17"/>
  <c r="AG19" i="17"/>
  <c r="AF32" i="17" s="1"/>
  <c r="AH17" i="17"/>
  <c r="AH16" i="17"/>
  <c r="AG16" i="17"/>
  <c r="AH15" i="17"/>
  <c r="AG15" i="17"/>
  <c r="AF33" i="17" s="1"/>
  <c r="AH14" i="17"/>
  <c r="AI11" i="17"/>
  <c r="AH11" i="17"/>
  <c r="AG11" i="17"/>
  <c r="AH10" i="17"/>
  <c r="AI9" i="17"/>
  <c r="AH9" i="17"/>
  <c r="AF37" i="17" s="1"/>
  <c r="AI7" i="17"/>
  <c r="AH7" i="17"/>
  <c r="AI6" i="17"/>
  <c r="AH6" i="17"/>
  <c r="D25" i="19"/>
  <c r="F25" i="19" s="1"/>
  <c r="AG38" i="1" s="1"/>
  <c r="AK38" i="1" s="1"/>
  <c r="AO38" i="1" s="1"/>
  <c r="AS38" i="1" s="1"/>
  <c r="AW38" i="1" s="1"/>
  <c r="BA38" i="1" s="1"/>
  <c r="BE38" i="1" s="1"/>
  <c r="BI38" i="1" s="1"/>
  <c r="BM38" i="1" s="1"/>
  <c r="BQ38" i="1" s="1"/>
  <c r="BU38" i="1" s="1"/>
  <c r="AX73" i="9"/>
  <c r="AZ72" i="9"/>
  <c r="AZ76" i="9" s="1"/>
  <c r="AZ62" i="9" s="1"/>
  <c r="AZ65" i="9" s="1"/>
  <c r="AZ66" i="9" s="1"/>
  <c r="B42" i="8"/>
  <c r="AY77" i="9"/>
  <c r="AX75" i="9"/>
  <c r="AN62" i="9"/>
  <c r="D26" i="19"/>
  <c r="F26" i="19" s="1"/>
  <c r="AG39" i="1" s="1"/>
  <c r="AK39" i="1" s="1"/>
  <c r="AO39" i="1" s="1"/>
  <c r="AS39" i="1" s="1"/>
  <c r="AW39" i="1" s="1"/>
  <c r="BA39" i="1" s="1"/>
  <c r="BE39" i="1" s="1"/>
  <c r="BI39" i="1" s="1"/>
  <c r="BM39" i="1" s="1"/>
  <c r="BQ39" i="1" s="1"/>
  <c r="BU39" i="1" s="1"/>
  <c r="C25" i="19"/>
  <c r="C26" i="19"/>
  <c r="BD46" i="1" l="1"/>
  <c r="BH45" i="1"/>
  <c r="AX76" i="9"/>
  <c r="AF38" i="17"/>
  <c r="F43" i="17"/>
  <c r="F44" i="17" s="1"/>
  <c r="AF39" i="17"/>
  <c r="AF34" i="17"/>
  <c r="AF36" i="17" s="1"/>
  <c r="AE31" i="1"/>
  <c r="AB31" i="1" s="1"/>
  <c r="AE32" i="8"/>
  <c r="AE31" i="8"/>
  <c r="AE33" i="8"/>
  <c r="AE34" i="1"/>
  <c r="AE34" i="8"/>
  <c r="AE33" i="1"/>
  <c r="AB33" i="1" s="1"/>
  <c r="E26" i="9"/>
  <c r="R32" i="9"/>
  <c r="AV77" i="9"/>
  <c r="AZ77" i="9"/>
  <c r="AW77" i="9"/>
  <c r="AX62" i="9" l="1"/>
  <c r="AX65" i="9" s="1"/>
  <c r="AX66" i="9" s="1"/>
  <c r="AX77" i="9"/>
  <c r="BH46" i="1"/>
  <c r="BL45" i="1"/>
  <c r="AF41" i="17"/>
  <c r="G29" i="17" s="1"/>
  <c r="AB32" i="8"/>
  <c r="AI32" i="8"/>
  <c r="AF32" i="8" s="1"/>
  <c r="AB31" i="8"/>
  <c r="AI31" i="8"/>
  <c r="AF31" i="8" s="1"/>
  <c r="AB33" i="8"/>
  <c r="AI33" i="8"/>
  <c r="AF33" i="8" s="1"/>
  <c r="AB34" i="8"/>
  <c r="AI34" i="8"/>
  <c r="F198" i="11"/>
  <c r="V32" i="9"/>
  <c r="F201" i="11" s="1"/>
  <c r="P32" i="9" l="1"/>
  <c r="S32" i="9" s="1"/>
  <c r="C26" i="9"/>
  <c r="BL46" i="1"/>
  <c r="BP45" i="1"/>
  <c r="AM31" i="8"/>
  <c r="AM32" i="8"/>
  <c r="AM33" i="8"/>
  <c r="AJ33" i="8" s="1"/>
  <c r="AF34" i="8"/>
  <c r="AM34" i="8"/>
  <c r="AQ34" i="8" s="1"/>
  <c r="I26" i="9"/>
  <c r="U32" i="9" l="1"/>
  <c r="F200" i="11" s="1"/>
  <c r="F196" i="11"/>
  <c r="H26" i="9"/>
  <c r="F26" i="9"/>
  <c r="BP46" i="1"/>
  <c r="BT45" i="1"/>
  <c r="AJ31" i="8"/>
  <c r="AQ31" i="8"/>
  <c r="AQ32" i="8"/>
  <c r="AJ32" i="8"/>
  <c r="AJ34" i="8"/>
  <c r="AQ33" i="8"/>
  <c r="AN33" i="8" s="1"/>
  <c r="W32" i="9"/>
  <c r="F202" i="11" s="1"/>
  <c r="T32" i="9"/>
  <c r="F199" i="11" s="1"/>
  <c r="Y32" i="9"/>
  <c r="F204" i="11" s="1"/>
  <c r="AU34" i="8"/>
  <c r="AN34" i="8"/>
  <c r="X32" i="9"/>
  <c r="F203" i="11" s="1"/>
  <c r="C17" i="19"/>
  <c r="C15" i="19"/>
  <c r="C14" i="19"/>
  <c r="D50" i="4"/>
  <c r="D79" i="11"/>
  <c r="D121" i="11"/>
  <c r="C10" i="19"/>
  <c r="C29" i="3"/>
  <c r="E50" i="18"/>
  <c r="B39" i="18"/>
  <c r="K26" i="9" l="1"/>
  <c r="G26" i="9"/>
  <c r="L26" i="9"/>
  <c r="J26" i="9"/>
  <c r="BW45" i="1"/>
  <c r="BT46" i="1"/>
  <c r="BW46" i="1" s="1"/>
  <c r="AU32" i="8"/>
  <c r="AY32" i="8" s="1"/>
  <c r="AN32" i="8"/>
  <c r="AU31" i="8"/>
  <c r="AN31" i="8"/>
  <c r="AU33" i="8"/>
  <c r="F205" i="11"/>
  <c r="Z32" i="9"/>
  <c r="AR34" i="8"/>
  <c r="AY34" i="8"/>
  <c r="AR32" i="8"/>
  <c r="BI11" i="15"/>
  <c r="BO37" i="8"/>
  <c r="BK37" i="8"/>
  <c r="BG37" i="8"/>
  <c r="BC37" i="8"/>
  <c r="AY37" i="8"/>
  <c r="AU37" i="8"/>
  <c r="AQ37" i="8"/>
  <c r="AM37" i="8"/>
  <c r="AI37" i="8"/>
  <c r="AE37" i="8"/>
  <c r="AA49" i="8"/>
  <c r="AA44" i="8"/>
  <c r="AA37" i="8"/>
  <c r="AA34" i="8"/>
  <c r="AA33" i="8"/>
  <c r="AA32" i="8"/>
  <c r="AA31" i="8"/>
  <c r="AA27" i="8"/>
  <c r="AA26" i="8"/>
  <c r="AA25" i="8"/>
  <c r="AA24" i="8"/>
  <c r="AA21" i="8"/>
  <c r="AA20" i="8"/>
  <c r="AA19" i="8"/>
  <c r="AA18" i="8"/>
  <c r="B9" i="8"/>
  <c r="D9" i="8"/>
  <c r="F9" i="8"/>
  <c r="H9" i="8"/>
  <c r="J9" i="8"/>
  <c r="L9" i="8"/>
  <c r="N9" i="8"/>
  <c r="P9" i="8"/>
  <c r="R9" i="8"/>
  <c r="T9" i="8"/>
  <c r="BP9" i="8"/>
  <c r="BL9" i="8"/>
  <c r="BH9" i="8"/>
  <c r="BD9" i="8"/>
  <c r="AZ9" i="8"/>
  <c r="AV9" i="8"/>
  <c r="AR9" i="8"/>
  <c r="AN9" i="8"/>
  <c r="AJ9" i="8"/>
  <c r="AF9" i="8"/>
  <c r="AB9" i="8"/>
  <c r="X9" i="8"/>
  <c r="Y26" i="8"/>
  <c r="AC26" i="8"/>
  <c r="AG26" i="8" s="1"/>
  <c r="AK26" i="8" s="1"/>
  <c r="AO26" i="8" s="1"/>
  <c r="AS26" i="8" s="1"/>
  <c r="AW26" i="8" s="1"/>
  <c r="BA26" i="8" s="1"/>
  <c r="BE26" i="8" s="1"/>
  <c r="BI26" i="8" s="1"/>
  <c r="BM26" i="8" s="1"/>
  <c r="BQ26" i="8" s="1"/>
  <c r="P31" i="15" l="1"/>
  <c r="BC11" i="15"/>
  <c r="BK11" i="15"/>
  <c r="BA11" i="15"/>
  <c r="M26" i="9"/>
  <c r="Q31" i="15"/>
  <c r="P40" i="9"/>
  <c r="AY33" i="8"/>
  <c r="AR33" i="8"/>
  <c r="AY31" i="8"/>
  <c r="AR31" i="8"/>
  <c r="BH11" i="15"/>
  <c r="BF11" i="15"/>
  <c r="D41" i="9"/>
  <c r="BJ11" i="15"/>
  <c r="BB11" i="15"/>
  <c r="BE11" i="15"/>
  <c r="AZ11" i="15"/>
  <c r="BC34" i="8"/>
  <c r="AV34" i="8"/>
  <c r="BC32" i="8"/>
  <c r="AV32" i="8"/>
  <c r="BD11" i="15"/>
  <c r="R31" i="15"/>
  <c r="BG11" i="15"/>
  <c r="AB44" i="8"/>
  <c r="AE44" i="8" s="1"/>
  <c r="AF44" i="8" s="1"/>
  <c r="AI44" i="8" s="1"/>
  <c r="AM44" i="8" s="1"/>
  <c r="AN44" i="8" s="1"/>
  <c r="AQ44" i="8" s="1"/>
  <c r="AR44" i="8" s="1"/>
  <c r="AU44" i="8" s="1"/>
  <c r="AV44" i="8" s="1"/>
  <c r="AY44" i="8" s="1"/>
  <c r="AZ44" i="8" s="1"/>
  <c r="BC44" i="8" s="1"/>
  <c r="AF35" i="8"/>
  <c r="AI35" i="8" s="1"/>
  <c r="C9" i="19"/>
  <c r="D16" i="19"/>
  <c r="F16" i="19" s="1"/>
  <c r="AG25" i="1" s="1"/>
  <c r="BC33" i="8" l="1"/>
  <c r="AV33" i="8"/>
  <c r="BC31" i="8"/>
  <c r="AV31" i="8"/>
  <c r="BG31" i="8"/>
  <c r="AZ31" i="8"/>
  <c r="BG33" i="8"/>
  <c r="AZ33" i="8"/>
  <c r="BG34" i="8"/>
  <c r="AZ34" i="8"/>
  <c r="AZ32" i="8"/>
  <c r="BG32" i="8"/>
  <c r="BD44" i="8"/>
  <c r="BG44" i="8" s="1"/>
  <c r="BH44" i="8" s="1"/>
  <c r="BK44" i="8" s="1"/>
  <c r="BL44" i="8" s="1"/>
  <c r="BO44" i="8" s="1"/>
  <c r="BP44" i="8" s="1"/>
  <c r="AJ35" i="8"/>
  <c r="AM35" i="8" s="1"/>
  <c r="AK25" i="1"/>
  <c r="E163" i="11"/>
  <c r="AO25" i="1" l="1"/>
  <c r="AS25" i="1" s="1"/>
  <c r="AW25" i="1" s="1"/>
  <c r="BA25" i="1" s="1"/>
  <c r="BE25" i="1" s="1"/>
  <c r="BI25" i="1" s="1"/>
  <c r="BM25" i="1" s="1"/>
  <c r="BQ25" i="1" s="1"/>
  <c r="BU25" i="1" s="1"/>
  <c r="BD31" i="8"/>
  <c r="BK31" i="8"/>
  <c r="BD33" i="8"/>
  <c r="BK33" i="8"/>
  <c r="BD34" i="8"/>
  <c r="BK34" i="8"/>
  <c r="BD32" i="8"/>
  <c r="BK32" i="8"/>
  <c r="BS44" i="8"/>
  <c r="AN35" i="8"/>
  <c r="AQ35" i="8" s="1"/>
  <c r="AI45" i="1"/>
  <c r="BH31" i="8" l="1"/>
  <c r="BO31" i="8"/>
  <c r="BO33" i="8"/>
  <c r="BH33" i="8"/>
  <c r="BO34" i="8"/>
  <c r="BH34" i="8"/>
  <c r="BH32" i="8"/>
  <c r="BO32" i="8"/>
  <c r="AR35" i="8"/>
  <c r="AU35" i="8" s="1"/>
  <c r="AI46" i="1"/>
  <c r="BS31" i="8" l="1"/>
  <c r="BP31" i="8" s="1"/>
  <c r="BL31" i="8"/>
  <c r="BL33" i="8"/>
  <c r="BS33" i="8"/>
  <c r="BP33" i="8" s="1"/>
  <c r="BS34" i="8"/>
  <c r="BP34" i="8" s="1"/>
  <c r="BL34" i="8"/>
  <c r="BL32" i="8"/>
  <c r="BS32" i="8"/>
  <c r="BP32" i="8" s="1"/>
  <c r="Y27" i="8"/>
  <c r="Y25" i="8"/>
  <c r="Y24" i="8"/>
  <c r="W27" i="8"/>
  <c r="W26" i="8"/>
  <c r="W25" i="8"/>
  <c r="W24" i="8"/>
  <c r="U27" i="8"/>
  <c r="U26" i="8"/>
  <c r="U25" i="8"/>
  <c r="U24" i="8"/>
  <c r="S27" i="8"/>
  <c r="S26" i="8"/>
  <c r="S25" i="8"/>
  <c r="S24" i="8"/>
  <c r="Q27" i="8"/>
  <c r="Q26" i="8"/>
  <c r="Q25" i="8"/>
  <c r="Q24" i="8"/>
  <c r="O27" i="8"/>
  <c r="O26" i="8"/>
  <c r="O25" i="8"/>
  <c r="O24" i="8"/>
  <c r="M27" i="8"/>
  <c r="M26" i="8"/>
  <c r="M25" i="8"/>
  <c r="M24" i="8"/>
  <c r="K27" i="8"/>
  <c r="K26" i="8"/>
  <c r="K25" i="8"/>
  <c r="K24" i="8"/>
  <c r="I27" i="8"/>
  <c r="I26" i="8"/>
  <c r="I25" i="8"/>
  <c r="I24" i="8"/>
  <c r="G27" i="8"/>
  <c r="G26" i="8"/>
  <c r="G25" i="8"/>
  <c r="G24" i="8"/>
  <c r="E27" i="8"/>
  <c r="E26" i="8"/>
  <c r="E25" i="8"/>
  <c r="E24" i="8"/>
  <c r="C25" i="8"/>
  <c r="C26" i="8"/>
  <c r="C27" i="8"/>
  <c r="C24" i="8"/>
  <c r="AV35" i="8" l="1"/>
  <c r="AY35" i="8" s="1"/>
  <c r="AC24" i="8"/>
  <c r="D14" i="19"/>
  <c r="F14" i="19" s="1"/>
  <c r="D15" i="19"/>
  <c r="AC27" i="8"/>
  <c r="AG27" i="8" s="1"/>
  <c r="AK27" i="8" s="1"/>
  <c r="AO27" i="8" s="1"/>
  <c r="AS27" i="8" s="1"/>
  <c r="AW27" i="8" s="1"/>
  <c r="BA27" i="8" s="1"/>
  <c r="BE27" i="8" s="1"/>
  <c r="BI27" i="8" s="1"/>
  <c r="BM27" i="8" s="1"/>
  <c r="BQ27" i="8" s="1"/>
  <c r="D17" i="19"/>
  <c r="F17" i="19" s="1"/>
  <c r="AG26" i="1" s="1"/>
  <c r="AK26" i="1" s="1"/>
  <c r="P80" i="17"/>
  <c r="R80" i="17"/>
  <c r="T80" i="17"/>
  <c r="V80" i="17"/>
  <c r="X80" i="17"/>
  <c r="P82" i="17"/>
  <c r="P84" i="17" s="1"/>
  <c r="R82" i="17"/>
  <c r="R84" i="17" s="1"/>
  <c r="T82" i="17"/>
  <c r="T84" i="17" s="1"/>
  <c r="V82" i="17"/>
  <c r="V84" i="17" s="1"/>
  <c r="X82" i="17"/>
  <c r="X84" i="17" s="1"/>
  <c r="L80" i="17"/>
  <c r="N80" i="17"/>
  <c r="L82" i="17"/>
  <c r="N82" i="17"/>
  <c r="L84" i="17"/>
  <c r="N84" i="17"/>
  <c r="J80" i="17"/>
  <c r="J82" i="17"/>
  <c r="J84" i="17" s="1"/>
  <c r="H80" i="17"/>
  <c r="H82" i="17"/>
  <c r="H84" i="17" s="1"/>
  <c r="F80" i="17"/>
  <c r="F86" i="17" s="1"/>
  <c r="Y70" i="17"/>
  <c r="X70" i="17"/>
  <c r="Y66" i="17"/>
  <c r="X66" i="17"/>
  <c r="W70" i="17"/>
  <c r="V70" i="17"/>
  <c r="W66" i="17"/>
  <c r="V66" i="17"/>
  <c r="U70" i="17"/>
  <c r="T70" i="17"/>
  <c r="U66" i="17"/>
  <c r="T66" i="17"/>
  <c r="S70" i="17"/>
  <c r="R70" i="17"/>
  <c r="S66" i="17"/>
  <c r="R66" i="17"/>
  <c r="Q70" i="17"/>
  <c r="P70" i="17"/>
  <c r="Q66" i="17"/>
  <c r="P66" i="17"/>
  <c r="O70" i="17"/>
  <c r="N70" i="17"/>
  <c r="O66" i="17"/>
  <c r="N66" i="17"/>
  <c r="M70" i="17"/>
  <c r="L70" i="17"/>
  <c r="M66" i="17"/>
  <c r="L66" i="17"/>
  <c r="K70" i="17"/>
  <c r="J70" i="17"/>
  <c r="K66" i="17"/>
  <c r="J66" i="17"/>
  <c r="I70" i="17"/>
  <c r="I66" i="17"/>
  <c r="I72" i="17" s="1"/>
  <c r="H66" i="17"/>
  <c r="H72" i="17" s="1"/>
  <c r="G66" i="17"/>
  <c r="R52" i="17"/>
  <c r="T52" i="17"/>
  <c r="V52" i="17"/>
  <c r="X52" i="17"/>
  <c r="R56" i="17"/>
  <c r="T56" i="17"/>
  <c r="V56" i="17"/>
  <c r="X56" i="17"/>
  <c r="N52" i="17"/>
  <c r="P52" i="17"/>
  <c r="N56" i="17"/>
  <c r="P56" i="17"/>
  <c r="L56" i="17"/>
  <c r="L52" i="17"/>
  <c r="J56" i="17"/>
  <c r="J52" i="17"/>
  <c r="H52" i="17"/>
  <c r="H56" i="17"/>
  <c r="P42" i="17"/>
  <c r="R42" i="17"/>
  <c r="T42" i="17"/>
  <c r="V42" i="17"/>
  <c r="X42" i="17"/>
  <c r="L42" i="17"/>
  <c r="N42" i="17"/>
  <c r="J42" i="17"/>
  <c r="B3" i="17"/>
  <c r="Y24" i="17"/>
  <c r="X24" i="17"/>
  <c r="W24" i="17"/>
  <c r="V24" i="17"/>
  <c r="U24" i="17"/>
  <c r="T24" i="17"/>
  <c r="S24" i="17"/>
  <c r="R24" i="17"/>
  <c r="Q24" i="17"/>
  <c r="P24" i="17"/>
  <c r="O24" i="17"/>
  <c r="N24" i="17"/>
  <c r="M24" i="17"/>
  <c r="L24" i="17"/>
  <c r="K24" i="17"/>
  <c r="J24" i="17"/>
  <c r="H24" i="17"/>
  <c r="I24" i="17"/>
  <c r="F82" i="17"/>
  <c r="E59" i="17" l="1"/>
  <c r="E45" i="17"/>
  <c r="F45" i="17" s="1"/>
  <c r="E31" i="17"/>
  <c r="E87" i="17"/>
  <c r="E16" i="17"/>
  <c r="E73" i="17"/>
  <c r="I73" i="17" s="1"/>
  <c r="AO26" i="1"/>
  <c r="AS26" i="1" s="1"/>
  <c r="AW26" i="1" s="1"/>
  <c r="BA26" i="1" s="1"/>
  <c r="BE26" i="1" s="1"/>
  <c r="BI26" i="1" s="1"/>
  <c r="BM26" i="1" s="1"/>
  <c r="BQ26" i="1" s="1"/>
  <c r="BU26" i="1" s="1"/>
  <c r="M71" i="17"/>
  <c r="M72" i="17" s="1"/>
  <c r="K72" i="17"/>
  <c r="AZ35" i="8"/>
  <c r="BC35" i="8" s="1"/>
  <c r="AG23" i="1"/>
  <c r="AK23" i="1" s="1"/>
  <c r="H73" i="17"/>
  <c r="F87" i="17"/>
  <c r="F88" i="17" s="1"/>
  <c r="H57" i="17"/>
  <c r="H58" i="17" s="1"/>
  <c r="I29" i="17"/>
  <c r="K29" i="17" s="1"/>
  <c r="M29" i="17" s="1"/>
  <c r="O29" i="17" s="1"/>
  <c r="Q29" i="17" s="1"/>
  <c r="S29" i="17" s="1"/>
  <c r="U29" i="17" s="1"/>
  <c r="W29" i="17" s="1"/>
  <c r="Y29" i="17" s="1"/>
  <c r="AA29" i="17" s="1"/>
  <c r="H85" i="17"/>
  <c r="H86" i="17" s="1"/>
  <c r="H43" i="17"/>
  <c r="H44" i="17" s="1"/>
  <c r="J72" i="17"/>
  <c r="H42" i="17"/>
  <c r="H29" i="17"/>
  <c r="J29" i="17" s="1"/>
  <c r="L29" i="17" s="1"/>
  <c r="N29" i="17" s="1"/>
  <c r="P29" i="17" s="1"/>
  <c r="R29" i="17" s="1"/>
  <c r="T29" i="17" s="1"/>
  <c r="V29" i="17" s="1"/>
  <c r="X29" i="17" s="1"/>
  <c r="Z29" i="17" s="1"/>
  <c r="F42" i="17"/>
  <c r="AJ54" i="17"/>
  <c r="AJ53" i="17"/>
  <c r="G24" i="12"/>
  <c r="H24" i="12"/>
  <c r="F24" i="12"/>
  <c r="C22" i="3"/>
  <c r="C23" i="3"/>
  <c r="C24" i="3"/>
  <c r="C25" i="3"/>
  <c r="C26" i="3"/>
  <c r="C27" i="3"/>
  <c r="C28" i="3"/>
  <c r="C30" i="3"/>
  <c r="C31" i="3"/>
  <c r="C32" i="3"/>
  <c r="C21" i="3"/>
  <c r="K20" i="3" s="1"/>
  <c r="K25" i="3" s="1"/>
  <c r="B51" i="3"/>
  <c r="C51" i="3"/>
  <c r="B41" i="3"/>
  <c r="B42" i="3"/>
  <c r="B43" i="3"/>
  <c r="B44" i="3"/>
  <c r="B45" i="3"/>
  <c r="B46" i="3"/>
  <c r="B47" i="3"/>
  <c r="B48" i="3"/>
  <c r="B49" i="3"/>
  <c r="B50" i="3"/>
  <c r="B40" i="3"/>
  <c r="C41" i="3"/>
  <c r="C42" i="3"/>
  <c r="C43" i="3"/>
  <c r="C44" i="3"/>
  <c r="C45" i="3"/>
  <c r="C46" i="3"/>
  <c r="C47" i="3"/>
  <c r="C48" i="3"/>
  <c r="C49" i="3"/>
  <c r="C50" i="3"/>
  <c r="C40" i="3"/>
  <c r="M56" i="9"/>
  <c r="L56" i="9"/>
  <c r="L248" i="9"/>
  <c r="L126" i="9"/>
  <c r="L72" i="9"/>
  <c r="F52" i="17"/>
  <c r="F58" i="17" s="1"/>
  <c r="F24" i="17"/>
  <c r="G24" i="17"/>
  <c r="F66" i="17"/>
  <c r="G72" i="17"/>
  <c r="AL36" i="15"/>
  <c r="AM36" i="15"/>
  <c r="H87" i="17" l="1"/>
  <c r="M73" i="17"/>
  <c r="K73" i="17"/>
  <c r="H59" i="17"/>
  <c r="H45" i="17"/>
  <c r="J73" i="17"/>
  <c r="P7" i="21"/>
  <c r="B4" i="1"/>
  <c r="F50" i="3"/>
  <c r="O71" i="17"/>
  <c r="BD35" i="8"/>
  <c r="BG35" i="8" s="1"/>
  <c r="AO23" i="1"/>
  <c r="AS23" i="1" s="1"/>
  <c r="AW23" i="1" s="1"/>
  <c r="G73" i="17"/>
  <c r="G74" i="17" s="1"/>
  <c r="Z27" i="17"/>
  <c r="F59" i="17"/>
  <c r="F60" i="17" s="1"/>
  <c r="C52" i="3"/>
  <c r="J57" i="17"/>
  <c r="J85" i="17"/>
  <c r="J86" i="17" s="1"/>
  <c r="J87" i="17" s="1"/>
  <c r="J43" i="17"/>
  <c r="J44" i="17" s="1"/>
  <c r="J45" i="17" s="1"/>
  <c r="L71" i="17"/>
  <c r="L72" i="17" s="1"/>
  <c r="L73" i="17" s="1"/>
  <c r="H74" i="17"/>
  <c r="T27" i="17"/>
  <c r="T30" i="17" s="1"/>
  <c r="T31" i="17" s="1"/>
  <c r="L27" i="17"/>
  <c r="L30" i="17" s="1"/>
  <c r="L31" i="17" s="1"/>
  <c r="F30" i="17"/>
  <c r="V27" i="17"/>
  <c r="V30" i="17" s="1"/>
  <c r="V31" i="17" s="1"/>
  <c r="N27" i="17"/>
  <c r="N30" i="17" s="1"/>
  <c r="N31" i="17" s="1"/>
  <c r="J27" i="17"/>
  <c r="J30" i="17" s="1"/>
  <c r="J31" i="17" s="1"/>
  <c r="X27" i="17"/>
  <c r="X30" i="17" s="1"/>
  <c r="X31" i="17" s="1"/>
  <c r="P27" i="17"/>
  <c r="P30" i="17" s="1"/>
  <c r="P31" i="17" s="1"/>
  <c r="R27" i="17"/>
  <c r="R30" i="17" s="1"/>
  <c r="R31" i="17" s="1"/>
  <c r="H30" i="17"/>
  <c r="H31" i="17" s="1"/>
  <c r="AJ52" i="17"/>
  <c r="F72" i="17"/>
  <c r="O72" i="17" l="1"/>
  <c r="O73" i="17" s="1"/>
  <c r="Q71" i="17"/>
  <c r="Q72" i="17" s="1"/>
  <c r="Q73" i="17" s="1"/>
  <c r="B56" i="8"/>
  <c r="B57" i="8" s="1"/>
  <c r="B60" i="1"/>
  <c r="B61" i="1" s="1"/>
  <c r="B62" i="1" s="1"/>
  <c r="B5" i="1"/>
  <c r="AB10" i="1" s="1"/>
  <c r="P8" i="21"/>
  <c r="B5" i="8"/>
  <c r="L57" i="17"/>
  <c r="L58" i="17" s="1"/>
  <c r="L59" i="17" s="1"/>
  <c r="J58" i="17"/>
  <c r="J59" i="17" s="1"/>
  <c r="Z28" i="17"/>
  <c r="Z30" i="17"/>
  <c r="BA23" i="1"/>
  <c r="AA27" i="17"/>
  <c r="F31" i="17"/>
  <c r="F32" i="17" s="1"/>
  <c r="L85" i="17"/>
  <c r="L86" i="17" s="1"/>
  <c r="L87" i="17" s="1"/>
  <c r="L43" i="17"/>
  <c r="L44" i="17" s="1"/>
  <c r="L45" i="17" s="1"/>
  <c r="N71" i="17"/>
  <c r="N72" i="17" s="1"/>
  <c r="N73" i="17" s="1"/>
  <c r="F73" i="17"/>
  <c r="F74" i="17" s="1"/>
  <c r="P28" i="17"/>
  <c r="X28" i="17"/>
  <c r="W27" i="17"/>
  <c r="W30" i="17" s="1"/>
  <c r="W31" i="17" s="1"/>
  <c r="O27" i="17"/>
  <c r="O30" i="17" s="1"/>
  <c r="O31" i="17" s="1"/>
  <c r="K27" i="17"/>
  <c r="K30" i="17" s="1"/>
  <c r="K31" i="17" s="1"/>
  <c r="I30" i="17"/>
  <c r="I31" i="17" s="1"/>
  <c r="Q27" i="17"/>
  <c r="Q30" i="17" s="1"/>
  <c r="Q31" i="17" s="1"/>
  <c r="Y27" i="17"/>
  <c r="Y30" i="17" s="1"/>
  <c r="Y31" i="17" s="1"/>
  <c r="U27" i="17"/>
  <c r="U30" i="17" s="1"/>
  <c r="U31" i="17" s="1"/>
  <c r="M27" i="17"/>
  <c r="M30" i="17" s="1"/>
  <c r="M31" i="17" s="1"/>
  <c r="S27" i="17"/>
  <c r="S30" i="17" s="1"/>
  <c r="S31" i="17" s="1"/>
  <c r="V28" i="17"/>
  <c r="H28" i="17"/>
  <c r="L28" i="17"/>
  <c r="J28" i="17"/>
  <c r="N28" i="17"/>
  <c r="R28" i="17"/>
  <c r="T28" i="17"/>
  <c r="S71" i="17" l="1"/>
  <c r="S72" i="17" s="1"/>
  <c r="S73" i="17" s="1"/>
  <c r="C19" i="21"/>
  <c r="AF10" i="1"/>
  <c r="AJ10" i="1" s="1"/>
  <c r="AN10" i="1" s="1"/>
  <c r="AR10" i="1" s="1"/>
  <c r="AV10" i="1" s="1"/>
  <c r="AB9" i="1"/>
  <c r="N57" i="17"/>
  <c r="BH35" i="8"/>
  <c r="BK35" i="8" s="1"/>
  <c r="AA28" i="17"/>
  <c r="AA30" i="17"/>
  <c r="G28" i="17"/>
  <c r="G30" i="17"/>
  <c r="Z31" i="17"/>
  <c r="Z32" i="17" s="1"/>
  <c r="BE23" i="1"/>
  <c r="N85" i="17"/>
  <c r="N86" i="17" s="1"/>
  <c r="N87" i="17" s="1"/>
  <c r="N43" i="17"/>
  <c r="N44" i="17" s="1"/>
  <c r="N45" i="17" s="1"/>
  <c r="U71" i="17"/>
  <c r="U72" i="17" s="1"/>
  <c r="U73" i="17" s="1"/>
  <c r="P71" i="17"/>
  <c r="P72" i="17" s="1"/>
  <c r="P73" i="17" s="1"/>
  <c r="I28" i="17"/>
  <c r="K28" i="17"/>
  <c r="O28" i="17"/>
  <c r="S28" i="17"/>
  <c r="W28" i="17"/>
  <c r="M28" i="17"/>
  <c r="U28" i="17"/>
  <c r="Y28" i="17"/>
  <c r="Q28" i="17"/>
  <c r="C8" i="21" l="1"/>
  <c r="AB18" i="1"/>
  <c r="AB20" i="1"/>
  <c r="N58" i="17"/>
  <c r="N59" i="17" s="1"/>
  <c r="P57" i="17"/>
  <c r="AA31" i="17"/>
  <c r="AA32" i="17" s="1"/>
  <c r="BI23" i="1"/>
  <c r="P85" i="17"/>
  <c r="P86" i="17" s="1"/>
  <c r="P87" i="17" s="1"/>
  <c r="P43" i="17"/>
  <c r="P44" i="17" s="1"/>
  <c r="P45" i="17" s="1"/>
  <c r="G31" i="17"/>
  <c r="W71" i="17"/>
  <c r="W72" i="17" s="1"/>
  <c r="W73" i="17" s="1"/>
  <c r="R71" i="17"/>
  <c r="R72" i="17" s="1"/>
  <c r="R73" i="17" s="1"/>
  <c r="D27" i="1"/>
  <c r="F27" i="1"/>
  <c r="H27" i="1"/>
  <c r="J27" i="1"/>
  <c r="L27" i="1"/>
  <c r="N27" i="1"/>
  <c r="Y26" i="1"/>
  <c r="AC26" i="1" s="1"/>
  <c r="Y25" i="1"/>
  <c r="AC25" i="1" s="1"/>
  <c r="Y24" i="1"/>
  <c r="AC24" i="1" s="1"/>
  <c r="Y23" i="1"/>
  <c r="AC23" i="1" s="1"/>
  <c r="W26" i="1"/>
  <c r="W25" i="1"/>
  <c r="W24" i="1"/>
  <c r="W23" i="1"/>
  <c r="U26" i="1"/>
  <c r="U25" i="1"/>
  <c r="U24" i="1"/>
  <c r="U23" i="1"/>
  <c r="S26" i="1"/>
  <c r="S25" i="1"/>
  <c r="S24" i="1"/>
  <c r="S23" i="1"/>
  <c r="Q26" i="1"/>
  <c r="Q25" i="1"/>
  <c r="Q24" i="1"/>
  <c r="Q23" i="1"/>
  <c r="O26" i="1"/>
  <c r="O25" i="1"/>
  <c r="O24" i="1"/>
  <c r="O23" i="1"/>
  <c r="M26" i="1"/>
  <c r="M25" i="1"/>
  <c r="M24" i="1"/>
  <c r="M23" i="1"/>
  <c r="K26" i="1"/>
  <c r="K25" i="1"/>
  <c r="K24" i="1"/>
  <c r="K23" i="1"/>
  <c r="I26" i="1"/>
  <c r="I25" i="1"/>
  <c r="I24" i="1"/>
  <c r="I23" i="1"/>
  <c r="G26" i="1"/>
  <c r="G25" i="1"/>
  <c r="G24" i="1"/>
  <c r="G23" i="1"/>
  <c r="E26" i="1"/>
  <c r="E25" i="1"/>
  <c r="E24" i="1"/>
  <c r="E23" i="1"/>
  <c r="C26" i="1"/>
  <c r="C25" i="1"/>
  <c r="C24" i="1"/>
  <c r="C23" i="1"/>
  <c r="D8" i="1"/>
  <c r="D9" i="1" s="1"/>
  <c r="F8" i="1"/>
  <c r="F9" i="1" s="1"/>
  <c r="H8" i="1"/>
  <c r="H9" i="1" s="1"/>
  <c r="J8" i="1"/>
  <c r="J9" i="1" s="1"/>
  <c r="L8" i="1"/>
  <c r="L9" i="1" s="1"/>
  <c r="N8" i="1"/>
  <c r="N9" i="1" s="1"/>
  <c r="B8" i="1"/>
  <c r="AA24" i="1"/>
  <c r="AA25" i="1"/>
  <c r="AA26" i="1"/>
  <c r="AA23" i="1"/>
  <c r="P58" i="17" l="1"/>
  <c r="R57" i="17"/>
  <c r="BL35" i="8"/>
  <c r="BO35" i="8" s="1"/>
  <c r="BM23" i="1"/>
  <c r="P88" i="17"/>
  <c r="R85" i="17"/>
  <c r="R86" i="17" s="1"/>
  <c r="R87" i="17" s="1"/>
  <c r="P46" i="17"/>
  <c r="R43" i="17"/>
  <c r="R44" i="17" s="1"/>
  <c r="R45" i="17" s="1"/>
  <c r="N74" i="17"/>
  <c r="O74" i="17"/>
  <c r="T32" i="17"/>
  <c r="N32" i="17"/>
  <c r="H32" i="17"/>
  <c r="J60" i="17"/>
  <c r="U32" i="17"/>
  <c r="O32" i="17"/>
  <c r="Q74" i="17"/>
  <c r="I74" i="17"/>
  <c r="L60" i="17"/>
  <c r="V32" i="17"/>
  <c r="P32" i="17"/>
  <c r="L46" i="17"/>
  <c r="R32" i="17"/>
  <c r="H14" i="17"/>
  <c r="I32" i="17"/>
  <c r="S74" i="17"/>
  <c r="J74" i="17"/>
  <c r="N60" i="17"/>
  <c r="N46" i="17"/>
  <c r="W32" i="17"/>
  <c r="Q32" i="17"/>
  <c r="H60" i="17"/>
  <c r="X32" i="17"/>
  <c r="M32" i="17"/>
  <c r="U74" i="17"/>
  <c r="H46" i="17"/>
  <c r="J46" i="17"/>
  <c r="Y32" i="17"/>
  <c r="K32" i="17"/>
  <c r="L32" i="17"/>
  <c r="J32" i="17"/>
  <c r="S32" i="17"/>
  <c r="K74" i="17"/>
  <c r="M74" i="17"/>
  <c r="L74" i="17"/>
  <c r="H88" i="17"/>
  <c r="J88" i="17"/>
  <c r="L88" i="17"/>
  <c r="N88" i="17"/>
  <c r="G32" i="17"/>
  <c r="Y71" i="17"/>
  <c r="Y72" i="17" s="1"/>
  <c r="Y73" i="17" s="1"/>
  <c r="T71" i="17"/>
  <c r="T72" i="17" s="1"/>
  <c r="T73" i="17" s="1"/>
  <c r="P59" i="17" l="1"/>
  <c r="P60" i="17"/>
  <c r="R58" i="17"/>
  <c r="T57" i="17"/>
  <c r="BP35" i="8"/>
  <c r="BQ23" i="1"/>
  <c r="AA71" i="17"/>
  <c r="AA72" i="17" s="1"/>
  <c r="R88" i="17"/>
  <c r="T85" i="17"/>
  <c r="T86" i="17" s="1"/>
  <c r="T87" i="17" s="1"/>
  <c r="T43" i="17"/>
  <c r="T44" i="17" s="1"/>
  <c r="T45" i="17" s="1"/>
  <c r="R46" i="17"/>
  <c r="W74" i="17"/>
  <c r="J14" i="17"/>
  <c r="P74" i="17"/>
  <c r="V71" i="17"/>
  <c r="V72" i="17" s="1"/>
  <c r="V73" i="17" s="1"/>
  <c r="T58" i="17" l="1"/>
  <c r="V57" i="17"/>
  <c r="V58" i="17" s="1"/>
  <c r="V59" i="17" s="1"/>
  <c r="R59" i="17"/>
  <c r="R60" i="17" s="1"/>
  <c r="AA73" i="17"/>
  <c r="AA74" i="17" s="1"/>
  <c r="BS35" i="8"/>
  <c r="BU23" i="1"/>
  <c r="Y74" i="17"/>
  <c r="T88" i="17"/>
  <c r="V85" i="17"/>
  <c r="V86" i="17" s="1"/>
  <c r="V87" i="17" s="1"/>
  <c r="X57" i="17"/>
  <c r="X58" i="17" s="1"/>
  <c r="X59" i="17" s="1"/>
  <c r="V43" i="17"/>
  <c r="V44" i="17" s="1"/>
  <c r="V45" i="17" s="1"/>
  <c r="T46" i="17"/>
  <c r="L14" i="17"/>
  <c r="N14" i="17" s="1"/>
  <c r="P14" i="17" s="1"/>
  <c r="R14" i="17" s="1"/>
  <c r="T14" i="17" s="1"/>
  <c r="V14" i="17" s="1"/>
  <c r="X14" i="17" s="1"/>
  <c r="Z14" i="17" s="1"/>
  <c r="R74" i="17"/>
  <c r="X71" i="17"/>
  <c r="X72" i="17" s="1"/>
  <c r="X73" i="17" s="1"/>
  <c r="T74" i="17"/>
  <c r="T59" i="17" l="1"/>
  <c r="T60" i="17" s="1"/>
  <c r="X60" i="17"/>
  <c r="Z57" i="17"/>
  <c r="Z58" i="17" s="1"/>
  <c r="Z71" i="17"/>
  <c r="Z72" i="17" s="1"/>
  <c r="AU46" i="1"/>
  <c r="AU45" i="1"/>
  <c r="V88" i="17"/>
  <c r="X85" i="17"/>
  <c r="X86" i="17" s="1"/>
  <c r="X87" i="17" s="1"/>
  <c r="V60" i="17"/>
  <c r="X43" i="17"/>
  <c r="X44" i="17" s="1"/>
  <c r="X45" i="17" s="1"/>
  <c r="V74" i="17"/>
  <c r="Z73" i="17" l="1"/>
  <c r="Z74" i="17" s="1"/>
  <c r="Z59" i="17"/>
  <c r="Z60" i="17" s="1"/>
  <c r="X74" i="17"/>
  <c r="X46" i="17"/>
  <c r="Z43" i="17"/>
  <c r="Z44" i="17" s="1"/>
  <c r="Z45" i="17" s="1"/>
  <c r="X88" i="17"/>
  <c r="Z85" i="17"/>
  <c r="Z86" i="17" s="1"/>
  <c r="AY46" i="1"/>
  <c r="AY45" i="1"/>
  <c r="V46" i="17"/>
  <c r="BP8" i="1"/>
  <c r="BO22" i="1"/>
  <c r="BO29" i="1"/>
  <c r="BK22" i="1"/>
  <c r="BK29" i="1"/>
  <c r="BG22" i="1"/>
  <c r="BG29" i="1"/>
  <c r="BC22" i="1"/>
  <c r="BC29" i="1"/>
  <c r="AY22" i="1"/>
  <c r="AY29" i="1"/>
  <c r="AU22" i="1"/>
  <c r="AU29" i="1"/>
  <c r="AQ22" i="1"/>
  <c r="AQ29" i="1"/>
  <c r="AM22" i="1"/>
  <c r="AM29" i="1"/>
  <c r="AI22" i="1"/>
  <c r="AI29" i="1"/>
  <c r="AE29" i="1"/>
  <c r="AA29" i="1"/>
  <c r="AA31" i="1"/>
  <c r="AA33" i="1"/>
  <c r="AA34" i="1"/>
  <c r="AA37" i="1"/>
  <c r="AA42" i="1"/>
  <c r="AB42" i="1" s="1"/>
  <c r="AE42" i="1" s="1"/>
  <c r="AF42" i="1" s="1"/>
  <c r="AA48" i="1"/>
  <c r="D31" i="19" s="1"/>
  <c r="F31" i="19" s="1"/>
  <c r="AA53" i="1"/>
  <c r="AA19" i="1"/>
  <c r="AA20" i="1"/>
  <c r="AA18" i="1"/>
  <c r="AA17" i="1"/>
  <c r="BL8" i="1"/>
  <c r="AZ8" i="1"/>
  <c r="BD8" i="1"/>
  <c r="BH8" i="1"/>
  <c r="AV8" i="1"/>
  <c r="AR8" i="1"/>
  <c r="Z87" i="17" l="1"/>
  <c r="Z88" i="17" s="1"/>
  <c r="D20" i="19"/>
  <c r="F20" i="19" s="1"/>
  <c r="D22" i="19"/>
  <c r="F22" i="19" s="1"/>
  <c r="AB34" i="1"/>
  <c r="D23" i="19"/>
  <c r="F23" i="19" s="1"/>
  <c r="BC45" i="1"/>
  <c r="BC46" i="1"/>
  <c r="AB48" i="1"/>
  <c r="AA51" i="1"/>
  <c r="AM48" i="1" l="1"/>
  <c r="AJ48" i="1" s="1"/>
  <c r="AJ51" i="1" s="1"/>
  <c r="Z46" i="17"/>
  <c r="BG45" i="1"/>
  <c r="BG46" i="1"/>
  <c r="BK45" i="1"/>
  <c r="AB51" i="1"/>
  <c r="AE51" i="1" s="1"/>
  <c r="AE48" i="1"/>
  <c r="E36" i="21" l="1"/>
  <c r="R57" i="21"/>
  <c r="R37" i="21"/>
  <c r="E56" i="21"/>
  <c r="AN48" i="1"/>
  <c r="AR48" i="1" s="1"/>
  <c r="AV48" i="1" s="1"/>
  <c r="AZ48" i="1" s="1"/>
  <c r="BO45" i="1"/>
  <c r="BK46" i="1"/>
  <c r="AB8" i="1"/>
  <c r="X8" i="1"/>
  <c r="V8" i="1"/>
  <c r="T8" i="1"/>
  <c r="R8" i="1"/>
  <c r="P8" i="1"/>
  <c r="BC48" i="1" l="1"/>
  <c r="BD48" i="1"/>
  <c r="BS45" i="1"/>
  <c r="BO46" i="1"/>
  <c r="Z24" i="1"/>
  <c r="Z23" i="1"/>
  <c r="Z26" i="1"/>
  <c r="Z25" i="1"/>
  <c r="BD51" i="1" l="1"/>
  <c r="BH48" i="1"/>
  <c r="BL48" i="1" s="1"/>
  <c r="BP48" i="1" s="1"/>
  <c r="BT48" i="1" s="1"/>
  <c r="BW48" i="1" s="1"/>
  <c r="BS46" i="1"/>
  <c r="W57" i="21" l="1"/>
  <c r="W37" i="21"/>
  <c r="J36" i="21"/>
  <c r="J56" i="21"/>
  <c r="H7" i="18"/>
  <c r="N51" i="18"/>
  <c r="N50" i="18"/>
  <c r="H9" i="18" s="1"/>
  <c r="L51" i="18"/>
  <c r="K51" i="18"/>
  <c r="J51" i="18"/>
  <c r="I51" i="18"/>
  <c r="H51" i="18"/>
  <c r="G51" i="18"/>
  <c r="F51" i="18"/>
  <c r="E51" i="18"/>
  <c r="D51" i="18"/>
  <c r="H50" i="18"/>
  <c r="I50" i="18"/>
  <c r="C51" i="18"/>
  <c r="L50" i="18"/>
  <c r="K50" i="18"/>
  <c r="J50" i="18"/>
  <c r="G50" i="18"/>
  <c r="F50" i="18"/>
  <c r="D50" i="18"/>
  <c r="C50" i="18"/>
  <c r="D20" i="18"/>
  <c r="B38" i="18"/>
  <c r="D38" i="18"/>
  <c r="F38" i="18"/>
  <c r="H38" i="18"/>
  <c r="H39" i="18" s="1"/>
  <c r="J38" i="18"/>
  <c r="L38" i="18"/>
  <c r="N38" i="18"/>
  <c r="P38" i="18"/>
  <c r="R38" i="18"/>
  <c r="T38" i="18"/>
  <c r="V38" i="18"/>
  <c r="X38" i="18"/>
  <c r="AB38" i="18"/>
  <c r="AF38" i="18"/>
  <c r="AJ38" i="18"/>
  <c r="AN38" i="18"/>
  <c r="AR38" i="18"/>
  <c r="AV38" i="18"/>
  <c r="AZ38" i="18"/>
  <c r="BD38" i="18"/>
  <c r="BH38" i="18"/>
  <c r="BL38" i="18"/>
  <c r="BP38" i="18"/>
  <c r="D39" i="18"/>
  <c r="F39" i="18"/>
  <c r="J39" i="18"/>
  <c r="L39" i="18"/>
  <c r="N39" i="18"/>
  <c r="P39" i="18"/>
  <c r="R39" i="18"/>
  <c r="T39" i="18"/>
  <c r="V39" i="18"/>
  <c r="X39" i="18"/>
  <c r="C17" i="18"/>
  <c r="C18" i="18"/>
  <c r="G7" i="18"/>
  <c r="G16" i="18"/>
  <c r="G20" i="18"/>
  <c r="G19" i="18"/>
  <c r="G18" i="18"/>
  <c r="G17" i="18"/>
  <c r="C20" i="18"/>
  <c r="C21" i="18" s="1"/>
  <c r="C19" i="18"/>
  <c r="C16" i="18"/>
  <c r="I9" i="18" l="1"/>
  <c r="J9" i="18"/>
  <c r="L9" i="18"/>
  <c r="K9" i="18"/>
  <c r="M9" i="18"/>
  <c r="N9" i="18"/>
  <c r="O9" i="18"/>
  <c r="P9" i="18"/>
  <c r="Q9" i="18"/>
  <c r="R9" i="18"/>
  <c r="K14" i="18"/>
  <c r="I7" i="18"/>
  <c r="J7" i="18"/>
  <c r="EB16" i="15" l="1"/>
  <c r="EC16" i="15"/>
  <c r="ED16" i="15"/>
  <c r="EE16" i="15"/>
  <c r="EF16" i="15"/>
  <c r="EG16" i="15"/>
  <c r="EH16" i="15"/>
  <c r="EI16" i="15"/>
  <c r="EJ16" i="15"/>
  <c r="EK16" i="15"/>
  <c r="EL16" i="15"/>
  <c r="EM16" i="15"/>
  <c r="EN16" i="15"/>
  <c r="EO16" i="15"/>
  <c r="EP16" i="15"/>
  <c r="EQ16" i="15"/>
  <c r="EE17" i="15" l="1"/>
  <c r="EM17" i="15"/>
  <c r="EI17" i="15"/>
  <c r="EQ17" i="15"/>
  <c r="H6" i="18"/>
  <c r="I6" i="18"/>
  <c r="J6" i="18"/>
  <c r="K6" i="18"/>
  <c r="L6" i="18"/>
  <c r="M6" i="18"/>
  <c r="N6" i="18"/>
  <c r="O6" i="18"/>
  <c r="P6" i="18"/>
  <c r="Q6" i="18"/>
  <c r="R6" i="18"/>
  <c r="C5" i="18"/>
  <c r="C6" i="18" s="1"/>
  <c r="C7" i="18" s="1"/>
  <c r="C13" i="18" s="1"/>
  <c r="D6" i="18"/>
  <c r="D7" i="18" s="1"/>
  <c r="D13" i="18" s="1"/>
  <c r="E6" i="18"/>
  <c r="E7" i="18" s="1"/>
  <c r="E13" i="18" s="1"/>
  <c r="F6" i="18"/>
  <c r="F7" i="18" s="1"/>
  <c r="F13" i="18" s="1"/>
  <c r="G6" i="18"/>
  <c r="G13" i="18" s="1"/>
  <c r="C16" i="13"/>
  <c r="D17" i="13"/>
  <c r="F174" i="14"/>
  <c r="D173" i="14"/>
  <c r="F12" i="12"/>
  <c r="D12" i="12"/>
  <c r="D11" i="12"/>
  <c r="H11" i="12"/>
  <c r="H34" i="14"/>
  <c r="D34" i="14"/>
  <c r="AJ36" i="15"/>
  <c r="AK36" i="15"/>
  <c r="L249" i="9" l="1"/>
  <c r="AM89" i="9"/>
  <c r="AM90" i="9" s="1"/>
  <c r="AN72" i="9"/>
  <c r="AQ72" i="9" s="1"/>
  <c r="AN73" i="9"/>
  <c r="AO73" i="9" s="1"/>
  <c r="AN74" i="9"/>
  <c r="AQ74" i="9" s="1"/>
  <c r="AN75" i="9"/>
  <c r="AQ75" i="9" s="1"/>
  <c r="AN76" i="9"/>
  <c r="AQ76" i="9" s="1"/>
  <c r="AN77" i="9"/>
  <c r="AQ77" i="9" s="1"/>
  <c r="AN78" i="9"/>
  <c r="AO78" i="9" s="1"/>
  <c r="AN79" i="9"/>
  <c r="AO79" i="9" s="1"/>
  <c r="AN80" i="9"/>
  <c r="AO80" i="9" s="1"/>
  <c r="AN81" i="9"/>
  <c r="AO81" i="9" s="1"/>
  <c r="AN82" i="9"/>
  <c r="AO82" i="9" s="1"/>
  <c r="AN83" i="9"/>
  <c r="AQ83" i="9" s="1"/>
  <c r="AN84" i="9"/>
  <c r="AQ84" i="9" s="1"/>
  <c r="AN85" i="9"/>
  <c r="AQ85" i="9" s="1"/>
  <c r="AN86" i="9"/>
  <c r="AO86" i="9" s="1"/>
  <c r="AN87" i="9"/>
  <c r="AQ87" i="9" s="1"/>
  <c r="AN88" i="9"/>
  <c r="AO88" i="9" s="1"/>
  <c r="AN63" i="9"/>
  <c r="AO63" i="9" s="1"/>
  <c r="AN64" i="9"/>
  <c r="AP64" i="9" s="1"/>
  <c r="AN65" i="9"/>
  <c r="AQ65" i="9" s="1"/>
  <c r="AN66" i="9"/>
  <c r="AQ66" i="9" s="1"/>
  <c r="AN67" i="9"/>
  <c r="AQ67" i="9" s="1"/>
  <c r="AN68" i="9"/>
  <c r="AQ68" i="9" s="1"/>
  <c r="AN69" i="9"/>
  <c r="AP69" i="9" s="1"/>
  <c r="AN70" i="9"/>
  <c r="AP70" i="9" s="1"/>
  <c r="AN71" i="9"/>
  <c r="AO71" i="9" s="1"/>
  <c r="AA100" i="9"/>
  <c r="AA62" i="9"/>
  <c r="U132" i="9"/>
  <c r="U133" i="9" s="1"/>
  <c r="U94" i="9"/>
  <c r="U95" i="9" s="1"/>
  <c r="U53" i="9"/>
  <c r="AD57" i="9"/>
  <c r="AJ63" i="9" s="1"/>
  <c r="BG66" i="9" s="1"/>
  <c r="I224" i="9"/>
  <c r="I197" i="9"/>
  <c r="I170" i="9"/>
  <c r="I143" i="9"/>
  <c r="I116" i="9"/>
  <c r="I89" i="9"/>
  <c r="I62" i="9"/>
  <c r="D56" i="9"/>
  <c r="C56" i="9"/>
  <c r="D169" i="14"/>
  <c r="D31" i="12"/>
  <c r="D32" i="12"/>
  <c r="D33" i="12"/>
  <c r="D34" i="12"/>
  <c r="D35" i="12"/>
  <c r="D36" i="12"/>
  <c r="D37" i="12"/>
  <c r="D38" i="12"/>
  <c r="D39" i="12"/>
  <c r="D40" i="12"/>
  <c r="D41" i="12"/>
  <c r="D42" i="12"/>
  <c r="D30" i="12"/>
  <c r="D51" i="12"/>
  <c r="D52" i="12"/>
  <c r="D53" i="12"/>
  <c r="D54" i="12"/>
  <c r="D55" i="12"/>
  <c r="D56" i="12"/>
  <c r="D57" i="12"/>
  <c r="D58" i="12"/>
  <c r="D59" i="12"/>
  <c r="D60" i="12"/>
  <c r="D61" i="12"/>
  <c r="D62" i="12"/>
  <c r="D50" i="12"/>
  <c r="D63" i="12"/>
  <c r="D64" i="12"/>
  <c r="D168" i="14"/>
  <c r="D114" i="14"/>
  <c r="D87" i="14"/>
  <c r="D33" i="14"/>
  <c r="Z9" i="14"/>
  <c r="D142" i="14"/>
  <c r="D115" i="14"/>
  <c r="D88" i="14"/>
  <c r="D61" i="14"/>
  <c r="H50" i="12"/>
  <c r="F51" i="12"/>
  <c r="G52" i="12"/>
  <c r="F53" i="12"/>
  <c r="H54" i="12"/>
  <c r="H55" i="12"/>
  <c r="G56" i="12"/>
  <c r="H57" i="12"/>
  <c r="H58" i="12"/>
  <c r="G59" i="12"/>
  <c r="G60" i="12"/>
  <c r="F61" i="12"/>
  <c r="F62" i="12"/>
  <c r="H30" i="12"/>
  <c r="F31" i="12"/>
  <c r="G32" i="12"/>
  <c r="F33" i="12"/>
  <c r="H34" i="12"/>
  <c r="H35" i="12"/>
  <c r="G36" i="12"/>
  <c r="H37" i="12"/>
  <c r="H38" i="12"/>
  <c r="G39" i="12"/>
  <c r="G40" i="12"/>
  <c r="F41" i="12"/>
  <c r="F42" i="12"/>
  <c r="D13" i="12"/>
  <c r="G13" i="12" s="1"/>
  <c r="D14" i="12"/>
  <c r="F14" i="12" s="1"/>
  <c r="D15" i="12"/>
  <c r="H15" i="12" s="1"/>
  <c r="D16" i="12"/>
  <c r="H16" i="12" s="1"/>
  <c r="D17" i="12"/>
  <c r="G17" i="12" s="1"/>
  <c r="D18" i="12"/>
  <c r="H18" i="12" s="1"/>
  <c r="D19" i="12"/>
  <c r="H19" i="12" s="1"/>
  <c r="D20" i="12"/>
  <c r="G20" i="12" s="1"/>
  <c r="D21" i="12"/>
  <c r="G21" i="12" s="1"/>
  <c r="D22" i="12"/>
  <c r="F22" i="12" s="1"/>
  <c r="D23" i="12"/>
  <c r="F23" i="12" s="1"/>
  <c r="D24" i="12"/>
  <c r="D25" i="12" s="1"/>
  <c r="F210" i="14"/>
  <c r="H207" i="14"/>
  <c r="H208" i="14"/>
  <c r="H209" i="14"/>
  <c r="H206" i="14"/>
  <c r="F205" i="14"/>
  <c r="F196" i="14"/>
  <c r="F197" i="14"/>
  <c r="F198" i="14"/>
  <c r="F199" i="14"/>
  <c r="F200" i="14"/>
  <c r="F201" i="14"/>
  <c r="F202" i="14"/>
  <c r="F203" i="14"/>
  <c r="F204" i="14"/>
  <c r="F195" i="14"/>
  <c r="H194" i="14"/>
  <c r="H173" i="14"/>
  <c r="F175" i="14"/>
  <c r="F176" i="14"/>
  <c r="G177" i="14"/>
  <c r="G178" i="14"/>
  <c r="G179" i="14"/>
  <c r="F180" i="14"/>
  <c r="F181" i="14"/>
  <c r="F182" i="14"/>
  <c r="F183" i="14"/>
  <c r="F184" i="14"/>
  <c r="F185" i="14"/>
  <c r="F186" i="14"/>
  <c r="F187" i="14"/>
  <c r="F188" i="14"/>
  <c r="H189" i="14"/>
  <c r="H190" i="14"/>
  <c r="H191" i="14"/>
  <c r="H192" i="14"/>
  <c r="G193" i="14"/>
  <c r="H146" i="14"/>
  <c r="F147" i="14"/>
  <c r="F148" i="14"/>
  <c r="F149" i="14"/>
  <c r="G150" i="14"/>
  <c r="G151" i="14"/>
  <c r="G152" i="14"/>
  <c r="F153" i="14"/>
  <c r="F154" i="14"/>
  <c r="F155" i="14"/>
  <c r="F156" i="14"/>
  <c r="F157" i="14"/>
  <c r="F158" i="14"/>
  <c r="F159" i="14"/>
  <c r="F160" i="14"/>
  <c r="F161" i="14"/>
  <c r="H162" i="14"/>
  <c r="H163" i="14"/>
  <c r="H164" i="14"/>
  <c r="H165" i="14"/>
  <c r="G166" i="14"/>
  <c r="H119" i="14"/>
  <c r="F120" i="14"/>
  <c r="F121" i="14"/>
  <c r="F122" i="14"/>
  <c r="G123" i="14"/>
  <c r="G124" i="14"/>
  <c r="G125" i="14"/>
  <c r="F126" i="14"/>
  <c r="F127" i="14"/>
  <c r="F128" i="14"/>
  <c r="F129" i="14"/>
  <c r="F130" i="14"/>
  <c r="F131" i="14"/>
  <c r="F132" i="14"/>
  <c r="F133" i="14"/>
  <c r="F134" i="14"/>
  <c r="H135" i="14"/>
  <c r="H136" i="14"/>
  <c r="H137" i="14"/>
  <c r="H138" i="14"/>
  <c r="G139" i="14"/>
  <c r="H92" i="14"/>
  <c r="F93" i="14"/>
  <c r="F94" i="14"/>
  <c r="F95" i="14"/>
  <c r="G96" i="14"/>
  <c r="G97" i="14"/>
  <c r="G98" i="14"/>
  <c r="F99" i="14"/>
  <c r="F100" i="14"/>
  <c r="F101" i="14"/>
  <c r="F102" i="14"/>
  <c r="F103" i="14"/>
  <c r="F104" i="14"/>
  <c r="F105" i="14"/>
  <c r="F106" i="14"/>
  <c r="F107" i="14"/>
  <c r="H108" i="14"/>
  <c r="H109" i="14"/>
  <c r="H110" i="14"/>
  <c r="H111" i="14"/>
  <c r="G112" i="14"/>
  <c r="H65" i="14"/>
  <c r="F66" i="14"/>
  <c r="F67" i="14"/>
  <c r="F68" i="14"/>
  <c r="G69" i="14"/>
  <c r="G70" i="14"/>
  <c r="G71" i="14"/>
  <c r="F72" i="14"/>
  <c r="F73" i="14"/>
  <c r="F74" i="14"/>
  <c r="F75" i="14"/>
  <c r="F76" i="14"/>
  <c r="F77" i="14"/>
  <c r="F78" i="14"/>
  <c r="F79" i="14"/>
  <c r="F80" i="14"/>
  <c r="H81" i="14"/>
  <c r="H82" i="14"/>
  <c r="H83" i="14"/>
  <c r="H84" i="14"/>
  <c r="G85" i="14"/>
  <c r="H38" i="14"/>
  <c r="F39" i="14"/>
  <c r="F40" i="14"/>
  <c r="F41" i="14"/>
  <c r="G42" i="14"/>
  <c r="G43" i="14"/>
  <c r="G44" i="14"/>
  <c r="F45" i="14"/>
  <c r="F46" i="14"/>
  <c r="F47" i="14"/>
  <c r="F48" i="14"/>
  <c r="F49" i="14"/>
  <c r="F50" i="14"/>
  <c r="F51" i="14"/>
  <c r="F52" i="14"/>
  <c r="F53" i="14"/>
  <c r="H54" i="14"/>
  <c r="H55" i="14"/>
  <c r="H56" i="14"/>
  <c r="H57" i="14"/>
  <c r="G58" i="14"/>
  <c r="H28" i="14"/>
  <c r="H29" i="14"/>
  <c r="H30" i="14"/>
  <c r="H27" i="14"/>
  <c r="G31" i="14"/>
  <c r="G17" i="14"/>
  <c r="G16" i="14"/>
  <c r="G15" i="14"/>
  <c r="F22" i="14"/>
  <c r="F21" i="14"/>
  <c r="F20" i="14"/>
  <c r="F19" i="14"/>
  <c r="F18" i="14"/>
  <c r="F14" i="14"/>
  <c r="F13" i="14"/>
  <c r="F23" i="14"/>
  <c r="F24" i="14"/>
  <c r="F25" i="14"/>
  <c r="F26" i="14"/>
  <c r="F12" i="14"/>
  <c r="H11" i="14"/>
  <c r="H16" i="13"/>
  <c r="G16" i="13"/>
  <c r="F16" i="13"/>
  <c r="D16" i="13"/>
  <c r="C63" i="12"/>
  <c r="C43" i="12"/>
  <c r="D43" i="12"/>
  <c r="D44" i="12" s="1"/>
  <c r="C24" i="12"/>
  <c r="H211" i="14"/>
  <c r="H212" i="14" s="1"/>
  <c r="H213" i="14" s="1"/>
  <c r="Q8" i="14" s="1"/>
  <c r="G211" i="14"/>
  <c r="G212" i="14" s="1"/>
  <c r="G213" i="14" s="1"/>
  <c r="P8" i="14" s="1"/>
  <c r="F211" i="14"/>
  <c r="F212" i="14" s="1"/>
  <c r="F213" i="14" s="1"/>
  <c r="O8" i="14" s="1"/>
  <c r="R8" i="14" s="1"/>
  <c r="C211" i="14"/>
  <c r="C212" i="14" s="1"/>
  <c r="D210" i="14"/>
  <c r="D209" i="14"/>
  <c r="D208" i="14"/>
  <c r="D207" i="14"/>
  <c r="D206" i="14"/>
  <c r="D205" i="14"/>
  <c r="D204" i="14"/>
  <c r="D203" i="14"/>
  <c r="D202" i="14"/>
  <c r="D201" i="14"/>
  <c r="D200" i="14"/>
  <c r="D199" i="14"/>
  <c r="D198" i="14"/>
  <c r="D197" i="14"/>
  <c r="D196" i="14"/>
  <c r="D195" i="14"/>
  <c r="D194" i="14"/>
  <c r="D193" i="14"/>
  <c r="D192" i="14"/>
  <c r="D191" i="14"/>
  <c r="D190" i="14"/>
  <c r="D189" i="14"/>
  <c r="D188" i="14"/>
  <c r="D187" i="14"/>
  <c r="D186" i="14"/>
  <c r="D185" i="14"/>
  <c r="D184" i="14"/>
  <c r="D183" i="14"/>
  <c r="D182" i="14"/>
  <c r="D181" i="14"/>
  <c r="D180" i="14"/>
  <c r="D179" i="14"/>
  <c r="D178" i="14"/>
  <c r="D177" i="14"/>
  <c r="D176" i="14"/>
  <c r="D175" i="14"/>
  <c r="D174" i="14"/>
  <c r="D211" i="14"/>
  <c r="D212" i="14" s="1"/>
  <c r="D213" i="14" s="1"/>
  <c r="H167" i="14"/>
  <c r="H168" i="14" s="1"/>
  <c r="H169" i="14" s="1"/>
  <c r="Q7" i="14" s="1"/>
  <c r="G167" i="14"/>
  <c r="G168" i="14" s="1"/>
  <c r="G169" i="14" s="1"/>
  <c r="P7" i="14" s="1"/>
  <c r="F167" i="14"/>
  <c r="F168" i="14" s="1"/>
  <c r="F169" i="14" s="1"/>
  <c r="O7" i="14" s="1"/>
  <c r="R7" i="14" s="1"/>
  <c r="C167" i="14"/>
  <c r="C168" i="14" s="1"/>
  <c r="D166" i="14"/>
  <c r="D165" i="14"/>
  <c r="D164" i="14"/>
  <c r="D163" i="14"/>
  <c r="D162" i="14"/>
  <c r="D161" i="14"/>
  <c r="D160" i="14"/>
  <c r="D159" i="14"/>
  <c r="D158" i="14"/>
  <c r="D157" i="14"/>
  <c r="D156" i="14"/>
  <c r="D155" i="14"/>
  <c r="D154" i="14"/>
  <c r="D153" i="14"/>
  <c r="D152" i="14"/>
  <c r="D151" i="14"/>
  <c r="D150" i="14"/>
  <c r="D149" i="14"/>
  <c r="D148" i="14"/>
  <c r="D147" i="14"/>
  <c r="D146" i="14"/>
  <c r="D167" i="14" s="1"/>
  <c r="H140" i="14"/>
  <c r="H141" i="14" s="1"/>
  <c r="H142" i="14" s="1"/>
  <c r="Q6" i="14" s="1"/>
  <c r="G140" i="14"/>
  <c r="G141" i="14" s="1"/>
  <c r="G142" i="14" s="1"/>
  <c r="P6" i="14" s="1"/>
  <c r="F140" i="14"/>
  <c r="F141" i="14" s="1"/>
  <c r="F142" i="14" s="1"/>
  <c r="O6" i="14" s="1"/>
  <c r="R6" i="14" s="1"/>
  <c r="C140" i="14"/>
  <c r="C141" i="14" s="1"/>
  <c r="D139" i="14"/>
  <c r="D138" i="14"/>
  <c r="D137" i="14"/>
  <c r="D136" i="14"/>
  <c r="D135" i="14"/>
  <c r="D134" i="14"/>
  <c r="D133" i="14"/>
  <c r="D132" i="14"/>
  <c r="D131" i="14"/>
  <c r="D130" i="14"/>
  <c r="D129" i="14"/>
  <c r="D128" i="14"/>
  <c r="D127" i="14"/>
  <c r="D126" i="14"/>
  <c r="D125" i="14"/>
  <c r="D124" i="14"/>
  <c r="D123" i="14"/>
  <c r="D122" i="14"/>
  <c r="D121" i="14"/>
  <c r="D120" i="14"/>
  <c r="D119" i="14"/>
  <c r="D140" i="14" s="1"/>
  <c r="D141" i="14" s="1"/>
  <c r="H113" i="14"/>
  <c r="H114" i="14" s="1"/>
  <c r="H115" i="14" s="1"/>
  <c r="Q5" i="14" s="1"/>
  <c r="G113" i="14"/>
  <c r="G114" i="14" s="1"/>
  <c r="G115" i="14" s="1"/>
  <c r="P5" i="14" s="1"/>
  <c r="F113" i="14"/>
  <c r="F114" i="14" s="1"/>
  <c r="F115" i="14" s="1"/>
  <c r="O5" i="14" s="1"/>
  <c r="R5" i="14" s="1"/>
  <c r="C113" i="14"/>
  <c r="C114" i="14" s="1"/>
  <c r="D112" i="14"/>
  <c r="D111" i="14"/>
  <c r="D110" i="14"/>
  <c r="D109" i="14"/>
  <c r="D108" i="14"/>
  <c r="D107" i="14"/>
  <c r="D106" i="14"/>
  <c r="D105" i="14"/>
  <c r="D104" i="14"/>
  <c r="D103" i="14"/>
  <c r="D102" i="14"/>
  <c r="D101" i="14"/>
  <c r="D100" i="14"/>
  <c r="D99" i="14"/>
  <c r="D98" i="14"/>
  <c r="D97" i="14"/>
  <c r="D96" i="14"/>
  <c r="D95" i="14"/>
  <c r="D94" i="14"/>
  <c r="D93" i="14"/>
  <c r="D92" i="14"/>
  <c r="D113" i="14" s="1"/>
  <c r="H86" i="14"/>
  <c r="H87" i="14" s="1"/>
  <c r="H88" i="14" s="1"/>
  <c r="Q4" i="14" s="1"/>
  <c r="G86" i="14"/>
  <c r="G87" i="14" s="1"/>
  <c r="G88" i="14" s="1"/>
  <c r="P4" i="14" s="1"/>
  <c r="F86" i="14"/>
  <c r="F87" i="14" s="1"/>
  <c r="F88" i="14" s="1"/>
  <c r="O4" i="14" s="1"/>
  <c r="R4" i="14" s="1"/>
  <c r="C86" i="14"/>
  <c r="C87" i="14" s="1"/>
  <c r="D85" i="14"/>
  <c r="D84" i="14"/>
  <c r="D83" i="14"/>
  <c r="D82" i="14"/>
  <c r="D81" i="14"/>
  <c r="D80" i="14"/>
  <c r="D79" i="14"/>
  <c r="D78" i="14"/>
  <c r="D77" i="14"/>
  <c r="D76" i="14"/>
  <c r="D75" i="14"/>
  <c r="D74" i="14"/>
  <c r="D73" i="14"/>
  <c r="D72" i="14"/>
  <c r="D71" i="14"/>
  <c r="D70" i="14"/>
  <c r="D69" i="14"/>
  <c r="D68" i="14"/>
  <c r="D67" i="14"/>
  <c r="D66" i="14"/>
  <c r="D65" i="14"/>
  <c r="D86" i="14" s="1"/>
  <c r="H59" i="14"/>
  <c r="H60" i="14" s="1"/>
  <c r="H61" i="14" s="1"/>
  <c r="Q3" i="14" s="1"/>
  <c r="G59" i="14"/>
  <c r="G60" i="14" s="1"/>
  <c r="G61" i="14" s="1"/>
  <c r="P3" i="14" s="1"/>
  <c r="F59" i="14"/>
  <c r="F60" i="14" s="1"/>
  <c r="F61" i="14" s="1"/>
  <c r="O3" i="14" s="1"/>
  <c r="R3" i="14" s="1"/>
  <c r="C59" i="14"/>
  <c r="C60" i="14" s="1"/>
  <c r="D58" i="14"/>
  <c r="D57" i="14"/>
  <c r="D56" i="14"/>
  <c r="D55" i="14"/>
  <c r="D54" i="14"/>
  <c r="D53" i="14"/>
  <c r="D52" i="14"/>
  <c r="D51" i="14"/>
  <c r="D50" i="14"/>
  <c r="D49" i="14"/>
  <c r="D48" i="14"/>
  <c r="D47" i="14"/>
  <c r="D46" i="14"/>
  <c r="D45" i="14"/>
  <c r="D44" i="14"/>
  <c r="D43" i="14"/>
  <c r="D42" i="14"/>
  <c r="D41" i="14"/>
  <c r="D40" i="14"/>
  <c r="D39" i="14"/>
  <c r="D38" i="14"/>
  <c r="D59" i="14" s="1"/>
  <c r="D60" i="14" s="1"/>
  <c r="H32" i="14"/>
  <c r="H33" i="14" s="1"/>
  <c r="Q2" i="14" s="1"/>
  <c r="Q9" i="14" s="1"/>
  <c r="G32" i="14"/>
  <c r="G33" i="14" s="1"/>
  <c r="G34" i="14" s="1"/>
  <c r="P2" i="14" s="1"/>
  <c r="P9" i="14" s="1"/>
  <c r="F32" i="14"/>
  <c r="F33" i="14" s="1"/>
  <c r="F34" i="14" s="1"/>
  <c r="O2" i="14" s="1"/>
  <c r="C32" i="14"/>
  <c r="C33" i="14" s="1"/>
  <c r="D31" i="14"/>
  <c r="D30" i="14"/>
  <c r="D29" i="14"/>
  <c r="D28" i="14"/>
  <c r="D27" i="14"/>
  <c r="D26" i="14"/>
  <c r="D25" i="14"/>
  <c r="D24" i="14"/>
  <c r="D23" i="14"/>
  <c r="D22" i="14"/>
  <c r="D21" i="14"/>
  <c r="D20" i="14"/>
  <c r="D19" i="14"/>
  <c r="D18" i="14"/>
  <c r="D17" i="14"/>
  <c r="D16" i="14"/>
  <c r="D15" i="14"/>
  <c r="D14" i="14"/>
  <c r="D13" i="14"/>
  <c r="D12" i="14"/>
  <c r="D11" i="14"/>
  <c r="D32" i="14" s="1"/>
  <c r="C261" i="9"/>
  <c r="C262" i="9" s="1"/>
  <c r="C263" i="9" s="1"/>
  <c r="AD71" i="9"/>
  <c r="AD72" i="9" s="1"/>
  <c r="C136" i="9"/>
  <c r="C137" i="9" s="1"/>
  <c r="C138" i="9" s="1"/>
  <c r="C82" i="9"/>
  <c r="C83" i="9" s="1"/>
  <c r="C84" i="9" s="1"/>
  <c r="C217" i="9"/>
  <c r="C218" i="9" s="1"/>
  <c r="C219" i="9" s="1"/>
  <c r="C190" i="9"/>
  <c r="C191" i="9" s="1"/>
  <c r="C192" i="9" s="1"/>
  <c r="C163" i="9"/>
  <c r="C164" i="9" s="1"/>
  <c r="C165" i="9" s="1"/>
  <c r="C109" i="9"/>
  <c r="C110" i="9" s="1"/>
  <c r="C111" i="9" s="1"/>
  <c r="V74" i="9" l="1"/>
  <c r="Y74" i="9" s="1"/>
  <c r="V75" i="9"/>
  <c r="W75" i="9" s="1"/>
  <c r="V76" i="9"/>
  <c r="W76" i="9" s="1"/>
  <c r="V77" i="9"/>
  <c r="W77" i="9" s="1"/>
  <c r="V78" i="9"/>
  <c r="Y78" i="9" s="1"/>
  <c r="V79" i="9"/>
  <c r="W79" i="9" s="1"/>
  <c r="V80" i="9"/>
  <c r="W80" i="9" s="1"/>
  <c r="V81" i="9"/>
  <c r="W81" i="9" s="1"/>
  <c r="V82" i="9"/>
  <c r="W82" i="9" s="1"/>
  <c r="V83" i="9"/>
  <c r="Y83" i="9" s="1"/>
  <c r="V84" i="9"/>
  <c r="Y84" i="9" s="1"/>
  <c r="V85" i="9"/>
  <c r="Y85" i="9" s="1"/>
  <c r="V86" i="9"/>
  <c r="Y86" i="9" s="1"/>
  <c r="V87" i="9"/>
  <c r="W87" i="9" s="1"/>
  <c r="V88" i="9"/>
  <c r="Y88" i="9" s="1"/>
  <c r="V89" i="9"/>
  <c r="W89" i="9" s="1"/>
  <c r="V90" i="9"/>
  <c r="W90" i="9" s="1"/>
  <c r="V91" i="9"/>
  <c r="W91" i="9" s="1"/>
  <c r="V92" i="9"/>
  <c r="W92" i="9" s="1"/>
  <c r="V93" i="9"/>
  <c r="Y93" i="9" s="1"/>
  <c r="BG69" i="9"/>
  <c r="BH66" i="9"/>
  <c r="D61" i="9"/>
  <c r="V99" i="9"/>
  <c r="V114" i="9"/>
  <c r="W114" i="9" s="1"/>
  <c r="V109" i="9"/>
  <c r="X109" i="9" s="1"/>
  <c r="V61" i="9"/>
  <c r="Y61" i="9" s="1"/>
  <c r="AQ62" i="9"/>
  <c r="AQ89" i="9" s="1"/>
  <c r="AQ90" i="9" s="1"/>
  <c r="AN89" i="9"/>
  <c r="AN90" i="9" s="1"/>
  <c r="V117" i="9"/>
  <c r="W117" i="9" s="1"/>
  <c r="V123" i="9"/>
  <c r="Y123" i="9" s="1"/>
  <c r="V130" i="9"/>
  <c r="W130" i="9" s="1"/>
  <c r="V129" i="9"/>
  <c r="W129" i="9" s="1"/>
  <c r="V128" i="9"/>
  <c r="W128" i="9" s="1"/>
  <c r="V127" i="9"/>
  <c r="W127" i="9" s="1"/>
  <c r="V126" i="9"/>
  <c r="Y126" i="9" s="1"/>
  <c r="V131" i="9"/>
  <c r="Y131" i="9" s="1"/>
  <c r="V100" i="9"/>
  <c r="W100" i="9" s="1"/>
  <c r="V101" i="9"/>
  <c r="X101" i="9" s="1"/>
  <c r="V102" i="9"/>
  <c r="W102" i="9" s="1"/>
  <c r="V103" i="9"/>
  <c r="Y103" i="9" s="1"/>
  <c r="V104" i="9"/>
  <c r="Y104" i="9" s="1"/>
  <c r="V105" i="9"/>
  <c r="X105" i="9" s="1"/>
  <c r="V106" i="9"/>
  <c r="Y106" i="9" s="1"/>
  <c r="V107" i="9"/>
  <c r="Y107" i="9" s="1"/>
  <c r="V108" i="9"/>
  <c r="X108" i="9" s="1"/>
  <c r="V110" i="9"/>
  <c r="W110" i="9" s="1"/>
  <c r="V111" i="9"/>
  <c r="W111" i="9" s="1"/>
  <c r="V112" i="9"/>
  <c r="Y112" i="9" s="1"/>
  <c r="V113" i="9"/>
  <c r="W113" i="9" s="1"/>
  <c r="V115" i="9"/>
  <c r="W115" i="9" s="1"/>
  <c r="V116" i="9"/>
  <c r="Y116" i="9" s="1"/>
  <c r="V125" i="9"/>
  <c r="W125" i="9" s="1"/>
  <c r="V118" i="9"/>
  <c r="W118" i="9" s="1"/>
  <c r="V119" i="9"/>
  <c r="W119" i="9" s="1"/>
  <c r="V120" i="9"/>
  <c r="W120" i="9" s="1"/>
  <c r="V121" i="9"/>
  <c r="Y121" i="9" s="1"/>
  <c r="V122" i="9"/>
  <c r="Y122" i="9" s="1"/>
  <c r="V124" i="9"/>
  <c r="Y124" i="9" s="1"/>
  <c r="V62" i="9"/>
  <c r="V67" i="9"/>
  <c r="X67" i="9" s="1"/>
  <c r="V68" i="9"/>
  <c r="Y68" i="9" s="1"/>
  <c r="V69" i="9"/>
  <c r="Y69" i="9" s="1"/>
  <c r="V70" i="9"/>
  <c r="X70" i="9" s="1"/>
  <c r="V71" i="9"/>
  <c r="X71" i="9" s="1"/>
  <c r="V72" i="9"/>
  <c r="W72" i="9" s="1"/>
  <c r="V73" i="9"/>
  <c r="W73" i="9" s="1"/>
  <c r="V63" i="9"/>
  <c r="X63" i="9" s="1"/>
  <c r="V64" i="9"/>
  <c r="W64" i="9" s="1"/>
  <c r="V65" i="9"/>
  <c r="Y65" i="9" s="1"/>
  <c r="V66" i="9"/>
  <c r="Y66" i="9" s="1"/>
  <c r="AE70" i="9"/>
  <c r="AG70" i="9" s="1"/>
  <c r="AE69" i="9"/>
  <c r="AG69" i="9" s="1"/>
  <c r="AE68" i="9"/>
  <c r="AG68" i="9" s="1"/>
  <c r="AE67" i="9"/>
  <c r="AF67" i="9" s="1"/>
  <c r="AF71" i="9" s="1"/>
  <c r="AF72" i="9" s="1"/>
  <c r="AE66" i="9"/>
  <c r="AH66" i="9" s="1"/>
  <c r="AE65" i="9"/>
  <c r="AH65" i="9" s="1"/>
  <c r="AE64" i="9"/>
  <c r="AH64" i="9" s="1"/>
  <c r="AE63" i="9"/>
  <c r="AG63" i="9" s="1"/>
  <c r="AE62" i="9"/>
  <c r="D254" i="9"/>
  <c r="E254" i="9" s="1"/>
  <c r="D251" i="9"/>
  <c r="E251" i="9" s="1"/>
  <c r="D237" i="9"/>
  <c r="E237" i="9" s="1"/>
  <c r="D239" i="9"/>
  <c r="G239" i="9" s="1"/>
  <c r="D232" i="9"/>
  <c r="E232" i="9" s="1"/>
  <c r="D234" i="9"/>
  <c r="E234" i="9" s="1"/>
  <c r="D225" i="9"/>
  <c r="E225" i="9" s="1"/>
  <c r="D226" i="9"/>
  <c r="E226" i="9" s="1"/>
  <c r="D227" i="9"/>
  <c r="F227" i="9" s="1"/>
  <c r="R224" i="9"/>
  <c r="D228" i="9"/>
  <c r="F228" i="9" s="1"/>
  <c r="D229" i="9"/>
  <c r="F229" i="9" s="1"/>
  <c r="D230" i="9"/>
  <c r="E230" i="9" s="1"/>
  <c r="D231" i="9"/>
  <c r="E231" i="9" s="1"/>
  <c r="D233" i="9"/>
  <c r="E233" i="9" s="1"/>
  <c r="D235" i="9"/>
  <c r="E235" i="9" s="1"/>
  <c r="D260" i="9"/>
  <c r="E260" i="9" s="1"/>
  <c r="D259" i="9"/>
  <c r="G259" i="9" s="1"/>
  <c r="D258" i="9"/>
  <c r="G258" i="9" s="1"/>
  <c r="D257" i="9"/>
  <c r="G257" i="9" s="1"/>
  <c r="D256" i="9"/>
  <c r="G256" i="9" s="1"/>
  <c r="D255" i="9"/>
  <c r="E255" i="9" s="1"/>
  <c r="D236" i="9"/>
  <c r="E236" i="9" s="1"/>
  <c r="D253" i="9"/>
  <c r="E253" i="9" s="1"/>
  <c r="D252" i="9"/>
  <c r="E252" i="9" s="1"/>
  <c r="D223" i="9"/>
  <c r="D243" i="9"/>
  <c r="F243" i="9" s="1"/>
  <c r="F261" i="9" s="1"/>
  <c r="F262" i="9" s="1"/>
  <c r="F263" i="9" s="1"/>
  <c r="D14" i="9" s="1"/>
  <c r="D242" i="9"/>
  <c r="G242" i="9" s="1"/>
  <c r="D241" i="9"/>
  <c r="G241" i="9" s="1"/>
  <c r="D240" i="9"/>
  <c r="G240" i="9" s="1"/>
  <c r="D238" i="9"/>
  <c r="E238" i="9" s="1"/>
  <c r="D244" i="9"/>
  <c r="G244" i="9" s="1"/>
  <c r="D245" i="9"/>
  <c r="E245" i="9" s="1"/>
  <c r="D246" i="9"/>
  <c r="E246" i="9" s="1"/>
  <c r="D247" i="9"/>
  <c r="E247" i="9" s="1"/>
  <c r="D248" i="9"/>
  <c r="E248" i="9" s="1"/>
  <c r="D249" i="9"/>
  <c r="E249" i="9" s="1"/>
  <c r="D250" i="9"/>
  <c r="E250" i="9" s="1"/>
  <c r="D224" i="9"/>
  <c r="E224" i="9" s="1"/>
  <c r="D197" i="9"/>
  <c r="E197" i="9" s="1"/>
  <c r="D198" i="9"/>
  <c r="E198" i="9" s="1"/>
  <c r="D199" i="9"/>
  <c r="E199" i="9" s="1"/>
  <c r="D200" i="9"/>
  <c r="F200" i="9" s="1"/>
  <c r="D201" i="9"/>
  <c r="F201" i="9" s="1"/>
  <c r="D202" i="9"/>
  <c r="F202" i="9" s="1"/>
  <c r="D203" i="9"/>
  <c r="E203" i="9" s="1"/>
  <c r="D204" i="9"/>
  <c r="E204" i="9" s="1"/>
  <c r="D205" i="9"/>
  <c r="E205" i="9" s="1"/>
  <c r="D206" i="9"/>
  <c r="E206" i="9" s="1"/>
  <c r="D207" i="9"/>
  <c r="E207" i="9" s="1"/>
  <c r="D208" i="9"/>
  <c r="E208" i="9" s="1"/>
  <c r="D209" i="9"/>
  <c r="E209" i="9" s="1"/>
  <c r="D210" i="9"/>
  <c r="E210" i="9" s="1"/>
  <c r="D211" i="9"/>
  <c r="E211" i="9" s="1"/>
  <c r="R197" i="9"/>
  <c r="D212" i="9"/>
  <c r="G212" i="9" s="1"/>
  <c r="D213" i="9"/>
  <c r="G213" i="9" s="1"/>
  <c r="D214" i="9"/>
  <c r="G214" i="9" s="1"/>
  <c r="D215" i="9"/>
  <c r="G215" i="9" s="1"/>
  <c r="D216" i="9"/>
  <c r="F216" i="9" s="1"/>
  <c r="D196" i="9"/>
  <c r="D172" i="9"/>
  <c r="E172" i="9" s="1"/>
  <c r="D177" i="9"/>
  <c r="E177" i="9" s="1"/>
  <c r="D170" i="9"/>
  <c r="E170" i="9" s="1"/>
  <c r="R170" i="9"/>
  <c r="D178" i="9"/>
  <c r="E178" i="9" s="1"/>
  <c r="D179" i="9"/>
  <c r="E179" i="9" s="1"/>
  <c r="D180" i="9"/>
  <c r="E180" i="9" s="1"/>
  <c r="D181" i="9"/>
  <c r="E181" i="9" s="1"/>
  <c r="D176" i="9"/>
  <c r="E176" i="9" s="1"/>
  <c r="D182" i="9"/>
  <c r="E182" i="9" s="1"/>
  <c r="D175" i="9"/>
  <c r="F175" i="9" s="1"/>
  <c r="D183" i="9"/>
  <c r="E183" i="9" s="1"/>
  <c r="D184" i="9"/>
  <c r="E184" i="9" s="1"/>
  <c r="D174" i="9"/>
  <c r="F174" i="9" s="1"/>
  <c r="D185" i="9"/>
  <c r="G185" i="9" s="1"/>
  <c r="D173" i="9"/>
  <c r="F173" i="9" s="1"/>
  <c r="D186" i="9"/>
  <c r="G186" i="9" s="1"/>
  <c r="D187" i="9"/>
  <c r="G187" i="9" s="1"/>
  <c r="D188" i="9"/>
  <c r="G188" i="9" s="1"/>
  <c r="D189" i="9"/>
  <c r="F189" i="9" s="1"/>
  <c r="D169" i="9"/>
  <c r="D171" i="9"/>
  <c r="E171" i="9" s="1"/>
  <c r="D143" i="9"/>
  <c r="E143" i="9" s="1"/>
  <c r="D145" i="9"/>
  <c r="E145" i="9" s="1"/>
  <c r="D146" i="9"/>
  <c r="F146" i="9" s="1"/>
  <c r="D147" i="9"/>
  <c r="F147" i="9" s="1"/>
  <c r="D148" i="9"/>
  <c r="F148" i="9" s="1"/>
  <c r="D149" i="9"/>
  <c r="E149" i="9" s="1"/>
  <c r="D150" i="9"/>
  <c r="E150" i="9" s="1"/>
  <c r="D151" i="9"/>
  <c r="E151" i="9" s="1"/>
  <c r="D152" i="9"/>
  <c r="E152" i="9" s="1"/>
  <c r="D153" i="9"/>
  <c r="E153" i="9" s="1"/>
  <c r="D154" i="9"/>
  <c r="E154" i="9" s="1"/>
  <c r="D155" i="9"/>
  <c r="E155" i="9" s="1"/>
  <c r="D156" i="9"/>
  <c r="E156" i="9" s="1"/>
  <c r="D157" i="9"/>
  <c r="E157" i="9" s="1"/>
  <c r="D158" i="9"/>
  <c r="G158" i="9" s="1"/>
  <c r="D159" i="9"/>
  <c r="G159" i="9" s="1"/>
  <c r="D160" i="9"/>
  <c r="G160" i="9" s="1"/>
  <c r="D161" i="9"/>
  <c r="G161" i="9" s="1"/>
  <c r="D162" i="9"/>
  <c r="F162" i="9" s="1"/>
  <c r="D142" i="9"/>
  <c r="R143" i="9"/>
  <c r="D144" i="9"/>
  <c r="E144" i="9" s="1"/>
  <c r="D119" i="9"/>
  <c r="F119" i="9" s="1"/>
  <c r="D130" i="9"/>
  <c r="E130" i="9" s="1"/>
  <c r="D118" i="9"/>
  <c r="E118" i="9" s="1"/>
  <c r="D121" i="9"/>
  <c r="F121" i="9" s="1"/>
  <c r="D116" i="9"/>
  <c r="R116" i="9"/>
  <c r="D115" i="9"/>
  <c r="D135" i="9"/>
  <c r="F135" i="9" s="1"/>
  <c r="D134" i="9"/>
  <c r="G134" i="9" s="1"/>
  <c r="D133" i="9"/>
  <c r="G133" i="9" s="1"/>
  <c r="D132" i="9"/>
  <c r="G132" i="9" s="1"/>
  <c r="D131" i="9"/>
  <c r="G131" i="9" s="1"/>
  <c r="D120" i="9"/>
  <c r="F120" i="9" s="1"/>
  <c r="D122" i="9"/>
  <c r="E122" i="9" s="1"/>
  <c r="D123" i="9"/>
  <c r="E123" i="9" s="1"/>
  <c r="D124" i="9"/>
  <c r="E124" i="9" s="1"/>
  <c r="D125" i="9"/>
  <c r="E125" i="9" s="1"/>
  <c r="D126" i="9"/>
  <c r="E126" i="9" s="1"/>
  <c r="D127" i="9"/>
  <c r="E127" i="9" s="1"/>
  <c r="D128" i="9"/>
  <c r="E128" i="9" s="1"/>
  <c r="D129" i="9"/>
  <c r="E129" i="9" s="1"/>
  <c r="D117" i="9"/>
  <c r="E117" i="9" s="1"/>
  <c r="D104" i="9"/>
  <c r="G104" i="9" s="1"/>
  <c r="D105" i="9"/>
  <c r="G105" i="9" s="1"/>
  <c r="D106" i="9"/>
  <c r="G106" i="9" s="1"/>
  <c r="D107" i="9"/>
  <c r="G107" i="9" s="1"/>
  <c r="D108" i="9"/>
  <c r="F108" i="9" s="1"/>
  <c r="D88" i="9"/>
  <c r="D89" i="9"/>
  <c r="E89" i="9" s="1"/>
  <c r="D90" i="9"/>
  <c r="E90" i="9" s="1"/>
  <c r="D91" i="9"/>
  <c r="E91" i="9" s="1"/>
  <c r="D92" i="9"/>
  <c r="F92" i="9" s="1"/>
  <c r="D93" i="9"/>
  <c r="F93" i="9" s="1"/>
  <c r="D94" i="9"/>
  <c r="F94" i="9" s="1"/>
  <c r="D95" i="9"/>
  <c r="E95" i="9" s="1"/>
  <c r="D96" i="9"/>
  <c r="E96" i="9" s="1"/>
  <c r="D97" i="9"/>
  <c r="E97" i="9" s="1"/>
  <c r="D98" i="9"/>
  <c r="E98" i="9" s="1"/>
  <c r="D99" i="9"/>
  <c r="E99" i="9" s="1"/>
  <c r="D100" i="9"/>
  <c r="E100" i="9" s="1"/>
  <c r="R89" i="9"/>
  <c r="D101" i="9"/>
  <c r="E101" i="9" s="1"/>
  <c r="D102" i="9"/>
  <c r="E102" i="9" s="1"/>
  <c r="D103" i="9"/>
  <c r="E103" i="9" s="1"/>
  <c r="R62" i="9"/>
  <c r="D74" i="9"/>
  <c r="E74" i="9" s="1"/>
  <c r="D72" i="9"/>
  <c r="E72" i="9" s="1"/>
  <c r="D71" i="9"/>
  <c r="E71" i="9" s="1"/>
  <c r="D70" i="9"/>
  <c r="E70" i="9" s="1"/>
  <c r="D69" i="9"/>
  <c r="E69" i="9" s="1"/>
  <c r="D68" i="9"/>
  <c r="E68" i="9" s="1"/>
  <c r="D67" i="9"/>
  <c r="F67" i="9" s="1"/>
  <c r="D66" i="9"/>
  <c r="F66" i="9" s="1"/>
  <c r="D65" i="9"/>
  <c r="F65" i="9" s="1"/>
  <c r="D64" i="9"/>
  <c r="E64" i="9" s="1"/>
  <c r="D63" i="9"/>
  <c r="E63" i="9" s="1"/>
  <c r="D62" i="9"/>
  <c r="E62" i="9" s="1"/>
  <c r="D81" i="9"/>
  <c r="F81" i="9" s="1"/>
  <c r="D80" i="9"/>
  <c r="G80" i="9" s="1"/>
  <c r="D79" i="9"/>
  <c r="G79" i="9" s="1"/>
  <c r="D78" i="9"/>
  <c r="G78" i="9" s="1"/>
  <c r="D77" i="9"/>
  <c r="G77" i="9" s="1"/>
  <c r="D76" i="9"/>
  <c r="E76" i="9" s="1"/>
  <c r="D75" i="9"/>
  <c r="E75" i="9" s="1"/>
  <c r="D73" i="9"/>
  <c r="E73" i="9" s="1"/>
  <c r="R2" i="14"/>
  <c r="R9" i="14" s="1"/>
  <c r="O9" i="14"/>
  <c r="AO89" i="9"/>
  <c r="AO90" i="9" s="1"/>
  <c r="AP89" i="9"/>
  <c r="AP90" i="9" s="1"/>
  <c r="F25" i="12"/>
  <c r="O3" i="12" s="1"/>
  <c r="G25" i="12"/>
  <c r="P3" i="12" s="1"/>
  <c r="H25" i="12"/>
  <c r="Q3" i="12" s="1"/>
  <c r="H32" i="13"/>
  <c r="H33" i="13" s="1"/>
  <c r="H34" i="13" s="1"/>
  <c r="H17" i="13"/>
  <c r="H18" i="13" s="1"/>
  <c r="G32" i="13"/>
  <c r="G33" i="13" s="1"/>
  <c r="G34" i="13" s="1"/>
  <c r="G17" i="13"/>
  <c r="G18" i="13" s="1"/>
  <c r="F32" i="13"/>
  <c r="F33" i="13" s="1"/>
  <c r="F34" i="13" s="1"/>
  <c r="F17" i="13"/>
  <c r="F18" i="13" s="1"/>
  <c r="D32" i="13"/>
  <c r="D33" i="13" s="1"/>
  <c r="D34" i="13" s="1"/>
  <c r="D18" i="13"/>
  <c r="C32" i="13"/>
  <c r="C33" i="13" s="1"/>
  <c r="C17" i="13"/>
  <c r="B22" i="8"/>
  <c r="C18" i="8" s="1"/>
  <c r="D22" i="8"/>
  <c r="E18" i="8" s="1"/>
  <c r="F22" i="8"/>
  <c r="G22" i="8" s="1"/>
  <c r="H22" i="8"/>
  <c r="I19" i="8" s="1"/>
  <c r="J22" i="8"/>
  <c r="K22" i="8" s="1"/>
  <c r="L22" i="8"/>
  <c r="M44" i="8" s="1"/>
  <c r="N22" i="8"/>
  <c r="O40" i="8" s="1"/>
  <c r="P22" i="8"/>
  <c r="Q22" i="8" s="1"/>
  <c r="R22" i="8"/>
  <c r="S18" i="8" s="1"/>
  <c r="T22" i="8"/>
  <c r="U18" i="8" s="1"/>
  <c r="U22" i="8"/>
  <c r="V22" i="8"/>
  <c r="W32" i="8" s="1"/>
  <c r="X22" i="8"/>
  <c r="Y33" i="8" s="1"/>
  <c r="AI33" i="1" s="1"/>
  <c r="AM33" i="1" s="1"/>
  <c r="B28" i="8"/>
  <c r="C28" i="8" s="1"/>
  <c r="D28" i="8"/>
  <c r="E28" i="8" s="1"/>
  <c r="F28" i="8"/>
  <c r="H28" i="8"/>
  <c r="J28" i="8"/>
  <c r="L28" i="8"/>
  <c r="N28" i="8"/>
  <c r="P28" i="8"/>
  <c r="R28" i="8"/>
  <c r="S28" i="8" s="1"/>
  <c r="T28" i="8"/>
  <c r="U28" i="8" s="1"/>
  <c r="V28" i="8"/>
  <c r="X28" i="8"/>
  <c r="S32" i="8"/>
  <c r="B35" i="8"/>
  <c r="D35" i="8"/>
  <c r="F35" i="8"/>
  <c r="H35" i="8"/>
  <c r="J35" i="8"/>
  <c r="L35" i="8"/>
  <c r="N35" i="8"/>
  <c r="P35" i="8"/>
  <c r="R35" i="8"/>
  <c r="S35" i="8" s="1"/>
  <c r="T35" i="8"/>
  <c r="V35" i="8"/>
  <c r="X35" i="8"/>
  <c r="AA35" i="8" s="1"/>
  <c r="S41" i="8"/>
  <c r="B47" i="8"/>
  <c r="D42" i="8"/>
  <c r="D47" i="8" s="1"/>
  <c r="F42" i="8"/>
  <c r="F47" i="8" s="1"/>
  <c r="H42" i="8"/>
  <c r="H47" i="8" s="1"/>
  <c r="J42" i="8"/>
  <c r="J47" i="8" s="1"/>
  <c r="L42" i="8"/>
  <c r="L47" i="8" s="1"/>
  <c r="N42" i="8"/>
  <c r="N47" i="8" s="1"/>
  <c r="P42" i="8"/>
  <c r="P47" i="8" s="1"/>
  <c r="R42" i="8"/>
  <c r="R47" i="8" s="1"/>
  <c r="T42" i="8"/>
  <c r="T47" i="8" s="1"/>
  <c r="V47" i="8"/>
  <c r="X47" i="8"/>
  <c r="AA47" i="8" s="1"/>
  <c r="B10" i="8"/>
  <c r="D10" i="8"/>
  <c r="F10" i="8"/>
  <c r="H10" i="8"/>
  <c r="J10" i="8"/>
  <c r="L10" i="8"/>
  <c r="N10" i="8"/>
  <c r="P10" i="8"/>
  <c r="R10" i="8"/>
  <c r="T10" i="8"/>
  <c r="X10" i="8"/>
  <c r="X21" i="1"/>
  <c r="X27" i="1"/>
  <c r="AA27" i="1" s="1"/>
  <c r="X35" i="1"/>
  <c r="AA35" i="1" s="1"/>
  <c r="V21" i="1"/>
  <c r="W53" i="1" s="1"/>
  <c r="V27" i="1"/>
  <c r="V35" i="1"/>
  <c r="V51" i="1"/>
  <c r="T21" i="1"/>
  <c r="U43" i="1" s="1"/>
  <c r="T27" i="1"/>
  <c r="T35" i="1"/>
  <c r="R21" i="1"/>
  <c r="S43" i="1" s="1"/>
  <c r="R27" i="1"/>
  <c r="R35" i="1"/>
  <c r="R51" i="1"/>
  <c r="P21" i="1"/>
  <c r="Q21" i="1" s="1"/>
  <c r="P27" i="1"/>
  <c r="P35" i="1"/>
  <c r="P51" i="1"/>
  <c r="N21" i="1"/>
  <c r="O27" i="1" s="1"/>
  <c r="N35" i="1"/>
  <c r="N51" i="1"/>
  <c r="L21" i="1"/>
  <c r="L35" i="1"/>
  <c r="L51" i="1"/>
  <c r="J21" i="1"/>
  <c r="K27" i="1" s="1"/>
  <c r="J35" i="1"/>
  <c r="J51" i="1"/>
  <c r="H21" i="1"/>
  <c r="I27" i="1" s="1"/>
  <c r="H35" i="1"/>
  <c r="H51" i="1"/>
  <c r="F21" i="1"/>
  <c r="F35" i="1"/>
  <c r="F51" i="1"/>
  <c r="D21" i="1"/>
  <c r="D35" i="1"/>
  <c r="B21" i="1"/>
  <c r="C53" i="1" s="1"/>
  <c r="B27" i="1"/>
  <c r="B35" i="1"/>
  <c r="B9" i="1"/>
  <c r="BH69" i="9" l="1"/>
  <c r="BJ69" i="9" s="1"/>
  <c r="BI66" i="9"/>
  <c r="BI69" i="9" s="1"/>
  <c r="BJ66" i="9"/>
  <c r="C24" i="9"/>
  <c r="P30" i="9"/>
  <c r="C25" i="9"/>
  <c r="P31" i="9"/>
  <c r="F82" i="9"/>
  <c r="F83" i="9" s="1"/>
  <c r="D82" i="9"/>
  <c r="D83" i="9" s="1"/>
  <c r="D84" i="9" s="1"/>
  <c r="W132" i="9"/>
  <c r="W133" i="9" s="1"/>
  <c r="E82" i="9"/>
  <c r="E83" i="9" s="1"/>
  <c r="V132" i="9"/>
  <c r="V133" i="9" s="1"/>
  <c r="AF33" i="1"/>
  <c r="Q32" i="8"/>
  <c r="Q28" i="8"/>
  <c r="Q35" i="8"/>
  <c r="Q49" i="8"/>
  <c r="Q41" i="8"/>
  <c r="Q40" i="8"/>
  <c r="E25" i="9"/>
  <c r="I25" i="9" s="1"/>
  <c r="R31" i="9"/>
  <c r="G114" i="11" s="1"/>
  <c r="D25" i="9"/>
  <c r="Q31" i="9"/>
  <c r="G113" i="11" s="1"/>
  <c r="AG71" i="9"/>
  <c r="AG72" i="9" s="1"/>
  <c r="D24" i="9" s="1"/>
  <c r="H25" i="9"/>
  <c r="E109" i="9"/>
  <c r="E110" i="9" s="1"/>
  <c r="X94" i="9"/>
  <c r="X95" i="9" s="1"/>
  <c r="Q28" i="9" s="1"/>
  <c r="M49" i="8"/>
  <c r="Y20" i="8"/>
  <c r="AA22" i="8"/>
  <c r="O47" i="8"/>
  <c r="M47" i="8"/>
  <c r="O28" i="8"/>
  <c r="M35" i="8"/>
  <c r="M28" i="8"/>
  <c r="M37" i="8"/>
  <c r="M32" i="8"/>
  <c r="K28" i="8"/>
  <c r="U49" i="8"/>
  <c r="Y44" i="8"/>
  <c r="AA28" i="8"/>
  <c r="Y28" i="8"/>
  <c r="I28" i="8"/>
  <c r="S49" i="8"/>
  <c r="W28" i="8"/>
  <c r="G28" i="8"/>
  <c r="H24" i="9"/>
  <c r="E190" i="9"/>
  <c r="E191" i="9" s="1"/>
  <c r="E192" i="9" s="1"/>
  <c r="C12" i="9" s="1"/>
  <c r="H12" i="9" s="1"/>
  <c r="F190" i="9"/>
  <c r="F191" i="9" s="1"/>
  <c r="F192" i="9" s="1"/>
  <c r="D12" i="9" s="1"/>
  <c r="E163" i="9"/>
  <c r="E164" i="9" s="1"/>
  <c r="E165" i="9" s="1"/>
  <c r="C11" i="9" s="1"/>
  <c r="H11" i="9" s="1"/>
  <c r="F163" i="9"/>
  <c r="F164" i="9" s="1"/>
  <c r="F165" i="9" s="1"/>
  <c r="D11" i="9" s="1"/>
  <c r="U19" i="1"/>
  <c r="M19" i="1"/>
  <c r="M27" i="1"/>
  <c r="Y34" i="1"/>
  <c r="Y30" i="1"/>
  <c r="Y21" i="1"/>
  <c r="Y19" i="1"/>
  <c r="AC19" i="1" s="1"/>
  <c r="Y20" i="1"/>
  <c r="Y18" i="1"/>
  <c r="AC18" i="1" s="1"/>
  <c r="Y17" i="1"/>
  <c r="AC17" i="1" s="1"/>
  <c r="Y35" i="1"/>
  <c r="Y31" i="1"/>
  <c r="Y33" i="1"/>
  <c r="G18" i="1"/>
  <c r="G27" i="1"/>
  <c r="E43" i="1"/>
  <c r="E27" i="1"/>
  <c r="C46" i="1"/>
  <c r="C34" i="1"/>
  <c r="C27" i="1"/>
  <c r="C30" i="1"/>
  <c r="C31" i="1"/>
  <c r="C35" i="1"/>
  <c r="C33" i="1"/>
  <c r="K32" i="8"/>
  <c r="W33" i="8"/>
  <c r="U31" i="8"/>
  <c r="Q19" i="8"/>
  <c r="U33" i="8"/>
  <c r="S31" i="8"/>
  <c r="E40" i="8"/>
  <c r="S33" i="8"/>
  <c r="Q31" i="8"/>
  <c r="Q18" i="8"/>
  <c r="E37" i="8"/>
  <c r="Q33" i="8"/>
  <c r="C35" i="8"/>
  <c r="O42" i="8"/>
  <c r="N29" i="8"/>
  <c r="N36" i="8" s="1"/>
  <c r="O22" i="8"/>
  <c r="M42" i="8"/>
  <c r="K18" i="8"/>
  <c r="O49" i="8"/>
  <c r="K44" i="8"/>
  <c r="K49" i="8"/>
  <c r="Z47" i="8"/>
  <c r="C47" i="8"/>
  <c r="M31" i="8"/>
  <c r="K35" i="8"/>
  <c r="U41" i="8"/>
  <c r="U32" i="8"/>
  <c r="K31" i="8"/>
  <c r="J29" i="8"/>
  <c r="K29" i="8" s="1"/>
  <c r="K21" i="8"/>
  <c r="I44" i="8"/>
  <c r="I33" i="8"/>
  <c r="E49" i="8"/>
  <c r="Q44" i="8"/>
  <c r="Q47" i="8"/>
  <c r="C42" i="8"/>
  <c r="S40" i="8"/>
  <c r="Q37" i="8"/>
  <c r="W22" i="8"/>
  <c r="I22" i="8"/>
  <c r="U47" i="8"/>
  <c r="E41" i="8"/>
  <c r="W37" i="8"/>
  <c r="I35" i="8"/>
  <c r="I34" i="8"/>
  <c r="E33" i="8"/>
  <c r="I32" i="8"/>
  <c r="E31" i="8"/>
  <c r="R29" i="8"/>
  <c r="S29" i="8" s="1"/>
  <c r="I47" i="8"/>
  <c r="G47" i="8"/>
  <c r="C40" i="8"/>
  <c r="U34" i="8"/>
  <c r="H29" i="8"/>
  <c r="H36" i="8" s="1"/>
  <c r="I41" i="8"/>
  <c r="S34" i="8"/>
  <c r="T29" i="8"/>
  <c r="T36" i="8" s="1"/>
  <c r="I18" i="8"/>
  <c r="U42" i="8"/>
  <c r="G41" i="8"/>
  <c r="Q34" i="8"/>
  <c r="I31" i="8"/>
  <c r="D29" i="8"/>
  <c r="E29" i="8" s="1"/>
  <c r="I49" i="8"/>
  <c r="U44" i="8"/>
  <c r="S42" i="8"/>
  <c r="C41" i="8"/>
  <c r="U37" i="8"/>
  <c r="G35" i="8"/>
  <c r="E34" i="8"/>
  <c r="C33" i="8"/>
  <c r="G32" i="8"/>
  <c r="V29" i="8"/>
  <c r="W29" i="8" s="1"/>
  <c r="W47" i="8"/>
  <c r="I40" i="8"/>
  <c r="I37" i="8"/>
  <c r="W34" i="8"/>
  <c r="E44" i="8"/>
  <c r="C44" i="8"/>
  <c r="I42" i="8"/>
  <c r="G33" i="8"/>
  <c r="Q21" i="8"/>
  <c r="G49" i="8"/>
  <c r="S44" i="8"/>
  <c r="S47" i="8"/>
  <c r="E47" i="8"/>
  <c r="U40" i="8"/>
  <c r="S37" i="8"/>
  <c r="U35" i="8"/>
  <c r="E32" i="8"/>
  <c r="P29" i="8"/>
  <c r="I20" i="8"/>
  <c r="AB11" i="8"/>
  <c r="Z34" i="8"/>
  <c r="Z44" i="8"/>
  <c r="Z28" i="8"/>
  <c r="Z49" i="8"/>
  <c r="O44" i="8"/>
  <c r="Q42" i="8"/>
  <c r="K41" i="8"/>
  <c r="K40" i="8"/>
  <c r="Y37" i="8"/>
  <c r="Y34" i="8"/>
  <c r="AI34" i="1" s="1"/>
  <c r="AM34" i="1" s="1"/>
  <c r="W31" i="8"/>
  <c r="X29" i="8"/>
  <c r="AA29" i="8" s="1"/>
  <c r="Q20" i="8"/>
  <c r="E42" i="8"/>
  <c r="M20" i="8"/>
  <c r="Y18" i="8"/>
  <c r="Y22" i="8"/>
  <c r="K20" i="8"/>
  <c r="M22" i="8"/>
  <c r="Y21" i="8"/>
  <c r="M18" i="8"/>
  <c r="Y19" i="8"/>
  <c r="M21" i="8"/>
  <c r="W44" i="8"/>
  <c r="K42" i="8"/>
  <c r="K37" i="8"/>
  <c r="O35" i="8"/>
  <c r="K34" i="8"/>
  <c r="Y49" i="8"/>
  <c r="K47" i="8"/>
  <c r="Y35" i="8"/>
  <c r="Y32" i="8"/>
  <c r="AI31" i="1" s="1"/>
  <c r="C32" i="8"/>
  <c r="B29" i="8"/>
  <c r="C29" i="8" s="1"/>
  <c r="I21" i="8"/>
  <c r="M19" i="8"/>
  <c r="W49" i="8"/>
  <c r="C49" i="8"/>
  <c r="O41" i="8"/>
  <c r="M33" i="8"/>
  <c r="C31" i="8"/>
  <c r="K19" i="8"/>
  <c r="M34" i="8"/>
  <c r="M41" i="8"/>
  <c r="M40" i="8"/>
  <c r="C37" i="8"/>
  <c r="W35" i="8"/>
  <c r="C34" i="8"/>
  <c r="K33" i="8"/>
  <c r="Y31" i="8"/>
  <c r="E22" i="8"/>
  <c r="K51" i="1"/>
  <c r="Y27" i="1"/>
  <c r="U27" i="1"/>
  <c r="Q27" i="1"/>
  <c r="S27" i="1"/>
  <c r="W27" i="1"/>
  <c r="AA21" i="1"/>
  <c r="G21" i="1"/>
  <c r="U18" i="1"/>
  <c r="G35" i="1"/>
  <c r="O37" i="1"/>
  <c r="M51" i="1"/>
  <c r="O20" i="1"/>
  <c r="K18" i="1"/>
  <c r="O19" i="1"/>
  <c r="I51" i="1"/>
  <c r="O21" i="1"/>
  <c r="K20" i="1"/>
  <c r="Q19" i="1"/>
  <c r="K53" i="1"/>
  <c r="K19" i="1"/>
  <c r="Q18" i="1"/>
  <c r="W51" i="1"/>
  <c r="I33" i="1"/>
  <c r="K30" i="1"/>
  <c r="W33" i="1"/>
  <c r="J28" i="1"/>
  <c r="K28" i="1" s="1"/>
  <c r="U53" i="1"/>
  <c r="W30" i="1"/>
  <c r="I19" i="1"/>
  <c r="I18" i="1"/>
  <c r="U46" i="1"/>
  <c r="E48" i="1"/>
  <c r="I17" i="1"/>
  <c r="U21" i="1"/>
  <c r="I31" i="1"/>
  <c r="E21" i="1"/>
  <c r="I21" i="1"/>
  <c r="E20" i="1"/>
  <c r="I53" i="1"/>
  <c r="I20" i="1"/>
  <c r="N28" i="1"/>
  <c r="P28" i="1"/>
  <c r="Q28" i="1" s="1"/>
  <c r="S18" i="1"/>
  <c r="U20" i="1"/>
  <c r="W31" i="1"/>
  <c r="W37" i="1"/>
  <c r="U44" i="1"/>
  <c r="S51" i="1"/>
  <c r="U37" i="1"/>
  <c r="W48" i="1"/>
  <c r="O31" i="1"/>
  <c r="Q43" i="1"/>
  <c r="T28" i="1"/>
  <c r="T36" i="1" s="1"/>
  <c r="U36" i="1" s="1"/>
  <c r="W35" i="1"/>
  <c r="W21" i="1"/>
  <c r="I30" i="1"/>
  <c r="H28" i="1"/>
  <c r="C43" i="1"/>
  <c r="K37" i="1"/>
  <c r="O30" i="1"/>
  <c r="S31" i="1"/>
  <c r="W34" i="1"/>
  <c r="W20" i="1"/>
  <c r="G51" i="1"/>
  <c r="S44" i="1"/>
  <c r="S37" i="1"/>
  <c r="E53" i="1"/>
  <c r="G43" i="1"/>
  <c r="I34" i="1"/>
  <c r="S53" i="1"/>
  <c r="S33" i="1"/>
  <c r="S19" i="1"/>
  <c r="G34" i="1"/>
  <c r="S46" i="1"/>
  <c r="E37" i="1"/>
  <c r="S48" i="1"/>
  <c r="S30" i="1"/>
  <c r="G46" i="1"/>
  <c r="G33" i="1"/>
  <c r="E35" i="1"/>
  <c r="G31" i="1"/>
  <c r="G48" i="1"/>
  <c r="E33" i="1"/>
  <c r="I43" i="1"/>
  <c r="I37" i="1"/>
  <c r="S21" i="1"/>
  <c r="W19" i="1"/>
  <c r="E34" i="1"/>
  <c r="I44" i="1"/>
  <c r="S35" i="1"/>
  <c r="U31" i="1"/>
  <c r="W17" i="1"/>
  <c r="E17" i="1"/>
  <c r="G44" i="1"/>
  <c r="I35" i="1"/>
  <c r="S17" i="1"/>
  <c r="S34" i="1"/>
  <c r="S20" i="1"/>
  <c r="U30" i="1"/>
  <c r="V28" i="1"/>
  <c r="W18" i="1"/>
  <c r="E31" i="1"/>
  <c r="K48" i="1"/>
  <c r="M33" i="1"/>
  <c r="C44" i="1"/>
  <c r="I46" i="1"/>
  <c r="K43" i="1"/>
  <c r="K31" i="1"/>
  <c r="K21" i="1"/>
  <c r="M37" i="1"/>
  <c r="L28" i="1"/>
  <c r="M18" i="1"/>
  <c r="O33" i="1"/>
  <c r="Q44" i="1"/>
  <c r="Q30" i="1"/>
  <c r="Q20" i="1"/>
  <c r="U17" i="1"/>
  <c r="U33" i="1"/>
  <c r="C21" i="1"/>
  <c r="M35" i="1"/>
  <c r="C19" i="1"/>
  <c r="C20" i="1"/>
  <c r="M46" i="1"/>
  <c r="Q37" i="1"/>
  <c r="C18" i="1"/>
  <c r="M17" i="1"/>
  <c r="M34" i="1"/>
  <c r="Q17" i="1"/>
  <c r="Q53" i="1"/>
  <c r="E46" i="1"/>
  <c r="E30" i="1"/>
  <c r="G17" i="1"/>
  <c r="G30" i="1"/>
  <c r="G20" i="1"/>
  <c r="K46" i="1"/>
  <c r="M43" i="1"/>
  <c r="M31" i="1"/>
  <c r="M21" i="1"/>
  <c r="O35" i="1"/>
  <c r="Q34" i="1"/>
  <c r="U51" i="1"/>
  <c r="U35" i="1"/>
  <c r="C37" i="1"/>
  <c r="M48" i="1"/>
  <c r="K35" i="1"/>
  <c r="B28" i="1"/>
  <c r="D28" i="1"/>
  <c r="G19" i="1"/>
  <c r="K17" i="1"/>
  <c r="K34" i="1"/>
  <c r="M53" i="1"/>
  <c r="M30" i="1"/>
  <c r="M20" i="1"/>
  <c r="Q48" i="1"/>
  <c r="Q33" i="1"/>
  <c r="R28" i="1"/>
  <c r="U48" i="1"/>
  <c r="M44" i="1"/>
  <c r="Q35" i="1"/>
  <c r="C51" i="1"/>
  <c r="C48" i="1"/>
  <c r="E44" i="1"/>
  <c r="G53" i="1"/>
  <c r="G37" i="1"/>
  <c r="F28" i="1"/>
  <c r="I48" i="1"/>
  <c r="K44" i="1"/>
  <c r="K33" i="1"/>
  <c r="O34" i="1"/>
  <c r="Q46" i="1"/>
  <c r="Q31" i="1"/>
  <c r="U34" i="1"/>
  <c r="AB40" i="18"/>
  <c r="AB41" i="18"/>
  <c r="Z17" i="1"/>
  <c r="Z53" i="1"/>
  <c r="Z48" i="1"/>
  <c r="Z37" i="1"/>
  <c r="Z34" i="1"/>
  <c r="Z33" i="1"/>
  <c r="Z31" i="1"/>
  <c r="Z30" i="1"/>
  <c r="Z20" i="1"/>
  <c r="AD20" i="1" s="1"/>
  <c r="AD19" i="1"/>
  <c r="Z18" i="1"/>
  <c r="AD18" i="1" s="1"/>
  <c r="Z21" i="1"/>
  <c r="Y53" i="1"/>
  <c r="Y37" i="1"/>
  <c r="X28" i="1"/>
  <c r="Y48" i="1"/>
  <c r="Z27" i="1"/>
  <c r="Z35" i="1"/>
  <c r="Z51" i="1"/>
  <c r="Y51" i="1"/>
  <c r="Q51" i="1"/>
  <c r="O43" i="1"/>
  <c r="O17" i="1"/>
  <c r="O53" i="1"/>
  <c r="O51" i="1"/>
  <c r="O48" i="1"/>
  <c r="O18" i="1"/>
  <c r="O46" i="1"/>
  <c r="O44" i="1"/>
  <c r="E19" i="1"/>
  <c r="E18" i="1"/>
  <c r="E51" i="1"/>
  <c r="C17" i="1"/>
  <c r="Y99" i="9"/>
  <c r="Y132" i="9" s="1"/>
  <c r="Y133" i="9" s="1"/>
  <c r="V94" i="9"/>
  <c r="V95" i="9" s="1"/>
  <c r="W62" i="9"/>
  <c r="W94" i="9" s="1"/>
  <c r="AE71" i="9"/>
  <c r="AE72" i="9" s="1"/>
  <c r="AH62" i="9"/>
  <c r="AH71" i="9" s="1"/>
  <c r="AH72" i="9" s="1"/>
  <c r="M223" i="9"/>
  <c r="M244" i="9"/>
  <c r="N244" i="9" s="1"/>
  <c r="M243" i="9"/>
  <c r="N243" i="9" s="1"/>
  <c r="M242" i="9"/>
  <c r="N242" i="9" s="1"/>
  <c r="M241" i="9"/>
  <c r="N241" i="9" s="1"/>
  <c r="M240" i="9"/>
  <c r="P240" i="9" s="1"/>
  <c r="M239" i="9"/>
  <c r="P239" i="9" s="1"/>
  <c r="M238" i="9"/>
  <c r="P238" i="9" s="1"/>
  <c r="M237" i="9"/>
  <c r="P237" i="9" s="1"/>
  <c r="M236" i="9"/>
  <c r="P236" i="9" s="1"/>
  <c r="M235" i="9"/>
  <c r="N235" i="9" s="1"/>
  <c r="M234" i="9"/>
  <c r="P234" i="9" s="1"/>
  <c r="M233" i="9"/>
  <c r="P233" i="9" s="1"/>
  <c r="M232" i="9"/>
  <c r="P232" i="9" s="1"/>
  <c r="M231" i="9"/>
  <c r="P231" i="9" s="1"/>
  <c r="M230" i="9"/>
  <c r="N230" i="9" s="1"/>
  <c r="M229" i="9"/>
  <c r="O229" i="9" s="1"/>
  <c r="O248" i="9" s="1"/>
  <c r="O249" i="9" s="1"/>
  <c r="O250" i="9" s="1"/>
  <c r="D21" i="9" s="1"/>
  <c r="M228" i="9"/>
  <c r="P228" i="9" s="1"/>
  <c r="M227" i="9"/>
  <c r="N227" i="9" s="1"/>
  <c r="M226" i="9"/>
  <c r="N226" i="9" s="1"/>
  <c r="M225" i="9"/>
  <c r="N225" i="9" s="1"/>
  <c r="M224" i="9"/>
  <c r="N224" i="9" s="1"/>
  <c r="M247" i="9"/>
  <c r="N247" i="9" s="1"/>
  <c r="M246" i="9"/>
  <c r="P246" i="9" s="1"/>
  <c r="M245" i="9"/>
  <c r="N245" i="9" s="1"/>
  <c r="G223" i="9"/>
  <c r="D261" i="9"/>
  <c r="D262" i="9" s="1"/>
  <c r="D263" i="9" s="1"/>
  <c r="M196" i="9"/>
  <c r="M206" i="9"/>
  <c r="P206" i="9" s="1"/>
  <c r="M205" i="9"/>
  <c r="P205" i="9" s="1"/>
  <c r="M204" i="9"/>
  <c r="P204" i="9" s="1"/>
  <c r="M203" i="9"/>
  <c r="N203" i="9" s="1"/>
  <c r="M202" i="9"/>
  <c r="O202" i="9" s="1"/>
  <c r="O207" i="9" s="1"/>
  <c r="O208" i="9" s="1"/>
  <c r="O209" i="9" s="1"/>
  <c r="D20" i="9" s="1"/>
  <c r="M201" i="9"/>
  <c r="P201" i="9" s="1"/>
  <c r="M200" i="9"/>
  <c r="N200" i="9" s="1"/>
  <c r="M199" i="9"/>
  <c r="N199" i="9" s="1"/>
  <c r="M198" i="9"/>
  <c r="N198" i="9" s="1"/>
  <c r="M197" i="9"/>
  <c r="N197" i="9" s="1"/>
  <c r="D217" i="9"/>
  <c r="D218" i="9" s="1"/>
  <c r="D219" i="9" s="1"/>
  <c r="G196" i="9"/>
  <c r="G217" i="9" s="1"/>
  <c r="G218" i="9" s="1"/>
  <c r="G219" i="9" s="1"/>
  <c r="E13" i="9" s="1"/>
  <c r="M169" i="9"/>
  <c r="M179" i="9"/>
  <c r="P179" i="9" s="1"/>
  <c r="M178" i="9"/>
  <c r="P178" i="9" s="1"/>
  <c r="M177" i="9"/>
  <c r="P177" i="9" s="1"/>
  <c r="M176" i="9"/>
  <c r="N176" i="9" s="1"/>
  <c r="M175" i="9"/>
  <c r="O175" i="9" s="1"/>
  <c r="O180" i="9" s="1"/>
  <c r="O181" i="9" s="1"/>
  <c r="M174" i="9"/>
  <c r="P174" i="9" s="1"/>
  <c r="M173" i="9"/>
  <c r="N173" i="9" s="1"/>
  <c r="M172" i="9"/>
  <c r="N172" i="9" s="1"/>
  <c r="M171" i="9"/>
  <c r="N171" i="9" s="1"/>
  <c r="M170" i="9"/>
  <c r="N170" i="9" s="1"/>
  <c r="G169" i="9"/>
  <c r="G190" i="9" s="1"/>
  <c r="G191" i="9" s="1"/>
  <c r="G192" i="9" s="1"/>
  <c r="E12" i="9" s="1"/>
  <c r="D190" i="9"/>
  <c r="D191" i="9" s="1"/>
  <c r="D192" i="9" s="1"/>
  <c r="D163" i="9"/>
  <c r="D164" i="9" s="1"/>
  <c r="D165" i="9" s="1"/>
  <c r="G142" i="9"/>
  <c r="G163" i="9" s="1"/>
  <c r="G164" i="9" s="1"/>
  <c r="G165" i="9" s="1"/>
  <c r="E11" i="9" s="1"/>
  <c r="M142" i="9"/>
  <c r="P142" i="9" s="1"/>
  <c r="M152" i="9"/>
  <c r="P152" i="9" s="1"/>
  <c r="M151" i="9"/>
  <c r="P151" i="9" s="1"/>
  <c r="M150" i="9"/>
  <c r="P150" i="9" s="1"/>
  <c r="M149" i="9"/>
  <c r="N149" i="9" s="1"/>
  <c r="M148" i="9"/>
  <c r="O148" i="9" s="1"/>
  <c r="O153" i="9" s="1"/>
  <c r="O154" i="9" s="1"/>
  <c r="M147" i="9"/>
  <c r="P147" i="9" s="1"/>
  <c r="M146" i="9"/>
  <c r="N146" i="9" s="1"/>
  <c r="M145" i="9"/>
  <c r="N145" i="9" s="1"/>
  <c r="M144" i="9"/>
  <c r="N144" i="9" s="1"/>
  <c r="M143" i="9"/>
  <c r="N143" i="9" s="1"/>
  <c r="E116" i="9"/>
  <c r="E136" i="9" s="1"/>
  <c r="E137" i="9" s="1"/>
  <c r="E138" i="9" s="1"/>
  <c r="C10" i="9" s="1"/>
  <c r="H10" i="9" s="1"/>
  <c r="M115" i="9"/>
  <c r="M125" i="9"/>
  <c r="P125" i="9" s="1"/>
  <c r="M124" i="9"/>
  <c r="P124" i="9" s="1"/>
  <c r="M123" i="9"/>
  <c r="P123" i="9" s="1"/>
  <c r="M122" i="9"/>
  <c r="N122" i="9" s="1"/>
  <c r="M121" i="9"/>
  <c r="O121" i="9" s="1"/>
  <c r="O126" i="9" s="1"/>
  <c r="O127" i="9" s="1"/>
  <c r="O128" i="9" s="1"/>
  <c r="D17" i="9" s="1"/>
  <c r="M120" i="9"/>
  <c r="P120" i="9" s="1"/>
  <c r="M119" i="9"/>
  <c r="N119" i="9" s="1"/>
  <c r="M118" i="9"/>
  <c r="N118" i="9" s="1"/>
  <c r="M117" i="9"/>
  <c r="N117" i="9" s="1"/>
  <c r="M116" i="9"/>
  <c r="N116" i="9" s="1"/>
  <c r="D136" i="9"/>
  <c r="D137" i="9" s="1"/>
  <c r="D138" i="9" s="1"/>
  <c r="G115" i="9"/>
  <c r="G136" i="9" s="1"/>
  <c r="G137" i="9" s="1"/>
  <c r="G138" i="9" s="1"/>
  <c r="E10" i="9" s="1"/>
  <c r="D109" i="9"/>
  <c r="D110" i="9" s="1"/>
  <c r="D111" i="9" s="1"/>
  <c r="G88" i="9"/>
  <c r="G109" i="9" s="1"/>
  <c r="G110" i="9" s="1"/>
  <c r="M88" i="9"/>
  <c r="M98" i="9"/>
  <c r="P98" i="9" s="1"/>
  <c r="M97" i="9"/>
  <c r="P97" i="9" s="1"/>
  <c r="M96" i="9"/>
  <c r="P96" i="9" s="1"/>
  <c r="M95" i="9"/>
  <c r="N95" i="9" s="1"/>
  <c r="M94" i="9"/>
  <c r="O94" i="9" s="1"/>
  <c r="O99" i="9" s="1"/>
  <c r="O100" i="9" s="1"/>
  <c r="O101" i="9" s="1"/>
  <c r="D16" i="9" s="1"/>
  <c r="M93" i="9"/>
  <c r="P93" i="9" s="1"/>
  <c r="M92" i="9"/>
  <c r="N92" i="9" s="1"/>
  <c r="M91" i="9"/>
  <c r="N91" i="9" s="1"/>
  <c r="M90" i="9"/>
  <c r="N90" i="9" s="1"/>
  <c r="M89" i="9"/>
  <c r="N89" i="9" s="1"/>
  <c r="M61" i="9"/>
  <c r="M71" i="9"/>
  <c r="P71" i="9" s="1"/>
  <c r="M70" i="9"/>
  <c r="P70" i="9" s="1"/>
  <c r="M69" i="9"/>
  <c r="P69" i="9" s="1"/>
  <c r="M68" i="9"/>
  <c r="N68" i="9" s="1"/>
  <c r="M67" i="9"/>
  <c r="O67" i="9" s="1"/>
  <c r="O72" i="9" s="1"/>
  <c r="O73" i="9" s="1"/>
  <c r="O74" i="9" s="1"/>
  <c r="D15" i="9" s="1"/>
  <c r="M66" i="9"/>
  <c r="P66" i="9" s="1"/>
  <c r="M65" i="9"/>
  <c r="N65" i="9" s="1"/>
  <c r="M64" i="9"/>
  <c r="N64" i="9" s="1"/>
  <c r="M63" i="9"/>
  <c r="N63" i="9" s="1"/>
  <c r="M62" i="9"/>
  <c r="N62" i="9" s="1"/>
  <c r="G61" i="9"/>
  <c r="R3" i="12"/>
  <c r="F136" i="9"/>
  <c r="F137" i="9" s="1"/>
  <c r="F138" i="9" s="1"/>
  <c r="D10" i="9" s="1"/>
  <c r="X132" i="9"/>
  <c r="X133" i="9" s="1"/>
  <c r="Y94" i="9"/>
  <c r="Y95" i="9" s="1"/>
  <c r="R28" i="9" s="1"/>
  <c r="G261" i="9"/>
  <c r="G262" i="9" s="1"/>
  <c r="G263" i="9" s="1"/>
  <c r="E14" i="9" s="1"/>
  <c r="E261" i="9"/>
  <c r="E262" i="9" s="1"/>
  <c r="E263" i="9" s="1"/>
  <c r="E217" i="9"/>
  <c r="E218" i="9" s="1"/>
  <c r="E219" i="9" s="1"/>
  <c r="C13" i="9" s="1"/>
  <c r="H13" i="9" s="1"/>
  <c r="F217" i="9"/>
  <c r="F218" i="9" s="1"/>
  <c r="F219" i="9" s="1"/>
  <c r="D13" i="9" s="1"/>
  <c r="F109" i="9"/>
  <c r="F110" i="9" s="1"/>
  <c r="F111" i="9" s="1"/>
  <c r="D9" i="9" s="1"/>
  <c r="H43" i="12"/>
  <c r="H44" i="12" s="1"/>
  <c r="Q4" i="12" s="1"/>
  <c r="G43" i="12"/>
  <c r="G44" i="12" s="1"/>
  <c r="P4" i="12" s="1"/>
  <c r="F43" i="12"/>
  <c r="F44" i="12" s="1"/>
  <c r="O4" i="12" s="1"/>
  <c r="AB47" i="8"/>
  <c r="AE47" i="8" s="1"/>
  <c r="AB35" i="8"/>
  <c r="AE35" i="8" s="1"/>
  <c r="O29" i="8"/>
  <c r="Y47" i="8"/>
  <c r="Z24" i="8"/>
  <c r="Z25" i="8"/>
  <c r="Z26" i="8"/>
  <c r="Z27" i="8"/>
  <c r="Z31" i="8"/>
  <c r="Z32" i="8"/>
  <c r="Z19" i="8"/>
  <c r="Z21" i="8"/>
  <c r="Z20" i="8"/>
  <c r="Z33" i="8"/>
  <c r="Z35" i="8"/>
  <c r="Z18" i="8"/>
  <c r="Z37" i="8"/>
  <c r="Z22" i="8"/>
  <c r="G18" i="8"/>
  <c r="G19" i="8"/>
  <c r="G20" i="8"/>
  <c r="G21" i="8"/>
  <c r="F29" i="8"/>
  <c r="G31" i="8"/>
  <c r="G37" i="8"/>
  <c r="G40" i="8"/>
  <c r="G44" i="8"/>
  <c r="G42" i="8"/>
  <c r="G34" i="8"/>
  <c r="E35" i="8"/>
  <c r="L29" i="8"/>
  <c r="O31" i="8"/>
  <c r="O32" i="8"/>
  <c r="O18" i="8"/>
  <c r="O19" i="8"/>
  <c r="O20" i="8"/>
  <c r="O21" i="8"/>
  <c r="O37" i="8"/>
  <c r="O34" i="8"/>
  <c r="O33" i="8"/>
  <c r="W18" i="8"/>
  <c r="W19" i="8"/>
  <c r="W20" i="8"/>
  <c r="W21" i="8"/>
  <c r="S22" i="8"/>
  <c r="C22" i="8"/>
  <c r="U21" i="8"/>
  <c r="E21" i="8"/>
  <c r="U20" i="8"/>
  <c r="E20" i="8"/>
  <c r="U19" i="8"/>
  <c r="E19" i="8"/>
  <c r="S21" i="8"/>
  <c r="C21" i="8"/>
  <c r="S20" i="8"/>
  <c r="C20" i="8"/>
  <c r="S19" i="8"/>
  <c r="C19" i="8"/>
  <c r="P29" i="9" l="1"/>
  <c r="C23" i="9"/>
  <c r="E111" i="9"/>
  <c r="C9" i="9" s="1"/>
  <c r="H9" i="9" s="1"/>
  <c r="C14" i="9"/>
  <c r="C12" i="21"/>
  <c r="AB10" i="8"/>
  <c r="AB19" i="8" s="1"/>
  <c r="AM31" i="1"/>
  <c r="AJ31" i="1" s="1"/>
  <c r="AF31" i="1"/>
  <c r="AB19" i="1"/>
  <c r="G82" i="9"/>
  <c r="G83" i="9" s="1"/>
  <c r="G84" i="9" s="1"/>
  <c r="E8" i="9" s="1"/>
  <c r="I8" i="9" s="1"/>
  <c r="F25" i="9"/>
  <c r="K25" i="9" s="1"/>
  <c r="F114" i="11"/>
  <c r="J25" i="9"/>
  <c r="L25" i="9"/>
  <c r="G25" i="9"/>
  <c r="F113" i="11"/>
  <c r="U31" i="9"/>
  <c r="G112" i="11"/>
  <c r="F154" i="11"/>
  <c r="U30" i="9"/>
  <c r="F158" i="11" s="1"/>
  <c r="I12" i="9"/>
  <c r="I11" i="9"/>
  <c r="I10" i="9"/>
  <c r="G111" i="9"/>
  <c r="E9" i="9" s="1"/>
  <c r="F9" i="9" s="1"/>
  <c r="AF34" i="1"/>
  <c r="AQ33" i="1"/>
  <c r="AU33" i="1" s="1"/>
  <c r="AJ33" i="1"/>
  <c r="C28" i="1"/>
  <c r="B36" i="1"/>
  <c r="B41" i="1" s="1"/>
  <c r="E22" i="9"/>
  <c r="S31" i="9"/>
  <c r="F84" i="9"/>
  <c r="D8" i="9" s="1"/>
  <c r="N207" i="9"/>
  <c r="N208" i="9" s="1"/>
  <c r="N209" i="9" s="1"/>
  <c r="C20" i="9" s="1"/>
  <c r="H20" i="9" s="1"/>
  <c r="W95" i="9"/>
  <c r="N126" i="9"/>
  <c r="N127" i="9" s="1"/>
  <c r="N128" i="9" s="1"/>
  <c r="C17" i="9" s="1"/>
  <c r="H17" i="9" s="1"/>
  <c r="E23" i="9"/>
  <c r="R29" i="9"/>
  <c r="Q29" i="9"/>
  <c r="H23" i="9"/>
  <c r="E112" i="11"/>
  <c r="E84" i="9"/>
  <c r="C8" i="9" s="1"/>
  <c r="M72" i="9"/>
  <c r="M73" i="9" s="1"/>
  <c r="M74" i="9" s="1"/>
  <c r="Q30" i="9"/>
  <c r="V31" i="9"/>
  <c r="D22" i="9"/>
  <c r="D9" i="19"/>
  <c r="V36" i="8"/>
  <c r="V38" i="8" s="1"/>
  <c r="D10" i="19"/>
  <c r="E24" i="9"/>
  <c r="F24" i="9" s="1"/>
  <c r="R30" i="9"/>
  <c r="I14" i="9"/>
  <c r="I13" i="9"/>
  <c r="O182" i="9"/>
  <c r="D19" i="9" s="1"/>
  <c r="Q23" i="9"/>
  <c r="N153" i="9"/>
  <c r="N154" i="9" s="1"/>
  <c r="O155" i="9"/>
  <c r="D18" i="9" s="1"/>
  <c r="Q26" i="9"/>
  <c r="Q24" i="9"/>
  <c r="Q25" i="9"/>
  <c r="Q27" i="9"/>
  <c r="J36" i="8"/>
  <c r="K36" i="8" s="1"/>
  <c r="Q29" i="8"/>
  <c r="P36" i="8"/>
  <c r="I29" i="8"/>
  <c r="U29" i="8"/>
  <c r="R36" i="8"/>
  <c r="D36" i="8"/>
  <c r="D38" i="8" s="1"/>
  <c r="B36" i="8"/>
  <c r="Y29" i="8"/>
  <c r="X36" i="8"/>
  <c r="AA36" i="8" s="1"/>
  <c r="Z29" i="8"/>
  <c r="H38" i="8"/>
  <c r="I36" i="8"/>
  <c r="X36" i="1"/>
  <c r="AA36" i="1" s="1"/>
  <c r="AA28" i="1"/>
  <c r="T41" i="1"/>
  <c r="U28" i="1"/>
  <c r="J36" i="1"/>
  <c r="J41" i="1" s="1"/>
  <c r="J52" i="1" s="1"/>
  <c r="P36" i="1"/>
  <c r="Q36" i="1" s="1"/>
  <c r="N36" i="1"/>
  <c r="O28" i="1"/>
  <c r="H36" i="1"/>
  <c r="I28" i="1"/>
  <c r="V36" i="1"/>
  <c r="W28" i="1"/>
  <c r="G28" i="1"/>
  <c r="F36" i="1"/>
  <c r="M28" i="1"/>
  <c r="L36" i="1"/>
  <c r="S28" i="1"/>
  <c r="R36" i="1"/>
  <c r="E28" i="1"/>
  <c r="D36" i="1"/>
  <c r="B4" i="8"/>
  <c r="N72" i="9"/>
  <c r="N73" i="9" s="1"/>
  <c r="N74" i="9" s="1"/>
  <c r="C15" i="9" s="1"/>
  <c r="H15" i="9" s="1"/>
  <c r="N180" i="9"/>
  <c r="N181" i="9" s="1"/>
  <c r="F12" i="9"/>
  <c r="F11" i="9"/>
  <c r="AB39" i="18"/>
  <c r="AB42" i="18"/>
  <c r="AF40" i="18"/>
  <c r="Y28" i="1"/>
  <c r="Z28" i="1"/>
  <c r="P223" i="9"/>
  <c r="P248" i="9" s="1"/>
  <c r="P249" i="9" s="1"/>
  <c r="P250" i="9" s="1"/>
  <c r="E21" i="9" s="1"/>
  <c r="M248" i="9"/>
  <c r="M249" i="9" s="1"/>
  <c r="M250" i="9" s="1"/>
  <c r="P196" i="9"/>
  <c r="P207" i="9" s="1"/>
  <c r="P208" i="9" s="1"/>
  <c r="P209" i="9" s="1"/>
  <c r="E20" i="9" s="1"/>
  <c r="M207" i="9"/>
  <c r="M208" i="9" s="1"/>
  <c r="M209" i="9" s="1"/>
  <c r="P169" i="9"/>
  <c r="P180" i="9" s="1"/>
  <c r="P181" i="9" s="1"/>
  <c r="M180" i="9"/>
  <c r="M181" i="9" s="1"/>
  <c r="M182" i="9" s="1"/>
  <c r="P153" i="9"/>
  <c r="P154" i="9" s="1"/>
  <c r="M153" i="9"/>
  <c r="M154" i="9" s="1"/>
  <c r="M155" i="9" s="1"/>
  <c r="M126" i="9"/>
  <c r="M127" i="9" s="1"/>
  <c r="M128" i="9" s="1"/>
  <c r="P115" i="9"/>
  <c r="P126" i="9" s="1"/>
  <c r="P127" i="9" s="1"/>
  <c r="P128" i="9" s="1"/>
  <c r="E17" i="9" s="1"/>
  <c r="P88" i="9"/>
  <c r="P99" i="9" s="1"/>
  <c r="P100" i="9" s="1"/>
  <c r="P101" i="9" s="1"/>
  <c r="E16" i="9" s="1"/>
  <c r="M99" i="9"/>
  <c r="M100" i="9" s="1"/>
  <c r="M101" i="9" s="1"/>
  <c r="P61" i="9"/>
  <c r="P72" i="9" s="1"/>
  <c r="P73" i="9" s="1"/>
  <c r="P74" i="9" s="1"/>
  <c r="E15" i="9" s="1"/>
  <c r="N248" i="9"/>
  <c r="N249" i="9" s="1"/>
  <c r="N250" i="9" s="1"/>
  <c r="C21" i="9" s="1"/>
  <c r="H21" i="9" s="1"/>
  <c r="F10" i="9"/>
  <c r="N99" i="9"/>
  <c r="N100" i="9" s="1"/>
  <c r="F13" i="9"/>
  <c r="R4" i="12"/>
  <c r="H63" i="12"/>
  <c r="H64" i="12" s="1"/>
  <c r="Q5" i="12" s="1"/>
  <c r="Q6" i="12" s="1"/>
  <c r="G63" i="12"/>
  <c r="G64" i="12" s="1"/>
  <c r="P5" i="12" s="1"/>
  <c r="P6" i="12" s="1"/>
  <c r="F63" i="12"/>
  <c r="F64" i="12" s="1"/>
  <c r="O5" i="12" s="1"/>
  <c r="AF47" i="8"/>
  <c r="AI47" i="8" s="1"/>
  <c r="L36" i="8"/>
  <c r="M29" i="8"/>
  <c r="F36" i="8"/>
  <c r="G29" i="8"/>
  <c r="U36" i="8"/>
  <c r="T38" i="8"/>
  <c r="N38" i="8"/>
  <c r="O36" i="8"/>
  <c r="Q34" i="9" l="1"/>
  <c r="G116" i="11"/>
  <c r="C22" i="9"/>
  <c r="H22" i="9" s="1"/>
  <c r="P28" i="9"/>
  <c r="F112" i="11" s="1"/>
  <c r="G117" i="11"/>
  <c r="N101" i="9"/>
  <c r="C16" i="9" s="1"/>
  <c r="P27" i="9"/>
  <c r="U27" i="9" s="1"/>
  <c r="P26" i="9"/>
  <c r="P25" i="9"/>
  <c r="P24" i="9"/>
  <c r="P23" i="9"/>
  <c r="P26" i="21"/>
  <c r="P46" i="21"/>
  <c r="AB20" i="8"/>
  <c r="AB26" i="8" s="1"/>
  <c r="AB21" i="8"/>
  <c r="AB27" i="8" s="1"/>
  <c r="AB12" i="8"/>
  <c r="B58" i="8"/>
  <c r="AB25" i="8"/>
  <c r="AB25" i="1"/>
  <c r="M25" i="9"/>
  <c r="D40" i="9" s="1"/>
  <c r="P39" i="9" s="1"/>
  <c r="L9" i="9"/>
  <c r="J9" i="9"/>
  <c r="G9" i="9"/>
  <c r="G13" i="9"/>
  <c r="L13" i="9"/>
  <c r="J13" i="9"/>
  <c r="G10" i="9"/>
  <c r="J10" i="9"/>
  <c r="L10" i="9"/>
  <c r="G11" i="9"/>
  <c r="J11" i="9"/>
  <c r="L11" i="9"/>
  <c r="T31" i="9"/>
  <c r="Y31" i="9"/>
  <c r="W31" i="9"/>
  <c r="G12" i="9"/>
  <c r="J12" i="9"/>
  <c r="L12" i="9"/>
  <c r="G24" i="9"/>
  <c r="J24" i="9"/>
  <c r="L24" i="9"/>
  <c r="E30" i="11"/>
  <c r="D28" i="9"/>
  <c r="R23" i="9"/>
  <c r="G30" i="11"/>
  <c r="F71" i="11"/>
  <c r="F30" i="11"/>
  <c r="I9" i="9"/>
  <c r="I22" i="9"/>
  <c r="S29" i="9"/>
  <c r="U29" i="9"/>
  <c r="F8" i="9"/>
  <c r="H8" i="9"/>
  <c r="H14" i="9"/>
  <c r="F14" i="9"/>
  <c r="K14" i="9" s="1"/>
  <c r="F155" i="11"/>
  <c r="I24" i="9"/>
  <c r="F156" i="11"/>
  <c r="I20" i="9"/>
  <c r="I17" i="9"/>
  <c r="AQ34" i="1"/>
  <c r="AU34" i="1" s="1"/>
  <c r="AJ34" i="1"/>
  <c r="AQ31" i="1"/>
  <c r="AU31" i="1" s="1"/>
  <c r="AQ30" i="1"/>
  <c r="AU30" i="1" s="1"/>
  <c r="AJ30" i="1"/>
  <c r="AY33" i="1"/>
  <c r="AR33" i="1"/>
  <c r="I23" i="9"/>
  <c r="E113" i="11"/>
  <c r="W36" i="8"/>
  <c r="E114" i="11"/>
  <c r="V29" i="9"/>
  <c r="X31" i="9"/>
  <c r="G71" i="11"/>
  <c r="V28" i="9"/>
  <c r="F117" i="11" s="1"/>
  <c r="F23" i="9"/>
  <c r="E71" i="11"/>
  <c r="E36" i="8"/>
  <c r="T52" i="1"/>
  <c r="U41" i="1"/>
  <c r="V30" i="9"/>
  <c r="F159" i="11" s="1"/>
  <c r="S30" i="9"/>
  <c r="X30" i="9" s="1"/>
  <c r="F161" i="11" s="1"/>
  <c r="K13" i="9"/>
  <c r="K12" i="9"/>
  <c r="K11" i="9"/>
  <c r="K10" i="9"/>
  <c r="K9" i="9"/>
  <c r="I21" i="9"/>
  <c r="N182" i="9"/>
  <c r="C19" i="9" s="1"/>
  <c r="P182" i="9"/>
  <c r="E19" i="9" s="1"/>
  <c r="N155" i="9"/>
  <c r="C18" i="9" s="1"/>
  <c r="P155" i="9"/>
  <c r="E18" i="9" s="1"/>
  <c r="R24" i="9"/>
  <c r="R27" i="9"/>
  <c r="R26" i="9"/>
  <c r="R25" i="9"/>
  <c r="F31" i="11" s="1"/>
  <c r="I16" i="9"/>
  <c r="I15" i="9"/>
  <c r="K24" i="9"/>
  <c r="J38" i="8"/>
  <c r="AF11" i="8"/>
  <c r="S36" i="8"/>
  <c r="R38" i="8"/>
  <c r="P38" i="8"/>
  <c r="Q36" i="8"/>
  <c r="I38" i="8"/>
  <c r="H48" i="8"/>
  <c r="Z36" i="8"/>
  <c r="X38" i="8"/>
  <c r="AA38" i="8" s="1"/>
  <c r="Y36" i="8"/>
  <c r="B38" i="8"/>
  <c r="C36" i="8"/>
  <c r="P41" i="1"/>
  <c r="Q41" i="1" s="1"/>
  <c r="K36" i="1"/>
  <c r="K41" i="1"/>
  <c r="C36" i="1"/>
  <c r="I36" i="1"/>
  <c r="H41" i="1"/>
  <c r="N41" i="1"/>
  <c r="O36" i="1"/>
  <c r="V41" i="1"/>
  <c r="W36" i="1"/>
  <c r="S36" i="1"/>
  <c r="R41" i="1"/>
  <c r="L41" i="1"/>
  <c r="M36" i="1"/>
  <c r="F41" i="1"/>
  <c r="G36" i="1"/>
  <c r="E36" i="1"/>
  <c r="D41" i="1"/>
  <c r="D52" i="1" s="1"/>
  <c r="K52" i="1"/>
  <c r="J54" i="1"/>
  <c r="K54" i="1" s="1"/>
  <c r="AB44" i="18"/>
  <c r="AF41" i="18" s="1"/>
  <c r="AJ41" i="18" s="1"/>
  <c r="AN41" i="18" s="1"/>
  <c r="AR41" i="18" s="1"/>
  <c r="AV41" i="18" s="1"/>
  <c r="AZ41" i="18" s="1"/>
  <c r="BD41" i="18" s="1"/>
  <c r="BH41" i="18" s="1"/>
  <c r="BL41" i="18" s="1"/>
  <c r="BP41" i="18" s="1"/>
  <c r="F20" i="9"/>
  <c r="F17" i="9"/>
  <c r="F15" i="9"/>
  <c r="AF39" i="18"/>
  <c r="AJ40" i="18"/>
  <c r="X41" i="1"/>
  <c r="AA41" i="1" s="1"/>
  <c r="Y36" i="1"/>
  <c r="Z36" i="1"/>
  <c r="B52" i="1"/>
  <c r="B54" i="1" s="1"/>
  <c r="C41" i="1"/>
  <c r="F21" i="9"/>
  <c r="O6" i="12"/>
  <c r="R6" i="12" s="1"/>
  <c r="R5" i="12"/>
  <c r="N48" i="8"/>
  <c r="O38" i="8"/>
  <c r="W38" i="8"/>
  <c r="V48" i="8"/>
  <c r="E38" i="8"/>
  <c r="D48" i="8"/>
  <c r="U38" i="8"/>
  <c r="T48" i="8"/>
  <c r="L38" i="8"/>
  <c r="M36" i="8"/>
  <c r="G36" i="8"/>
  <c r="F38" i="8"/>
  <c r="AJ47" i="8"/>
  <c r="AM47" i="8" s="1"/>
  <c r="G29" i="11" l="1"/>
  <c r="M10" i="9"/>
  <c r="U28" i="9"/>
  <c r="F116" i="11" s="1"/>
  <c r="S28" i="9"/>
  <c r="H16" i="9"/>
  <c r="F16" i="9"/>
  <c r="P34" i="9"/>
  <c r="U23" i="9"/>
  <c r="G115" i="11"/>
  <c r="G120" i="11"/>
  <c r="G118" i="11"/>
  <c r="V23" i="9"/>
  <c r="R34" i="9"/>
  <c r="G119" i="11"/>
  <c r="C11" i="21"/>
  <c r="AB18" i="8"/>
  <c r="AB22" i="8" s="1"/>
  <c r="AC20" i="8" s="1"/>
  <c r="Q26" i="21"/>
  <c r="P66" i="21"/>
  <c r="P27" i="21"/>
  <c r="P67" i="21"/>
  <c r="Q46" i="21"/>
  <c r="P47" i="21"/>
  <c r="AJ11" i="8"/>
  <c r="AN11" i="8" s="1"/>
  <c r="D12" i="21"/>
  <c r="AF10" i="8"/>
  <c r="D19" i="21"/>
  <c r="G31" i="11"/>
  <c r="M24" i="9"/>
  <c r="D39" i="9" s="1"/>
  <c r="P38" i="9" s="1"/>
  <c r="M12" i="9"/>
  <c r="M13" i="9"/>
  <c r="M11" i="9"/>
  <c r="M9" i="9"/>
  <c r="G20" i="9"/>
  <c r="J20" i="9"/>
  <c r="L20" i="9"/>
  <c r="Z31" i="9"/>
  <c r="L17" i="9"/>
  <c r="J17" i="9"/>
  <c r="G17" i="9"/>
  <c r="E31" i="11"/>
  <c r="Y29" i="9"/>
  <c r="E120" i="11" s="1"/>
  <c r="T29" i="9"/>
  <c r="W29" i="9"/>
  <c r="G14" i="9"/>
  <c r="J14" i="9"/>
  <c r="L14" i="9"/>
  <c r="G23" i="9"/>
  <c r="J23" i="9"/>
  <c r="L23" i="9"/>
  <c r="G21" i="9"/>
  <c r="J21" i="9"/>
  <c r="L21" i="9"/>
  <c r="Y30" i="9"/>
  <c r="F162" i="11" s="1"/>
  <c r="T30" i="9"/>
  <c r="F157" i="11" s="1"/>
  <c r="W30" i="9"/>
  <c r="F160" i="11" s="1"/>
  <c r="J15" i="9"/>
  <c r="G15" i="9"/>
  <c r="L15" i="9"/>
  <c r="U24" i="9"/>
  <c r="E70" i="11"/>
  <c r="E29" i="11"/>
  <c r="U25" i="9"/>
  <c r="F33" i="11" s="1"/>
  <c r="F29" i="11"/>
  <c r="J8" i="9"/>
  <c r="G8" i="9"/>
  <c r="L8" i="9"/>
  <c r="K8" i="9"/>
  <c r="F19" i="9"/>
  <c r="K19" i="9" s="1"/>
  <c r="H19" i="9"/>
  <c r="I19" i="9"/>
  <c r="U26" i="9"/>
  <c r="G33" i="11" s="1"/>
  <c r="G70" i="11"/>
  <c r="C28" i="9"/>
  <c r="H18" i="9"/>
  <c r="V27" i="9"/>
  <c r="AY31" i="1"/>
  <c r="AR31" i="1"/>
  <c r="BC33" i="1"/>
  <c r="AV33" i="1"/>
  <c r="AY30" i="1"/>
  <c r="AR30" i="1"/>
  <c r="AY34" i="1"/>
  <c r="AR34" i="1"/>
  <c r="E28" i="9"/>
  <c r="F72" i="11"/>
  <c r="E117" i="11"/>
  <c r="E116" i="11"/>
  <c r="K23" i="9"/>
  <c r="F22" i="9"/>
  <c r="G72" i="11"/>
  <c r="E72" i="11"/>
  <c r="F70" i="11"/>
  <c r="X29" i="9"/>
  <c r="E119" i="11" s="1"/>
  <c r="AF9" i="1"/>
  <c r="AB11" i="1"/>
  <c r="T54" i="1"/>
  <c r="U54" i="1" s="1"/>
  <c r="U52" i="1"/>
  <c r="I18" i="9"/>
  <c r="K21" i="9"/>
  <c r="K20" i="9"/>
  <c r="S23" i="9"/>
  <c r="S27" i="9"/>
  <c r="S24" i="9"/>
  <c r="S26" i="9"/>
  <c r="S25" i="9"/>
  <c r="V24" i="9"/>
  <c r="V26" i="9"/>
  <c r="V25" i="9"/>
  <c r="F34" i="11" s="1"/>
  <c r="F18" i="9"/>
  <c r="K17" i="9"/>
  <c r="K15" i="9"/>
  <c r="P52" i="1"/>
  <c r="K38" i="8"/>
  <c r="J48" i="8"/>
  <c r="AF12" i="8"/>
  <c r="AD31" i="8"/>
  <c r="AD35" i="8"/>
  <c r="AD33" i="8"/>
  <c r="AD32" i="8"/>
  <c r="AD37" i="8"/>
  <c r="AD34" i="8"/>
  <c r="AD47" i="8"/>
  <c r="AD44" i="8"/>
  <c r="AB13" i="8"/>
  <c r="Q38" i="8"/>
  <c r="P48" i="8"/>
  <c r="S38" i="8"/>
  <c r="R48" i="8"/>
  <c r="H50" i="8"/>
  <c r="I50" i="8" s="1"/>
  <c r="I48" i="8"/>
  <c r="B48" i="8"/>
  <c r="C38" i="8"/>
  <c r="Y38" i="8"/>
  <c r="X48" i="8"/>
  <c r="AA48" i="8" s="1"/>
  <c r="Z38" i="8"/>
  <c r="AA52" i="1"/>
  <c r="H52" i="1"/>
  <c r="I41" i="1"/>
  <c r="N52" i="1"/>
  <c r="O41" i="1"/>
  <c r="W41" i="1"/>
  <c r="V52" i="1"/>
  <c r="E41" i="1"/>
  <c r="M41" i="1"/>
  <c r="L52" i="1"/>
  <c r="AF42" i="18"/>
  <c r="G41" i="1"/>
  <c r="F52" i="1"/>
  <c r="R52" i="1"/>
  <c r="S41" i="1"/>
  <c r="AJ39" i="18"/>
  <c r="AJ42" i="18"/>
  <c r="AN40" i="18"/>
  <c r="X52" i="1"/>
  <c r="Y41" i="1"/>
  <c r="Z41" i="1"/>
  <c r="C52" i="1"/>
  <c r="C54" i="1"/>
  <c r="F48" i="8"/>
  <c r="G38" i="8"/>
  <c r="W48" i="8"/>
  <c r="V50" i="8"/>
  <c r="W50" i="8" s="1"/>
  <c r="AN47" i="8"/>
  <c r="AQ47" i="8" s="1"/>
  <c r="O48" i="8"/>
  <c r="N50" i="8"/>
  <c r="O50" i="8" s="1"/>
  <c r="U48" i="8"/>
  <c r="T50" i="8"/>
  <c r="U50" i="8" s="1"/>
  <c r="M38" i="8"/>
  <c r="L48" i="8"/>
  <c r="E48" i="8"/>
  <c r="D50" i="8"/>
  <c r="E50" i="8" s="1"/>
  <c r="AC18" i="8" l="1"/>
  <c r="P29" i="21"/>
  <c r="P30" i="21" s="1"/>
  <c r="P38" i="21" s="1"/>
  <c r="AC19" i="8"/>
  <c r="AC21" i="8"/>
  <c r="C46" i="21"/>
  <c r="C47" i="21" s="1"/>
  <c r="C26" i="21"/>
  <c r="D26" i="21" s="1"/>
  <c r="C13" i="21"/>
  <c r="P49" i="21"/>
  <c r="P50" i="21" s="1"/>
  <c r="P58" i="21" s="1"/>
  <c r="X28" i="9"/>
  <c r="F119" i="11" s="1"/>
  <c r="Y28" i="9"/>
  <c r="F120" i="11" s="1"/>
  <c r="T28" i="9"/>
  <c r="W28" i="9"/>
  <c r="F118" i="11" s="1"/>
  <c r="G121" i="11"/>
  <c r="E33" i="11"/>
  <c r="E34" i="11"/>
  <c r="G34" i="11"/>
  <c r="J16" i="9"/>
  <c r="L16" i="9"/>
  <c r="G16" i="9"/>
  <c r="K16" i="9"/>
  <c r="S34" i="9"/>
  <c r="U34" i="9"/>
  <c r="V34" i="9"/>
  <c r="R26" i="21"/>
  <c r="Q27" i="21"/>
  <c r="Q47" i="21"/>
  <c r="R46" i="21"/>
  <c r="C48" i="21"/>
  <c r="C49" i="21" s="1"/>
  <c r="C57" i="21" s="1"/>
  <c r="D46" i="21"/>
  <c r="C27" i="21"/>
  <c r="C28" i="21"/>
  <c r="C29" i="21" s="1"/>
  <c r="C37" i="21" s="1"/>
  <c r="E12" i="21"/>
  <c r="AJ10" i="8"/>
  <c r="AF18" i="8"/>
  <c r="AF24" i="8" s="1"/>
  <c r="AF19" i="8"/>
  <c r="AF21" i="8"/>
  <c r="AF20" i="8"/>
  <c r="E188" i="11" s="1"/>
  <c r="AR11" i="8"/>
  <c r="F12" i="21"/>
  <c r="AN10" i="8"/>
  <c r="AF11" i="1"/>
  <c r="AF17" i="1" s="1"/>
  <c r="AB17" i="1"/>
  <c r="AJ12" i="8"/>
  <c r="D11" i="21"/>
  <c r="D13" i="21" s="1"/>
  <c r="AH30" i="1"/>
  <c r="AF19" i="1"/>
  <c r="AF20" i="1"/>
  <c r="Q66" i="21"/>
  <c r="Q67" i="21"/>
  <c r="D18" i="21"/>
  <c r="C18" i="21"/>
  <c r="D8" i="21"/>
  <c r="AN9" i="1"/>
  <c r="E19" i="21"/>
  <c r="M14" i="9"/>
  <c r="C33" i="9" s="1"/>
  <c r="I28" i="9"/>
  <c r="F163" i="11"/>
  <c r="Z30" i="9"/>
  <c r="M17" i="9"/>
  <c r="Z29" i="9"/>
  <c r="F28" i="9"/>
  <c r="J18" i="9"/>
  <c r="L18" i="9"/>
  <c r="G18" i="9"/>
  <c r="T23" i="9"/>
  <c r="W23" i="9"/>
  <c r="Y23" i="9"/>
  <c r="H28" i="9"/>
  <c r="M23" i="9"/>
  <c r="C38" i="9" s="1"/>
  <c r="G19" i="9"/>
  <c r="J19" i="9"/>
  <c r="L19" i="9"/>
  <c r="M15" i="9"/>
  <c r="M21" i="9"/>
  <c r="C35" i="9" s="1"/>
  <c r="M20" i="9"/>
  <c r="W24" i="9"/>
  <c r="T24" i="9"/>
  <c r="Y24" i="9"/>
  <c r="W25" i="9"/>
  <c r="T25" i="9"/>
  <c r="Y25" i="9"/>
  <c r="T26" i="9"/>
  <c r="Y26" i="9"/>
  <c r="W26" i="9"/>
  <c r="M8" i="9"/>
  <c r="C32" i="9" s="1"/>
  <c r="W27" i="9"/>
  <c r="Y27" i="9"/>
  <c r="T27" i="9"/>
  <c r="G22" i="9"/>
  <c r="J22" i="9"/>
  <c r="L22" i="9"/>
  <c r="BB33" i="8"/>
  <c r="BR32" i="8"/>
  <c r="AL31" i="8"/>
  <c r="AL33" i="8"/>
  <c r="AP32" i="8"/>
  <c r="AP31" i="8"/>
  <c r="AP34" i="8"/>
  <c r="AP33" i="8"/>
  <c r="AT31" i="8"/>
  <c r="AT33" i="8"/>
  <c r="AT34" i="8"/>
  <c r="AT32" i="8"/>
  <c r="AX32" i="8"/>
  <c r="AX34" i="8"/>
  <c r="AX31" i="8"/>
  <c r="AX33" i="8"/>
  <c r="BB31" i="8"/>
  <c r="AL34" i="8"/>
  <c r="BB34" i="8"/>
  <c r="BB32" i="8"/>
  <c r="BF31" i="8"/>
  <c r="BF33" i="8"/>
  <c r="BF34" i="8"/>
  <c r="BF32" i="8"/>
  <c r="BJ31" i="8"/>
  <c r="BJ34" i="8"/>
  <c r="BJ32" i="8"/>
  <c r="BJ33" i="8"/>
  <c r="BR31" i="8"/>
  <c r="BN31" i="8"/>
  <c r="BN33" i="8"/>
  <c r="BR33" i="8"/>
  <c r="BR34" i="8"/>
  <c r="BN34" i="8"/>
  <c r="BN32" i="8"/>
  <c r="AL32" i="8"/>
  <c r="BC34" i="1"/>
  <c r="AV34" i="1"/>
  <c r="BC30" i="1"/>
  <c r="AV30" i="1"/>
  <c r="BG33" i="1"/>
  <c r="AZ33" i="1"/>
  <c r="AV31" i="1"/>
  <c r="BC31" i="1"/>
  <c r="AD30" i="15"/>
  <c r="AD36" i="15" s="1"/>
  <c r="AB30" i="15"/>
  <c r="DH10" i="15"/>
  <c r="DH16" i="15" s="1"/>
  <c r="DJ10" i="15"/>
  <c r="DJ16" i="15" s="1"/>
  <c r="DN10" i="15"/>
  <c r="DN16" i="15" s="1"/>
  <c r="DQ10" i="15"/>
  <c r="DQ16" i="15" s="1"/>
  <c r="DT10" i="15"/>
  <c r="DU10" i="15"/>
  <c r="CN10" i="15"/>
  <c r="AC30" i="15"/>
  <c r="DD10" i="15"/>
  <c r="DD16" i="15" s="1"/>
  <c r="DF10" i="15"/>
  <c r="DF16" i="15" s="1"/>
  <c r="DI10" i="15"/>
  <c r="DI16" i="15" s="1"/>
  <c r="DM10" i="15"/>
  <c r="DM16" i="15" s="1"/>
  <c r="DO10" i="15"/>
  <c r="DO16" i="15" s="1"/>
  <c r="DR10" i="15"/>
  <c r="DR16" i="15" s="1"/>
  <c r="DW10" i="15"/>
  <c r="AG30" i="15"/>
  <c r="AG36" i="15" s="1"/>
  <c r="AH30" i="15"/>
  <c r="Z30" i="15"/>
  <c r="CO10" i="15"/>
  <c r="CP10" i="15"/>
  <c r="CQ10" i="15"/>
  <c r="CR10" i="15"/>
  <c r="CS10" i="15"/>
  <c r="AE30" i="15"/>
  <c r="AE36" i="15" s="1"/>
  <c r="AA30" i="15"/>
  <c r="DV10" i="15"/>
  <c r="DS10" i="15"/>
  <c r="DS16" i="15" s="1"/>
  <c r="AF30" i="15"/>
  <c r="AF36" i="15" s="1"/>
  <c r="DP10" i="15"/>
  <c r="DP16" i="15" s="1"/>
  <c r="DL10" i="15"/>
  <c r="DL16" i="15" s="1"/>
  <c r="DK10" i="15"/>
  <c r="DK16" i="15" s="1"/>
  <c r="CT10" i="15"/>
  <c r="CU10" i="15"/>
  <c r="CV10" i="15"/>
  <c r="CW10" i="15"/>
  <c r="CX10" i="15"/>
  <c r="CY10" i="15"/>
  <c r="CZ10" i="15"/>
  <c r="DA10" i="15"/>
  <c r="DB10" i="15"/>
  <c r="DC10" i="15"/>
  <c r="DE10" i="15"/>
  <c r="DE16" i="15" s="1"/>
  <c r="DG10" i="15"/>
  <c r="DG16" i="15" s="1"/>
  <c r="F74" i="11"/>
  <c r="E115" i="11"/>
  <c r="D189" i="11"/>
  <c r="D188" i="11"/>
  <c r="K22" i="9"/>
  <c r="E75" i="11"/>
  <c r="E74" i="11"/>
  <c r="G74" i="11"/>
  <c r="F75" i="11"/>
  <c r="G75" i="11"/>
  <c r="E118" i="11"/>
  <c r="AD18" i="8"/>
  <c r="AB24" i="8"/>
  <c r="D104" i="11"/>
  <c r="AH45" i="1"/>
  <c r="AH46" i="1"/>
  <c r="AE19" i="8"/>
  <c r="AH44" i="8"/>
  <c r="AE21" i="8"/>
  <c r="D146" i="11"/>
  <c r="AE20" i="8"/>
  <c r="AE18" i="8"/>
  <c r="D62" i="11"/>
  <c r="D21" i="11"/>
  <c r="AJ9" i="1"/>
  <c r="F5" i="17"/>
  <c r="AB12" i="1"/>
  <c r="P54" i="1"/>
  <c r="Q54" i="1" s="1"/>
  <c r="Q52" i="1"/>
  <c r="X23" i="9"/>
  <c r="X27" i="9"/>
  <c r="X24" i="9"/>
  <c r="X26" i="9"/>
  <c r="G36" i="11" s="1"/>
  <c r="X25" i="9"/>
  <c r="F36" i="11" s="1"/>
  <c r="K18" i="9"/>
  <c r="J50" i="8"/>
  <c r="K50" i="8" s="1"/>
  <c r="K48" i="8"/>
  <c r="AF13" i="8"/>
  <c r="AH33" i="8"/>
  <c r="AH32" i="8"/>
  <c r="AH37" i="8"/>
  <c r="AH31" i="8"/>
  <c r="AH34" i="8"/>
  <c r="AH47" i="8"/>
  <c r="AH35" i="8"/>
  <c r="S48" i="8"/>
  <c r="R50" i="8"/>
  <c r="S50" i="8" s="1"/>
  <c r="Q48" i="8"/>
  <c r="P50" i="8"/>
  <c r="Q50" i="8" s="1"/>
  <c r="B50" i="8"/>
  <c r="C50" i="8" s="1"/>
  <c r="C48" i="8"/>
  <c r="Z48" i="8"/>
  <c r="Y48" i="8"/>
  <c r="X50" i="8"/>
  <c r="AA50" i="8" s="1"/>
  <c r="N54" i="1"/>
  <c r="O54" i="1" s="1"/>
  <c r="O52" i="1"/>
  <c r="H54" i="1"/>
  <c r="I54" i="1" s="1"/>
  <c r="I52" i="1"/>
  <c r="V54" i="1"/>
  <c r="W54" i="1" s="1"/>
  <c r="W52" i="1"/>
  <c r="S52" i="1"/>
  <c r="R54" i="1"/>
  <c r="S54" i="1" s="1"/>
  <c r="G52" i="1"/>
  <c r="F54" i="1"/>
  <c r="G54" i="1" s="1"/>
  <c r="M52" i="1"/>
  <c r="L54" i="1"/>
  <c r="M54" i="1" s="1"/>
  <c r="E52" i="1"/>
  <c r="D54" i="1"/>
  <c r="E54" i="1" s="1"/>
  <c r="AN39" i="18"/>
  <c r="AN42" i="18"/>
  <c r="AR40" i="18"/>
  <c r="Y52" i="1"/>
  <c r="Z52" i="1"/>
  <c r="X54" i="1"/>
  <c r="AA54" i="1" s="1"/>
  <c r="AR47" i="8"/>
  <c r="AU47" i="8" s="1"/>
  <c r="M48" i="8"/>
  <c r="L50" i="8"/>
  <c r="M50" i="8" s="1"/>
  <c r="G48" i="8"/>
  <c r="F50" i="8"/>
  <c r="G50" i="8" s="1"/>
  <c r="F13" i="17" l="1"/>
  <c r="F15" i="17" s="1"/>
  <c r="E46" i="21"/>
  <c r="D47" i="21"/>
  <c r="F35" i="11"/>
  <c r="F32" i="11"/>
  <c r="F115" i="11"/>
  <c r="F121" i="11" s="1"/>
  <c r="Z28" i="9"/>
  <c r="M16" i="9"/>
  <c r="G37" i="11"/>
  <c r="T34" i="9"/>
  <c r="X34" i="9"/>
  <c r="Y34" i="9"/>
  <c r="G35" i="11"/>
  <c r="W34" i="9"/>
  <c r="G32" i="11"/>
  <c r="BG12" i="15"/>
  <c r="BG16" i="15" s="1"/>
  <c r="BD12" i="15"/>
  <c r="BD16" i="15" s="1"/>
  <c r="BH12" i="15"/>
  <c r="BH16" i="15" s="1"/>
  <c r="BK12" i="15"/>
  <c r="BK16" i="15" s="1"/>
  <c r="R32" i="15"/>
  <c r="R36" i="15" s="1"/>
  <c r="BJ12" i="15"/>
  <c r="BJ16" i="15" s="1"/>
  <c r="BI12" i="15"/>
  <c r="BI16" i="15" s="1"/>
  <c r="E26" i="21"/>
  <c r="D27" i="21"/>
  <c r="AL44" i="8"/>
  <c r="AL47" i="8"/>
  <c r="E11" i="21"/>
  <c r="E13" i="21" s="1"/>
  <c r="AJ13" i="8"/>
  <c r="AN12" i="8"/>
  <c r="R27" i="21"/>
  <c r="S26" i="21"/>
  <c r="R47" i="21"/>
  <c r="S46" i="21"/>
  <c r="AJ20" i="8"/>
  <c r="AJ19" i="8"/>
  <c r="AJ21" i="8"/>
  <c r="AJ18" i="8"/>
  <c r="F62" i="11" s="1"/>
  <c r="AI18" i="8"/>
  <c r="AF22" i="8"/>
  <c r="AG19" i="8" s="1"/>
  <c r="AH18" i="8"/>
  <c r="AH22" i="8" s="1"/>
  <c r="AI19" i="8"/>
  <c r="AI21" i="8"/>
  <c r="AI20" i="8"/>
  <c r="G12" i="21"/>
  <c r="AR10" i="8"/>
  <c r="AV11" i="8"/>
  <c r="AN21" i="8"/>
  <c r="AN19" i="8"/>
  <c r="AN20" i="8"/>
  <c r="Q29" i="21"/>
  <c r="AL35" i="8"/>
  <c r="AL37" i="8"/>
  <c r="AB21" i="1"/>
  <c r="AB23" i="1"/>
  <c r="AJ20" i="1"/>
  <c r="AJ19" i="1"/>
  <c r="D67" i="21"/>
  <c r="D66" i="21"/>
  <c r="AH17" i="1"/>
  <c r="AF32" i="1"/>
  <c r="AG32" i="1" s="1"/>
  <c r="AN19" i="1"/>
  <c r="AN20" i="1"/>
  <c r="D28" i="21"/>
  <c r="D48" i="21"/>
  <c r="C67" i="21"/>
  <c r="C66" i="21"/>
  <c r="Q48" i="21"/>
  <c r="Q49" i="21" s="1"/>
  <c r="Q28" i="21"/>
  <c r="P48" i="21"/>
  <c r="P28" i="21"/>
  <c r="C20" i="21"/>
  <c r="D20" i="21"/>
  <c r="E8" i="21"/>
  <c r="R66" i="21"/>
  <c r="R67" i="21"/>
  <c r="AF23" i="1"/>
  <c r="AJ11" i="1"/>
  <c r="AJ17" i="1" s="1"/>
  <c r="AJ23" i="1" s="1"/>
  <c r="AR9" i="1"/>
  <c r="F19" i="21"/>
  <c r="J28" i="9"/>
  <c r="K28" i="9"/>
  <c r="AZ12" i="15"/>
  <c r="AZ16" i="15" s="1"/>
  <c r="BE12" i="15"/>
  <c r="BE16" i="15" s="1"/>
  <c r="BA12" i="15"/>
  <c r="BA16" i="15" s="1"/>
  <c r="E36" i="11"/>
  <c r="Q32" i="15"/>
  <c r="Q36" i="15" s="1"/>
  <c r="P32" i="15"/>
  <c r="P36" i="15" s="1"/>
  <c r="BB12" i="15"/>
  <c r="BB16" i="15" s="1"/>
  <c r="BC12" i="15"/>
  <c r="BC16" i="15" s="1"/>
  <c r="BF12" i="15"/>
  <c r="BF16" i="15" s="1"/>
  <c r="L28" i="9"/>
  <c r="M18" i="9"/>
  <c r="Z24" i="9"/>
  <c r="Z27" i="9"/>
  <c r="Z23" i="9"/>
  <c r="M19" i="9"/>
  <c r="E35" i="11"/>
  <c r="Z26" i="9"/>
  <c r="E37" i="11"/>
  <c r="E78" i="11"/>
  <c r="G78" i="11"/>
  <c r="Z25" i="9"/>
  <c r="E32" i="11"/>
  <c r="F37" i="11"/>
  <c r="F78" i="11"/>
  <c r="M22" i="9"/>
  <c r="C37" i="9" s="1"/>
  <c r="D36" i="9" s="1"/>
  <c r="P37" i="9" s="1"/>
  <c r="G28" i="9"/>
  <c r="E121" i="11"/>
  <c r="D63" i="11"/>
  <c r="D64" i="11" s="1"/>
  <c r="AB28" i="8"/>
  <c r="AB29" i="8" s="1"/>
  <c r="C14" i="21" s="1"/>
  <c r="BG30" i="1"/>
  <c r="AZ30" i="1"/>
  <c r="BB30" i="1" s="1"/>
  <c r="BG31" i="1"/>
  <c r="AZ31" i="1"/>
  <c r="BB31" i="1" s="1"/>
  <c r="BK33" i="1"/>
  <c r="BD33" i="1"/>
  <c r="BF33" i="1" s="1"/>
  <c r="BG34" i="1"/>
  <c r="AZ34" i="1"/>
  <c r="BB34" i="1" s="1"/>
  <c r="AX30" i="1"/>
  <c r="AT31" i="1"/>
  <c r="AT33" i="1"/>
  <c r="AX34" i="1"/>
  <c r="AX31" i="1"/>
  <c r="AX33" i="1"/>
  <c r="AT34" i="1"/>
  <c r="AT30" i="1"/>
  <c r="BB33" i="1"/>
  <c r="AL48" i="1"/>
  <c r="AL45" i="1"/>
  <c r="AL46" i="1"/>
  <c r="AP45" i="1"/>
  <c r="AP46" i="1"/>
  <c r="DO17" i="15"/>
  <c r="DK17" i="15"/>
  <c r="DG17" i="15"/>
  <c r="DS17" i="15"/>
  <c r="F77" i="11"/>
  <c r="F73" i="11"/>
  <c r="AS14" i="15"/>
  <c r="AS16" i="15" s="1"/>
  <c r="J34" i="15"/>
  <c r="L34" i="15"/>
  <c r="L36" i="15" s="1"/>
  <c r="N34" i="15"/>
  <c r="N36" i="15" s="1"/>
  <c r="O34" i="15"/>
  <c r="O36" i="15" s="1"/>
  <c r="E14" i="15"/>
  <c r="H14" i="15"/>
  <c r="J14" i="15"/>
  <c r="L14" i="15"/>
  <c r="L16" i="15" s="1"/>
  <c r="O14" i="15"/>
  <c r="O16" i="15" s="1"/>
  <c r="Q14" i="15"/>
  <c r="Q16" i="15" s="1"/>
  <c r="S14" i="15"/>
  <c r="S16" i="15" s="1"/>
  <c r="V14" i="15"/>
  <c r="V16" i="15" s="1"/>
  <c r="Y14" i="15"/>
  <c r="Y16" i="15" s="1"/>
  <c r="AB14" i="15"/>
  <c r="AD14" i="15"/>
  <c r="AF14" i="15"/>
  <c r="AJ14" i="15"/>
  <c r="AJ16" i="15" s="1"/>
  <c r="AL14" i="15"/>
  <c r="AL16" i="15" s="1"/>
  <c r="AP14" i="15"/>
  <c r="AP16" i="15" s="1"/>
  <c r="AR14" i="15"/>
  <c r="AR16" i="15" s="1"/>
  <c r="AT14" i="15"/>
  <c r="AT16" i="15" s="1"/>
  <c r="AV14" i="15"/>
  <c r="AV16" i="15" s="1"/>
  <c r="AY14" i="15"/>
  <c r="AY16" i="15" s="1"/>
  <c r="M14" i="15"/>
  <c r="M16" i="15" s="1"/>
  <c r="AC14" i="15"/>
  <c r="AH14" i="15"/>
  <c r="AN14" i="15"/>
  <c r="AN16" i="15" s="1"/>
  <c r="AQ14" i="15"/>
  <c r="AQ16" i="15" s="1"/>
  <c r="F34" i="15"/>
  <c r="F36" i="15" s="1"/>
  <c r="AU14" i="15"/>
  <c r="AU16" i="15" s="1"/>
  <c r="AX14" i="15"/>
  <c r="AX16" i="15" s="1"/>
  <c r="D14" i="15"/>
  <c r="E34" i="15"/>
  <c r="G34" i="15"/>
  <c r="G36" i="15" s="1"/>
  <c r="I34" i="15"/>
  <c r="I36" i="15" s="1"/>
  <c r="K34" i="15"/>
  <c r="M34" i="15"/>
  <c r="M36" i="15" s="1"/>
  <c r="D34" i="15"/>
  <c r="F14" i="15"/>
  <c r="G14" i="15"/>
  <c r="I14" i="15"/>
  <c r="K14" i="15"/>
  <c r="N14" i="15"/>
  <c r="N16" i="15" s="1"/>
  <c r="P14" i="15"/>
  <c r="P16" i="15" s="1"/>
  <c r="R14" i="15"/>
  <c r="R16" i="15" s="1"/>
  <c r="T14" i="15"/>
  <c r="T16" i="15" s="1"/>
  <c r="U14" i="15"/>
  <c r="U16" i="15" s="1"/>
  <c r="W14" i="15"/>
  <c r="W16" i="15" s="1"/>
  <c r="X14" i="15"/>
  <c r="X16" i="15" s="1"/>
  <c r="Z14" i="15"/>
  <c r="Z16" i="15" s="1"/>
  <c r="AA14" i="15"/>
  <c r="AA16" i="15" s="1"/>
  <c r="AE14" i="15"/>
  <c r="AG14" i="15"/>
  <c r="AI14" i="15"/>
  <c r="AK14" i="15"/>
  <c r="AK16" i="15" s="1"/>
  <c r="AM14" i="15"/>
  <c r="AM16" i="15" s="1"/>
  <c r="AO14" i="15"/>
  <c r="AO16" i="15" s="1"/>
  <c r="AW14" i="15"/>
  <c r="AW16" i="15" s="1"/>
  <c r="H34" i="15"/>
  <c r="H36" i="15" s="1"/>
  <c r="AE26" i="8"/>
  <c r="D190" i="11"/>
  <c r="D53" i="11"/>
  <c r="G77" i="11"/>
  <c r="E73" i="11"/>
  <c r="F76" i="11"/>
  <c r="G76" i="11"/>
  <c r="E77" i="11"/>
  <c r="G73" i="11"/>
  <c r="E76" i="11"/>
  <c r="AD24" i="8"/>
  <c r="AI24" i="8" s="1"/>
  <c r="AE24" i="8"/>
  <c r="E62" i="11"/>
  <c r="AE25" i="8"/>
  <c r="D105" i="11"/>
  <c r="D106" i="11" s="1"/>
  <c r="AP47" i="8"/>
  <c r="E146" i="11"/>
  <c r="AE22" i="8"/>
  <c r="AE27" i="8"/>
  <c r="D147" i="11"/>
  <c r="D148" i="11" s="1"/>
  <c r="AF12" i="1"/>
  <c r="AD22" i="8"/>
  <c r="J5" i="17"/>
  <c r="H5" i="17"/>
  <c r="AB49" i="8"/>
  <c r="AE49" i="8" s="1"/>
  <c r="AC22" i="8"/>
  <c r="AC47" i="8"/>
  <c r="AC44" i="8"/>
  <c r="AC37" i="8"/>
  <c r="AC35" i="8"/>
  <c r="AD25" i="8"/>
  <c r="AP35" i="8"/>
  <c r="AD27" i="8"/>
  <c r="AD26" i="8"/>
  <c r="AP44" i="8"/>
  <c r="AP37" i="8"/>
  <c r="Y50" i="8"/>
  <c r="Z50" i="8"/>
  <c r="AR39" i="18"/>
  <c r="AR42" i="18"/>
  <c r="AV40" i="18"/>
  <c r="Y54" i="1"/>
  <c r="Z54" i="1"/>
  <c r="AV47" i="8"/>
  <c r="AY47" i="8" s="1"/>
  <c r="F93" i="17" l="1"/>
  <c r="F16" i="17"/>
  <c r="AG20" i="8"/>
  <c r="AG21" i="8"/>
  <c r="AN13" i="8"/>
  <c r="AN18" i="8"/>
  <c r="AR12" i="8"/>
  <c r="F11" i="21"/>
  <c r="F13" i="21" s="1"/>
  <c r="AC21" i="1"/>
  <c r="AB53" i="1"/>
  <c r="F46" i="21"/>
  <c r="E47" i="21"/>
  <c r="F26" i="21"/>
  <c r="E27" i="21"/>
  <c r="F38" i="11"/>
  <c r="W33" i="15"/>
  <c r="X33" i="15"/>
  <c r="X36" i="15" s="1"/>
  <c r="V33" i="15"/>
  <c r="U33" i="15"/>
  <c r="U36" i="15" s="1"/>
  <c r="Y33" i="15"/>
  <c r="Y36" i="15" s="1"/>
  <c r="Z33" i="15"/>
  <c r="Z36" i="15" s="1"/>
  <c r="CA13" i="15"/>
  <c r="CB13" i="15"/>
  <c r="CC13" i="15"/>
  <c r="CD13" i="15"/>
  <c r="CE13" i="15"/>
  <c r="CF13" i="15"/>
  <c r="CF16" i="15" s="1"/>
  <c r="CG13" i="15"/>
  <c r="CG16" i="15" s="1"/>
  <c r="CH13" i="15"/>
  <c r="CH16" i="15" s="1"/>
  <c r="CI13" i="15"/>
  <c r="CI16" i="15" s="1"/>
  <c r="CJ13" i="15"/>
  <c r="CJ16" i="15" s="1"/>
  <c r="CK13" i="15"/>
  <c r="CK16" i="15" s="1"/>
  <c r="CL13" i="15"/>
  <c r="CL16" i="15" s="1"/>
  <c r="CM13" i="15"/>
  <c r="CM16" i="15" s="1"/>
  <c r="CN13" i="15"/>
  <c r="CN16" i="15" s="1"/>
  <c r="CO13" i="15"/>
  <c r="CO16" i="15" s="1"/>
  <c r="CP13" i="15"/>
  <c r="CP16" i="15" s="1"/>
  <c r="CQ13" i="15"/>
  <c r="CQ16" i="15" s="1"/>
  <c r="CR13" i="15"/>
  <c r="CR16" i="15" s="1"/>
  <c r="CS13" i="15"/>
  <c r="CS16" i="15" s="1"/>
  <c r="CT13" i="15"/>
  <c r="CT16" i="15" s="1"/>
  <c r="CU13" i="15"/>
  <c r="CU16" i="15" s="1"/>
  <c r="BL13" i="15"/>
  <c r="BL16" i="15" s="1"/>
  <c r="T33" i="15"/>
  <c r="T36" i="15" s="1"/>
  <c r="AA33" i="15"/>
  <c r="AA36" i="15" s="1"/>
  <c r="S33" i="15"/>
  <c r="S36" i="15" s="1"/>
  <c r="BM13" i="15"/>
  <c r="BM16" i="15" s="1"/>
  <c r="BN13" i="15"/>
  <c r="BN16" i="15" s="1"/>
  <c r="BO13" i="15"/>
  <c r="BO16" i="15" s="1"/>
  <c r="BY13" i="15"/>
  <c r="BZ13" i="15"/>
  <c r="BP13" i="15"/>
  <c r="BP16" i="15" s="1"/>
  <c r="BQ13" i="15"/>
  <c r="BQ16" i="15" s="1"/>
  <c r="BR13" i="15"/>
  <c r="BR16" i="15" s="1"/>
  <c r="BS13" i="15"/>
  <c r="BS16" i="15" s="1"/>
  <c r="BT13" i="15"/>
  <c r="BT16" i="15" s="1"/>
  <c r="BU13" i="15"/>
  <c r="BU16" i="15" s="1"/>
  <c r="BV13" i="15"/>
  <c r="BV16" i="15" s="1"/>
  <c r="BW13" i="15"/>
  <c r="BW16" i="15" s="1"/>
  <c r="BX13" i="15"/>
  <c r="BK17" i="15"/>
  <c r="D29" i="15"/>
  <c r="Z34" i="9"/>
  <c r="R29" i="21"/>
  <c r="AJ26" i="1"/>
  <c r="AM20" i="1"/>
  <c r="AJ25" i="1"/>
  <c r="AM19" i="1"/>
  <c r="S27" i="21"/>
  <c r="T26" i="21"/>
  <c r="S47" i="21"/>
  <c r="T46" i="21"/>
  <c r="AM20" i="8"/>
  <c r="AM19" i="8"/>
  <c r="AM21" i="8"/>
  <c r="AJ24" i="8"/>
  <c r="AL18" i="8"/>
  <c r="AL22" i="8" s="1"/>
  <c r="AJ22" i="8"/>
  <c r="AM18" i="8"/>
  <c r="AI22" i="8"/>
  <c r="AG18" i="8"/>
  <c r="AG22" i="8" s="1"/>
  <c r="AR20" i="8"/>
  <c r="AR19" i="8"/>
  <c r="AR21" i="8"/>
  <c r="AV10" i="8"/>
  <c r="H12" i="21"/>
  <c r="AZ11" i="8"/>
  <c r="AQ21" i="8"/>
  <c r="AQ19" i="8"/>
  <c r="AQ20" i="8"/>
  <c r="AF18" i="1"/>
  <c r="D49" i="21"/>
  <c r="D57" i="21" s="1"/>
  <c r="D29" i="21"/>
  <c r="D37" i="21" s="1"/>
  <c r="Q30" i="21"/>
  <c r="Q38" i="21" s="1"/>
  <c r="Q50" i="21"/>
  <c r="Q58" i="21" s="1"/>
  <c r="AM17" i="1"/>
  <c r="AL17" i="1"/>
  <c r="AQ20" i="1"/>
  <c r="AR20" i="1"/>
  <c r="AU20" i="1" s="1"/>
  <c r="AR19" i="1"/>
  <c r="AQ19" i="1"/>
  <c r="E28" i="21"/>
  <c r="E48" i="21"/>
  <c r="F8" i="21"/>
  <c r="S66" i="21"/>
  <c r="S67" i="21"/>
  <c r="F17" i="17"/>
  <c r="F94" i="17"/>
  <c r="G94" i="17" s="1"/>
  <c r="D50" i="21" s="1"/>
  <c r="E18" i="21"/>
  <c r="AN11" i="1"/>
  <c r="AR11" i="1" s="1"/>
  <c r="G19" i="21"/>
  <c r="M28" i="9"/>
  <c r="BG17" i="15"/>
  <c r="C34" i="9"/>
  <c r="D31" i="9" s="1"/>
  <c r="BC17" i="15"/>
  <c r="G38" i="11"/>
  <c r="E38" i="11"/>
  <c r="G79" i="11"/>
  <c r="F79" i="11"/>
  <c r="E79" i="11"/>
  <c r="AJ25" i="8"/>
  <c r="AG48" i="1"/>
  <c r="D12" i="11"/>
  <c r="AC30" i="1"/>
  <c r="AC33" i="1"/>
  <c r="AC34" i="1"/>
  <c r="AC31" i="1"/>
  <c r="BK34" i="1"/>
  <c r="BD34" i="1"/>
  <c r="BF34" i="1" s="1"/>
  <c r="BK31" i="1"/>
  <c r="BD31" i="1"/>
  <c r="BF31" i="1" s="1"/>
  <c r="BO33" i="1"/>
  <c r="BH33" i="1"/>
  <c r="BJ33" i="1" s="1"/>
  <c r="BK30" i="1"/>
  <c r="BD30" i="1"/>
  <c r="BF30" i="1" s="1"/>
  <c r="AJ32" i="1"/>
  <c r="E29" i="15"/>
  <c r="E9" i="15"/>
  <c r="F9" i="15"/>
  <c r="G9" i="15"/>
  <c r="H9" i="15"/>
  <c r="I9" i="15"/>
  <c r="J9" i="15"/>
  <c r="K9" i="15"/>
  <c r="D9" i="15"/>
  <c r="DT5" i="15"/>
  <c r="EA5" i="15"/>
  <c r="DZ5" i="15"/>
  <c r="DY5" i="15"/>
  <c r="DX5" i="15"/>
  <c r="DW5" i="15"/>
  <c r="DU5" i="15"/>
  <c r="AH25" i="15"/>
  <c r="AI25" i="15"/>
  <c r="DV5" i="15"/>
  <c r="AB8" i="15"/>
  <c r="AI8" i="15"/>
  <c r="AG8" i="15"/>
  <c r="AF8" i="15"/>
  <c r="AD8" i="15"/>
  <c r="AC8" i="15"/>
  <c r="J28" i="15"/>
  <c r="J36" i="15" s="1"/>
  <c r="K28" i="15"/>
  <c r="AH8" i="15"/>
  <c r="AE8" i="15"/>
  <c r="CX6" i="15"/>
  <c r="DA6" i="15"/>
  <c r="DC6" i="15"/>
  <c r="AC26" i="15"/>
  <c r="AB26" i="15"/>
  <c r="CW6" i="15"/>
  <c r="CY6" i="15"/>
  <c r="CZ6" i="15"/>
  <c r="DB6" i="15"/>
  <c r="CV6" i="15"/>
  <c r="BY7" i="15"/>
  <c r="CA7" i="15"/>
  <c r="CD7" i="15"/>
  <c r="BX7" i="15"/>
  <c r="W27" i="15"/>
  <c r="V27" i="15"/>
  <c r="BZ7" i="15"/>
  <c r="CB7" i="15"/>
  <c r="CC7" i="15"/>
  <c r="CE7" i="15"/>
  <c r="AM17" i="15"/>
  <c r="AU17" i="15"/>
  <c r="AY17" i="15"/>
  <c r="AQ17" i="15"/>
  <c r="S17" i="15"/>
  <c r="W17" i="15"/>
  <c r="AA17" i="15"/>
  <c r="O17" i="15"/>
  <c r="AI32" i="1"/>
  <c r="AH32" i="1"/>
  <c r="H13" i="17"/>
  <c r="H15" i="17" s="1"/>
  <c r="J13" i="17"/>
  <c r="J15" i="17" s="1"/>
  <c r="E53" i="11"/>
  <c r="AB24" i="1"/>
  <c r="AB26" i="1"/>
  <c r="AJ12" i="1"/>
  <c r="AT45" i="1"/>
  <c r="AT46" i="1"/>
  <c r="AJ26" i="8"/>
  <c r="E104" i="11"/>
  <c r="F104" i="11"/>
  <c r="L5" i="17"/>
  <c r="AC49" i="8"/>
  <c r="AD49" i="8"/>
  <c r="AT44" i="8"/>
  <c r="AT37" i="8"/>
  <c r="AT35" i="8"/>
  <c r="AT47" i="8"/>
  <c r="AV39" i="18"/>
  <c r="AZ40" i="18"/>
  <c r="AV42" i="18"/>
  <c r="AZ47" i="8"/>
  <c r="BC47" i="8" s="1"/>
  <c r="S60" i="21" l="1"/>
  <c r="F59" i="21"/>
  <c r="S40" i="21"/>
  <c r="F39" i="21"/>
  <c r="R60" i="21"/>
  <c r="E59" i="21"/>
  <c r="R40" i="21"/>
  <c r="E39" i="21"/>
  <c r="D39" i="21"/>
  <c r="Q60" i="21"/>
  <c r="D59" i="21"/>
  <c r="S29" i="21"/>
  <c r="AN24" i="8"/>
  <c r="AP18" i="8"/>
  <c r="AP22" i="8" s="1"/>
  <c r="AQ18" i="8"/>
  <c r="AN22" i="8"/>
  <c r="G62" i="11"/>
  <c r="AR18" i="8"/>
  <c r="H62" i="11" s="1"/>
  <c r="AV12" i="8"/>
  <c r="G11" i="21"/>
  <c r="G13" i="21" s="1"/>
  <c r="AR13" i="8"/>
  <c r="G46" i="21"/>
  <c r="H46" i="21" s="1"/>
  <c r="I46" i="21" s="1"/>
  <c r="J46" i="21" s="1"/>
  <c r="K46" i="21" s="1"/>
  <c r="L46" i="21" s="1"/>
  <c r="M46" i="21" s="1"/>
  <c r="F47" i="21"/>
  <c r="G26" i="21"/>
  <c r="H26" i="21" s="1"/>
  <c r="I26" i="21" s="1"/>
  <c r="J26" i="21" s="1"/>
  <c r="K26" i="21" s="1"/>
  <c r="L26" i="21" s="1"/>
  <c r="M26" i="21" s="1"/>
  <c r="F27" i="21"/>
  <c r="CQ17" i="15"/>
  <c r="CU17" i="15"/>
  <c r="BO17" i="15"/>
  <c r="CI17" i="15"/>
  <c r="CM17" i="15"/>
  <c r="BS17" i="15"/>
  <c r="BW17" i="15"/>
  <c r="D43" i="9"/>
  <c r="P36" i="9"/>
  <c r="P42" i="9" s="1"/>
  <c r="T27" i="21"/>
  <c r="U26" i="21"/>
  <c r="T47" i="21"/>
  <c r="U46" i="21"/>
  <c r="AU20" i="8"/>
  <c r="AU19" i="8"/>
  <c r="AU21" i="8"/>
  <c r="AR24" i="8"/>
  <c r="AR22" i="8"/>
  <c r="AU18" i="8"/>
  <c r="AT18" i="8"/>
  <c r="AT22" i="8" s="1"/>
  <c r="AV21" i="8"/>
  <c r="AV19" i="8"/>
  <c r="AV20" i="8"/>
  <c r="I12" i="21"/>
  <c r="AZ10" i="8"/>
  <c r="BD11" i="8"/>
  <c r="H11" i="21"/>
  <c r="H13" i="21" s="1"/>
  <c r="AZ12" i="8"/>
  <c r="AM22" i="8"/>
  <c r="AK19" i="8"/>
  <c r="AK21" i="8"/>
  <c r="AK18" i="8"/>
  <c r="AK20" i="8"/>
  <c r="AQ22" i="8"/>
  <c r="AO21" i="8"/>
  <c r="AO19" i="8"/>
  <c r="AO20" i="8"/>
  <c r="AO18" i="8"/>
  <c r="C30" i="21"/>
  <c r="C50" i="21"/>
  <c r="C51" i="21" s="1"/>
  <c r="Q31" i="21"/>
  <c r="D30" i="21"/>
  <c r="Q51" i="21"/>
  <c r="AU19" i="1"/>
  <c r="F28" i="21"/>
  <c r="F48" i="21"/>
  <c r="G27" i="21"/>
  <c r="R48" i="21"/>
  <c r="R49" i="21" s="1"/>
  <c r="R28" i="21"/>
  <c r="E66" i="21"/>
  <c r="E67" i="21"/>
  <c r="E20" i="21"/>
  <c r="G8" i="21"/>
  <c r="T66" i="21"/>
  <c r="T67" i="21"/>
  <c r="P51" i="21"/>
  <c r="P52" i="21" s="1"/>
  <c r="P31" i="21"/>
  <c r="P32" i="21" s="1"/>
  <c r="AB27" i="1"/>
  <c r="AG24" i="1"/>
  <c r="AF24" i="1" s="1"/>
  <c r="AN17" i="1"/>
  <c r="AN32" i="1" s="1"/>
  <c r="AQ32" i="1" s="1"/>
  <c r="F18" i="21"/>
  <c r="AZ10" i="1"/>
  <c r="H19" i="21"/>
  <c r="AV9" i="1"/>
  <c r="J16" i="17"/>
  <c r="J94" i="17" s="1"/>
  <c r="J93" i="17"/>
  <c r="H16" i="17"/>
  <c r="H94" i="17" s="1"/>
  <c r="H93" i="17"/>
  <c r="AJ27" i="8"/>
  <c r="E21" i="11"/>
  <c r="AG31" i="8"/>
  <c r="AG34" i="8"/>
  <c r="AG32" i="8"/>
  <c r="AG33" i="8"/>
  <c r="AN25" i="8"/>
  <c r="BO30" i="1"/>
  <c r="BH30" i="1"/>
  <c r="BS33" i="1"/>
  <c r="BL33" i="1"/>
  <c r="BN33" i="1" s="1"/>
  <c r="BO31" i="1"/>
  <c r="BH31" i="1"/>
  <c r="BJ31" i="1" s="1"/>
  <c r="BO34" i="1"/>
  <c r="BH34" i="1"/>
  <c r="BJ34" i="1" s="1"/>
  <c r="F146" i="11"/>
  <c r="AN27" i="8"/>
  <c r="D179" i="11"/>
  <c r="AL23" i="1"/>
  <c r="L13" i="17"/>
  <c r="L15" i="17" s="1"/>
  <c r="AN26" i="8"/>
  <c r="F188" i="11"/>
  <c r="AF49" i="8"/>
  <c r="AI49" i="8" s="1"/>
  <c r="AG44" i="8"/>
  <c r="AG37" i="8"/>
  <c r="AG35" i="8"/>
  <c r="AG47" i="8"/>
  <c r="D138" i="11"/>
  <c r="D137" i="11"/>
  <c r="D95" i="11"/>
  <c r="AN12" i="1"/>
  <c r="G104" i="11"/>
  <c r="DW16" i="15"/>
  <c r="DT16" i="15"/>
  <c r="AI36" i="15"/>
  <c r="AH36" i="15"/>
  <c r="DU16" i="15"/>
  <c r="DV16" i="15"/>
  <c r="DX16" i="15"/>
  <c r="DY16" i="15"/>
  <c r="DZ16" i="15"/>
  <c r="EA16" i="15"/>
  <c r="AB16" i="15"/>
  <c r="K36" i="15"/>
  <c r="AD16" i="15"/>
  <c r="AF16" i="15"/>
  <c r="AG16" i="15"/>
  <c r="AI16" i="15"/>
  <c r="AC16" i="15"/>
  <c r="AE16" i="15"/>
  <c r="AH16" i="15"/>
  <c r="BY16" i="15"/>
  <c r="CA16" i="15"/>
  <c r="CB16" i="15"/>
  <c r="CC16" i="15"/>
  <c r="W36" i="15"/>
  <c r="V36" i="15"/>
  <c r="BZ16" i="15"/>
  <c r="CD16" i="15"/>
  <c r="CE16" i="15"/>
  <c r="BX16" i="15"/>
  <c r="CX16" i="15"/>
  <c r="CY16" i="15"/>
  <c r="DA16" i="15"/>
  <c r="DC16" i="15"/>
  <c r="AC36" i="15"/>
  <c r="AB36" i="15"/>
  <c r="CW16" i="15"/>
  <c r="CZ16" i="15"/>
  <c r="DB16" i="15"/>
  <c r="CV16" i="15"/>
  <c r="E36" i="15"/>
  <c r="D36" i="15"/>
  <c r="E16" i="15"/>
  <c r="J16" i="15"/>
  <c r="K16" i="15"/>
  <c r="F16" i="15"/>
  <c r="H16" i="15"/>
  <c r="D16" i="15"/>
  <c r="G16" i="15"/>
  <c r="I16" i="15"/>
  <c r="AX37" i="8"/>
  <c r="AX44" i="8"/>
  <c r="AX35" i="8"/>
  <c r="AX47" i="8"/>
  <c r="AZ42" i="18"/>
  <c r="AZ39" i="18"/>
  <c r="BD40" i="18"/>
  <c r="BD47" i="8"/>
  <c r="BG47" i="8" s="1"/>
  <c r="G47" i="21" l="1"/>
  <c r="T29" i="21"/>
  <c r="AV13" i="8"/>
  <c r="AV18" i="8"/>
  <c r="I62" i="11" s="1"/>
  <c r="U27" i="21"/>
  <c r="U29" i="21" s="1"/>
  <c r="V26" i="21"/>
  <c r="U47" i="21"/>
  <c r="V46" i="21"/>
  <c r="AY21" i="8"/>
  <c r="AY19" i="8"/>
  <c r="AY20" i="8"/>
  <c r="AV24" i="8"/>
  <c r="AX18" i="8"/>
  <c r="AX22" i="8" s="1"/>
  <c r="AV22" i="8"/>
  <c r="AY18" i="8"/>
  <c r="AZ21" i="8"/>
  <c r="AZ19" i="8"/>
  <c r="AZ20" i="8"/>
  <c r="AZ18" i="8"/>
  <c r="J12" i="21"/>
  <c r="BD10" i="8"/>
  <c r="BH11" i="8"/>
  <c r="I11" i="21"/>
  <c r="I13" i="21" s="1"/>
  <c r="BD12" i="8"/>
  <c r="AK22" i="8"/>
  <c r="AO22" i="8"/>
  <c r="AU22" i="8"/>
  <c r="AS19" i="8"/>
  <c r="AS20" i="8"/>
  <c r="AS18" i="8"/>
  <c r="AS21" i="8"/>
  <c r="F29" i="21"/>
  <c r="F37" i="21" s="1"/>
  <c r="F49" i="21"/>
  <c r="F57" i="21" s="1"/>
  <c r="S30" i="21"/>
  <c r="S38" i="21" s="1"/>
  <c r="E29" i="21"/>
  <c r="E37" i="21" s="1"/>
  <c r="E49" i="21"/>
  <c r="E57" i="21" s="1"/>
  <c r="AJ18" i="1"/>
  <c r="R30" i="21"/>
  <c r="R38" i="21" s="1"/>
  <c r="R50" i="21"/>
  <c r="R58" i="21" s="1"/>
  <c r="AV20" i="1"/>
  <c r="AY20" i="1" s="1"/>
  <c r="AV19" i="1"/>
  <c r="G48" i="21"/>
  <c r="G28" i="21"/>
  <c r="S28" i="21"/>
  <c r="S48" i="21"/>
  <c r="S49" i="21" s="1"/>
  <c r="F67" i="21"/>
  <c r="F66" i="21"/>
  <c r="F20" i="21"/>
  <c r="H27" i="21"/>
  <c r="H47" i="21"/>
  <c r="H8" i="21"/>
  <c r="U67" i="21"/>
  <c r="U66" i="21"/>
  <c r="G18" i="21"/>
  <c r="AR17" i="1"/>
  <c r="AV11" i="1"/>
  <c r="AZ11" i="1" s="1"/>
  <c r="BD11" i="1" s="1"/>
  <c r="D180" i="11"/>
  <c r="D181" i="11" s="1"/>
  <c r="D208" i="11" s="1"/>
  <c r="C31" i="21"/>
  <c r="AN18" i="1"/>
  <c r="AN21" i="1" s="1"/>
  <c r="AX45" i="1"/>
  <c r="AX46" i="1"/>
  <c r="N5" i="17"/>
  <c r="N13" i="17" s="1"/>
  <c r="N15" i="17" s="1"/>
  <c r="N16" i="17" s="1"/>
  <c r="BD10" i="1"/>
  <c r="I19" i="21"/>
  <c r="I8" i="21" s="1"/>
  <c r="AZ9" i="1"/>
  <c r="L16" i="17"/>
  <c r="L94" i="17" s="1"/>
  <c r="L93" i="17"/>
  <c r="F21" i="11"/>
  <c r="AK34" i="8"/>
  <c r="AK32" i="8"/>
  <c r="AK33" i="8"/>
  <c r="AK31" i="8"/>
  <c r="AM37" i="15"/>
  <c r="BS34" i="1"/>
  <c r="BL34" i="1"/>
  <c r="BN34" i="1" s="1"/>
  <c r="BJ30" i="1"/>
  <c r="BS31" i="1"/>
  <c r="BL31" i="1"/>
  <c r="BN31" i="1" s="1"/>
  <c r="BW33" i="1"/>
  <c r="BP33" i="1"/>
  <c r="BR33" i="1" s="1"/>
  <c r="BS30" i="1"/>
  <c r="BL30" i="1"/>
  <c r="AR27" i="8"/>
  <c r="G146" i="11"/>
  <c r="K94" i="17"/>
  <c r="H17" i="17"/>
  <c r="H95" i="17" s="1"/>
  <c r="I94" i="17"/>
  <c r="AL32" i="1"/>
  <c r="AM32" i="1"/>
  <c r="G53" i="11"/>
  <c r="AN23" i="1"/>
  <c r="J17" i="17"/>
  <c r="J95" i="17" s="1"/>
  <c r="G188" i="11"/>
  <c r="AD25" i="1"/>
  <c r="O37" i="15"/>
  <c r="AH49" i="8"/>
  <c r="AG49" i="8"/>
  <c r="AJ49" i="8" s="1"/>
  <c r="AL49" i="8" s="1"/>
  <c r="AP17" i="1"/>
  <c r="AQ17" i="1"/>
  <c r="AD24" i="1"/>
  <c r="D96" i="11"/>
  <c r="D97" i="11" s="1"/>
  <c r="D139" i="11"/>
  <c r="AK37" i="8"/>
  <c r="AK35" i="8"/>
  <c r="AR12" i="1"/>
  <c r="AK47" i="8"/>
  <c r="BB47" i="8"/>
  <c r="AK44" i="8"/>
  <c r="AA37" i="15"/>
  <c r="CA17" i="15"/>
  <c r="DC17" i="15"/>
  <c r="CY17" i="15"/>
  <c r="K17" i="15"/>
  <c r="G17" i="15"/>
  <c r="CE17" i="15"/>
  <c r="AI17" i="15"/>
  <c r="DW17" i="15"/>
  <c r="EA17" i="15"/>
  <c r="AE17" i="15"/>
  <c r="BB44" i="8"/>
  <c r="BB37" i="8"/>
  <c r="BB35" i="8"/>
  <c r="AZ13" i="8"/>
  <c r="BD42" i="18"/>
  <c r="BD39" i="18"/>
  <c r="BH40" i="18"/>
  <c r="BH47" i="8"/>
  <c r="BK47" i="8" s="1"/>
  <c r="AJ21" i="1" l="1"/>
  <c r="AM18" i="1"/>
  <c r="AL18" i="1"/>
  <c r="AS22" i="8"/>
  <c r="V27" i="21"/>
  <c r="V29" i="21" s="1"/>
  <c r="W26" i="21"/>
  <c r="V47" i="21"/>
  <c r="W46" i="21"/>
  <c r="BC21" i="8"/>
  <c r="BC19" i="8"/>
  <c r="BC20" i="8"/>
  <c r="AZ24" i="8"/>
  <c r="AZ22" i="8"/>
  <c r="BC18" i="8"/>
  <c r="BB18" i="8"/>
  <c r="BB22" i="8" s="1"/>
  <c r="BD19" i="8"/>
  <c r="BD20" i="8"/>
  <c r="BD21" i="8"/>
  <c r="BG21" i="8" s="1"/>
  <c r="BD18" i="8"/>
  <c r="BH10" i="8"/>
  <c r="K12" i="21"/>
  <c r="BL11" i="8"/>
  <c r="J11" i="21"/>
  <c r="J13" i="21" s="1"/>
  <c r="BH12" i="8"/>
  <c r="AY22" i="8"/>
  <c r="AW20" i="8"/>
  <c r="AW21" i="8"/>
  <c r="AW19" i="8"/>
  <c r="AW18" i="8"/>
  <c r="F30" i="21"/>
  <c r="F50" i="21"/>
  <c r="S31" i="21"/>
  <c r="E30" i="21"/>
  <c r="E50" i="21"/>
  <c r="R31" i="21"/>
  <c r="R51" i="21"/>
  <c r="AK24" i="1"/>
  <c r="AJ24" i="1" s="1"/>
  <c r="F96" i="11" s="1"/>
  <c r="G49" i="21"/>
  <c r="G57" i="21" s="1"/>
  <c r="G29" i="21"/>
  <c r="G37" i="21" s="1"/>
  <c r="T30" i="21"/>
  <c r="T38" i="21" s="1"/>
  <c r="S50" i="21"/>
  <c r="S58" i="21" s="1"/>
  <c r="S51" i="21"/>
  <c r="AV12" i="1"/>
  <c r="AY19" i="1"/>
  <c r="AP21" i="1"/>
  <c r="AQ21" i="1"/>
  <c r="AO19" i="1"/>
  <c r="AO20" i="1"/>
  <c r="AR32" i="1"/>
  <c r="AU32" i="1" s="1"/>
  <c r="AZ20" i="1"/>
  <c r="AZ19" i="1"/>
  <c r="H28" i="21"/>
  <c r="H48" i="21"/>
  <c r="I27" i="21"/>
  <c r="I47" i="21"/>
  <c r="T28" i="21"/>
  <c r="T48" i="21"/>
  <c r="T49" i="21" s="1"/>
  <c r="G67" i="21"/>
  <c r="G66" i="21"/>
  <c r="G20" i="21"/>
  <c r="V66" i="21"/>
  <c r="V67" i="21"/>
  <c r="BT33" i="1"/>
  <c r="BV33" i="1" s="1"/>
  <c r="AV17" i="1"/>
  <c r="H18" i="21"/>
  <c r="N93" i="17"/>
  <c r="AR18" i="1"/>
  <c r="AR21" i="1" s="1"/>
  <c r="AO24" i="1"/>
  <c r="AN24" i="1" s="1"/>
  <c r="BB46" i="1"/>
  <c r="BB45" i="1"/>
  <c r="P5" i="17"/>
  <c r="P13" i="17" s="1"/>
  <c r="P15" i="17" s="1"/>
  <c r="P16" i="17" s="1"/>
  <c r="P94" i="17" s="1"/>
  <c r="BH10" i="1"/>
  <c r="J19" i="21"/>
  <c r="BD9" i="1"/>
  <c r="I18" i="21"/>
  <c r="I20" i="21" s="1"/>
  <c r="H188" i="11"/>
  <c r="AR26" i="8"/>
  <c r="G21" i="11"/>
  <c r="AO33" i="8"/>
  <c r="AO31" i="8"/>
  <c r="AO34" i="8"/>
  <c r="AO32" i="8"/>
  <c r="AR25" i="8"/>
  <c r="BW31" i="1"/>
  <c r="BP31" i="1"/>
  <c r="BR31" i="1" s="1"/>
  <c r="BN30" i="1"/>
  <c r="BW30" i="1"/>
  <c r="BP30" i="1"/>
  <c r="BR30" i="1" s="1"/>
  <c r="BW34" i="1"/>
  <c r="BP34" i="1"/>
  <c r="BR34" i="1" s="1"/>
  <c r="D124" i="11"/>
  <c r="D125" i="11" s="1"/>
  <c r="H146" i="11"/>
  <c r="AV27" i="8"/>
  <c r="AO37" i="8"/>
  <c r="AO47" i="8"/>
  <c r="AO35" i="8"/>
  <c r="AO44" i="8"/>
  <c r="AP32" i="1"/>
  <c r="AR23" i="1"/>
  <c r="G95" i="11"/>
  <c r="N94" i="17"/>
  <c r="N17" i="17"/>
  <c r="N95" i="17" s="1"/>
  <c r="M94" i="17"/>
  <c r="AS24" i="1" s="1"/>
  <c r="L17" i="17"/>
  <c r="L95" i="17" s="1"/>
  <c r="H104" i="11"/>
  <c r="AV25" i="8"/>
  <c r="AU17" i="1"/>
  <c r="H53" i="11"/>
  <c r="AT17" i="1"/>
  <c r="J62" i="11"/>
  <c r="AV26" i="8"/>
  <c r="AK49" i="8"/>
  <c r="AN49" i="8" s="1"/>
  <c r="AP49" i="8" s="1"/>
  <c r="AM49" i="8"/>
  <c r="BF47" i="8"/>
  <c r="AM38" i="15"/>
  <c r="AA38" i="15"/>
  <c r="O38" i="15"/>
  <c r="BF35" i="8"/>
  <c r="BF44" i="8"/>
  <c r="BF37" i="8"/>
  <c r="BD13" i="8"/>
  <c r="AZ17" i="1"/>
  <c r="AZ12" i="1"/>
  <c r="BH42" i="18"/>
  <c r="BH39" i="18"/>
  <c r="BL40" i="18"/>
  <c r="BL47" i="8"/>
  <c r="BO47" i="8" s="1"/>
  <c r="AW22" i="8" l="1"/>
  <c r="AK17" i="1"/>
  <c r="AL21" i="1"/>
  <c r="AK18" i="1"/>
  <c r="AK19" i="1"/>
  <c r="AM21" i="1"/>
  <c r="AK20" i="1"/>
  <c r="W27" i="21"/>
  <c r="W29" i="21" s="1"/>
  <c r="X26" i="21"/>
  <c r="W47" i="21"/>
  <c r="X46" i="21"/>
  <c r="BG19" i="8"/>
  <c r="BG20" i="8"/>
  <c r="BD24" i="8"/>
  <c r="BD22" i="8"/>
  <c r="BG18" i="8"/>
  <c r="BF18" i="8"/>
  <c r="BF22" i="8" s="1"/>
  <c r="BH20" i="8"/>
  <c r="BH19" i="8"/>
  <c r="BK19" i="8" s="1"/>
  <c r="BH21" i="8"/>
  <c r="BH18" i="8"/>
  <c r="BH24" i="8" s="1"/>
  <c r="L12" i="21"/>
  <c r="BL10" i="8"/>
  <c r="BP11" i="8"/>
  <c r="K11" i="21"/>
  <c r="K13" i="21" s="1"/>
  <c r="BL12" i="8"/>
  <c r="BC22" i="8"/>
  <c r="BA21" i="8"/>
  <c r="BA19" i="8"/>
  <c r="BA20" i="8"/>
  <c r="BA18" i="8"/>
  <c r="G50" i="21"/>
  <c r="G30" i="21"/>
  <c r="T31" i="21"/>
  <c r="H29" i="21"/>
  <c r="H37" i="21" s="1"/>
  <c r="H49" i="21"/>
  <c r="H57" i="21" s="1"/>
  <c r="U30" i="21"/>
  <c r="U38" i="21" s="1"/>
  <c r="T50" i="21"/>
  <c r="T58" i="21" s="1"/>
  <c r="T51" i="21"/>
  <c r="AT32" i="1"/>
  <c r="AS20" i="1"/>
  <c r="AT21" i="1"/>
  <c r="AU21" i="1"/>
  <c r="AS19" i="1"/>
  <c r="P93" i="17"/>
  <c r="BC20" i="1"/>
  <c r="BD17" i="1"/>
  <c r="BD20" i="1"/>
  <c r="BD19" i="1"/>
  <c r="AV32" i="1"/>
  <c r="AX32" i="1" s="1"/>
  <c r="AV23" i="1"/>
  <c r="BC19" i="1"/>
  <c r="AM24" i="1"/>
  <c r="I48" i="21"/>
  <c r="I28" i="21"/>
  <c r="V48" i="21"/>
  <c r="V49" i="21" s="1"/>
  <c r="V28" i="21"/>
  <c r="I66" i="21"/>
  <c r="I67" i="21"/>
  <c r="U28" i="21"/>
  <c r="U48" i="21"/>
  <c r="U49" i="21" s="1"/>
  <c r="H66" i="21"/>
  <c r="H67" i="21"/>
  <c r="H20" i="21"/>
  <c r="J27" i="21"/>
  <c r="J47" i="21"/>
  <c r="J8" i="21"/>
  <c r="W67" i="21"/>
  <c r="W66" i="21"/>
  <c r="H95" i="11"/>
  <c r="AX17" i="1"/>
  <c r="AY17" i="1"/>
  <c r="O94" i="17"/>
  <c r="BT31" i="1"/>
  <c r="BV31" i="1" s="1"/>
  <c r="I53" i="11"/>
  <c r="BT34" i="1"/>
  <c r="BV34" i="1" s="1"/>
  <c r="AZ32" i="1"/>
  <c r="BB32" i="1" s="1"/>
  <c r="BT30" i="1"/>
  <c r="BV30" i="1" s="1"/>
  <c r="AR24" i="1"/>
  <c r="AV18" i="1"/>
  <c r="AV21" i="1" s="1"/>
  <c r="BF46" i="1"/>
  <c r="BF45" i="1"/>
  <c r="R5" i="17"/>
  <c r="R13" i="17" s="1"/>
  <c r="R15" i="17" s="1"/>
  <c r="R16" i="17" s="1"/>
  <c r="K19" i="21"/>
  <c r="BL10" i="1"/>
  <c r="BH9" i="1"/>
  <c r="J18" i="21"/>
  <c r="J20" i="21" s="1"/>
  <c r="BH11" i="1"/>
  <c r="H21" i="11"/>
  <c r="AS31" i="8"/>
  <c r="AS34" i="8"/>
  <c r="AS32" i="8"/>
  <c r="AS33" i="8"/>
  <c r="AZ25" i="8"/>
  <c r="I146" i="11"/>
  <c r="AZ23" i="1"/>
  <c r="AQ24" i="1"/>
  <c r="AP24" i="1"/>
  <c r="G96" i="11"/>
  <c r="G97" i="11" s="1"/>
  <c r="P17" i="17"/>
  <c r="P95" i="17" s="1"/>
  <c r="I188" i="11"/>
  <c r="I104" i="11"/>
  <c r="J53" i="11"/>
  <c r="AZ26" i="8"/>
  <c r="AS35" i="8"/>
  <c r="AS47" i="8"/>
  <c r="AS44" i="8"/>
  <c r="K62" i="11"/>
  <c r="AS37" i="8"/>
  <c r="AO49" i="8"/>
  <c r="AR49" i="8" s="1"/>
  <c r="AQ49" i="8"/>
  <c r="BJ35" i="8"/>
  <c r="BJ47" i="8"/>
  <c r="BJ37" i="8"/>
  <c r="BJ44" i="8"/>
  <c r="BH13" i="8"/>
  <c r="BD12" i="1"/>
  <c r="BC17" i="1"/>
  <c r="BB17" i="1"/>
  <c r="BL42" i="18"/>
  <c r="BL39" i="18"/>
  <c r="BP40" i="18"/>
  <c r="BP47" i="8"/>
  <c r="AK21" i="1" l="1"/>
  <c r="BA22" i="8"/>
  <c r="X27" i="21"/>
  <c r="X29" i="21" s="1"/>
  <c r="Y26" i="21"/>
  <c r="X47" i="21"/>
  <c r="Y46" i="21"/>
  <c r="BG22" i="8"/>
  <c r="BE21" i="8"/>
  <c r="BK20" i="8"/>
  <c r="BK21" i="8"/>
  <c r="BH22" i="8"/>
  <c r="BK18" i="8"/>
  <c r="BJ18" i="8"/>
  <c r="BJ22" i="8" s="1"/>
  <c r="BL20" i="8"/>
  <c r="BL21" i="8"/>
  <c r="BL19" i="8"/>
  <c r="BL18" i="8"/>
  <c r="BL24" i="8" s="1"/>
  <c r="BP10" i="8"/>
  <c r="M12" i="21"/>
  <c r="L11" i="21"/>
  <c r="L13" i="21" s="1"/>
  <c r="BP12" i="8"/>
  <c r="M11" i="21" s="1"/>
  <c r="M13" i="21" s="1"/>
  <c r="BE19" i="8"/>
  <c r="BE18" i="8"/>
  <c r="BE20" i="8"/>
  <c r="Q94" i="17"/>
  <c r="V31" i="21" s="1"/>
  <c r="V30" i="21"/>
  <c r="V38" i="21" s="1"/>
  <c r="I49" i="21"/>
  <c r="I57" i="21" s="1"/>
  <c r="I29" i="21"/>
  <c r="I37" i="21" s="1"/>
  <c r="H30" i="21"/>
  <c r="U31" i="21"/>
  <c r="H50" i="21"/>
  <c r="V50" i="21"/>
  <c r="V58" i="21" s="1"/>
  <c r="U51" i="21"/>
  <c r="U50" i="21"/>
  <c r="U58" i="21" s="1"/>
  <c r="AY32" i="1"/>
  <c r="BC32" i="1"/>
  <c r="AZ18" i="1"/>
  <c r="AW20" i="1"/>
  <c r="AY21" i="1"/>
  <c r="AX21" i="1"/>
  <c r="AW19" i="1"/>
  <c r="BH20" i="1"/>
  <c r="BK20" i="1" s="1"/>
  <c r="BH19" i="1"/>
  <c r="BG19" i="1"/>
  <c r="BG20" i="1"/>
  <c r="J48" i="21"/>
  <c r="J28" i="21"/>
  <c r="W28" i="21"/>
  <c r="W48" i="21"/>
  <c r="W49" i="21" s="1"/>
  <c r="J66" i="21"/>
  <c r="J67" i="21"/>
  <c r="K27" i="21"/>
  <c r="K47" i="21"/>
  <c r="K8" i="21"/>
  <c r="X66" i="21"/>
  <c r="X67" i="21"/>
  <c r="R93" i="17"/>
  <c r="AW24" i="1"/>
  <c r="AV24" i="1" s="1"/>
  <c r="I95" i="11"/>
  <c r="BJ45" i="1"/>
  <c r="T5" i="17"/>
  <c r="T13" i="17" s="1"/>
  <c r="T15" i="17" s="1"/>
  <c r="BJ46" i="1"/>
  <c r="BP10" i="1"/>
  <c r="L19" i="21"/>
  <c r="BL9" i="1"/>
  <c r="BD32" i="1"/>
  <c r="BD23" i="1"/>
  <c r="BL11" i="1"/>
  <c r="K18" i="21"/>
  <c r="BR37" i="8"/>
  <c r="BR44" i="8"/>
  <c r="BR35" i="8"/>
  <c r="AZ27" i="8"/>
  <c r="I21" i="11"/>
  <c r="AW34" i="8"/>
  <c r="AW31" i="8"/>
  <c r="AW33" i="8"/>
  <c r="AW32" i="8"/>
  <c r="BR47" i="8"/>
  <c r="BS47" i="8"/>
  <c r="J104" i="11"/>
  <c r="BD25" i="8"/>
  <c r="J146" i="11"/>
  <c r="H96" i="11"/>
  <c r="H97" i="11" s="1"/>
  <c r="AU24" i="1"/>
  <c r="R17" i="17"/>
  <c r="R95" i="17" s="1"/>
  <c r="R94" i="17"/>
  <c r="AW44" i="8"/>
  <c r="AW35" i="8"/>
  <c r="AW47" i="8"/>
  <c r="AW37" i="8"/>
  <c r="J188" i="11"/>
  <c r="K53" i="11"/>
  <c r="AU49" i="8"/>
  <c r="AS49" i="8"/>
  <c r="AV49" i="8" s="1"/>
  <c r="AY49" i="8" s="1"/>
  <c r="AT49" i="8"/>
  <c r="L62" i="11"/>
  <c r="BN47" i="8"/>
  <c r="BN35" i="8"/>
  <c r="BN37" i="8"/>
  <c r="BN44" i="8"/>
  <c r="BL13" i="8"/>
  <c r="BG17" i="1"/>
  <c r="BF17" i="1"/>
  <c r="BH12" i="1"/>
  <c r="BH17" i="1"/>
  <c r="BP42" i="18"/>
  <c r="BP39" i="18"/>
  <c r="V51" i="21" l="1"/>
  <c r="BA24" i="1"/>
  <c r="AZ24" i="1" s="1"/>
  <c r="BC24" i="1" s="1"/>
  <c r="I50" i="21"/>
  <c r="I30" i="21"/>
  <c r="Y27" i="21"/>
  <c r="Y29" i="21" s="1"/>
  <c r="Z26" i="21"/>
  <c r="Z27" i="21" s="1"/>
  <c r="Z29" i="21" s="1"/>
  <c r="Y47" i="21"/>
  <c r="Z46" i="21"/>
  <c r="Z47" i="21" s="1"/>
  <c r="BK22" i="8"/>
  <c r="BI19" i="8"/>
  <c r="BO20" i="8"/>
  <c r="BO21" i="8"/>
  <c r="BO19" i="8"/>
  <c r="BL22" i="8"/>
  <c r="BO18" i="8"/>
  <c r="BN18" i="8"/>
  <c r="BN22" i="8" s="1"/>
  <c r="BP19" i="8"/>
  <c r="BP20" i="8"/>
  <c r="BP21" i="8"/>
  <c r="BP18" i="8"/>
  <c r="BE22" i="8"/>
  <c r="BI20" i="8"/>
  <c r="BI21" i="8"/>
  <c r="BI18" i="8"/>
  <c r="J95" i="11"/>
  <c r="AZ21" i="1"/>
  <c r="J49" i="21"/>
  <c r="J57" i="21" s="1"/>
  <c r="J29" i="21"/>
  <c r="J37" i="21" s="1"/>
  <c r="BD18" i="1"/>
  <c r="BD21" i="1" s="1"/>
  <c r="W30" i="21"/>
  <c r="W38" i="21" s="1"/>
  <c r="W50" i="21"/>
  <c r="W58" i="21" s="1"/>
  <c r="T16" i="17"/>
  <c r="T93" i="17"/>
  <c r="BH32" i="1"/>
  <c r="BH35" i="1" s="1"/>
  <c r="X53" i="21" s="1"/>
  <c r="BK19" i="1"/>
  <c r="BL19" i="1"/>
  <c r="BO19" i="1" s="1"/>
  <c r="BL20" i="1"/>
  <c r="K48" i="21"/>
  <c r="K28" i="21"/>
  <c r="X48" i="21"/>
  <c r="X49" i="21" s="1"/>
  <c r="X28" i="21"/>
  <c r="K67" i="21"/>
  <c r="K66" i="21"/>
  <c r="K20" i="21"/>
  <c r="L27" i="21"/>
  <c r="L47" i="21"/>
  <c r="L8" i="21"/>
  <c r="Y66" i="21"/>
  <c r="Y67" i="21"/>
  <c r="S94" i="17"/>
  <c r="I96" i="11"/>
  <c r="I97" i="11" s="1"/>
  <c r="AY24" i="1"/>
  <c r="BN45" i="1"/>
  <c r="BN46" i="1"/>
  <c r="BV48" i="1"/>
  <c r="V5" i="17"/>
  <c r="V13" i="17" s="1"/>
  <c r="V15" i="17" s="1"/>
  <c r="V16" i="17" s="1"/>
  <c r="M19" i="21"/>
  <c r="BP9" i="1"/>
  <c r="BT10" i="1"/>
  <c r="BP11" i="1"/>
  <c r="L18" i="21"/>
  <c r="BF32" i="1"/>
  <c r="BG32" i="1"/>
  <c r="J21" i="11"/>
  <c r="BA32" i="8"/>
  <c r="BA31" i="8"/>
  <c r="BA34" i="8"/>
  <c r="BA33" i="8"/>
  <c r="BD27" i="8"/>
  <c r="K188" i="11"/>
  <c r="BD26" i="8"/>
  <c r="K104" i="11"/>
  <c r="BH25" i="8"/>
  <c r="BH23" i="1"/>
  <c r="L53" i="11"/>
  <c r="BA47" i="8"/>
  <c r="BA44" i="8"/>
  <c r="BA37" i="8"/>
  <c r="BA35" i="8"/>
  <c r="AX49" i="8"/>
  <c r="AW49" i="8"/>
  <c r="AZ49" i="8" s="1"/>
  <c r="BA49" i="8" s="1"/>
  <c r="M62" i="11"/>
  <c r="K146" i="11"/>
  <c r="BP13" i="8"/>
  <c r="BK17" i="1"/>
  <c r="BJ17" i="1"/>
  <c r="BL12" i="1"/>
  <c r="BL17" i="1"/>
  <c r="BB21" i="1" l="1"/>
  <c r="BC21" i="1"/>
  <c r="BA19" i="1"/>
  <c r="BA20" i="1"/>
  <c r="N62" i="11"/>
  <c r="BP24" i="8"/>
  <c r="BI22" i="8"/>
  <c r="BS19" i="8"/>
  <c r="BS20" i="8"/>
  <c r="BS21" i="8"/>
  <c r="BP22" i="8"/>
  <c r="BS18" i="8"/>
  <c r="BR18" i="8"/>
  <c r="BR22" i="8" s="1"/>
  <c r="BO22" i="8"/>
  <c r="BM20" i="8"/>
  <c r="BM21" i="8"/>
  <c r="BM19" i="8"/>
  <c r="BM18" i="8"/>
  <c r="BG21" i="1"/>
  <c r="BF21" i="1"/>
  <c r="BE19" i="1"/>
  <c r="BE20" i="1"/>
  <c r="T94" i="17"/>
  <c r="U94" i="17" s="1"/>
  <c r="T17" i="17"/>
  <c r="T95" i="17" s="1"/>
  <c r="BH18" i="1"/>
  <c r="X30" i="21"/>
  <c r="X38" i="21" s="1"/>
  <c r="K49" i="21"/>
  <c r="K57" i="21" s="1"/>
  <c r="K29" i="21"/>
  <c r="K37" i="21" s="1"/>
  <c r="BE24" i="1"/>
  <c r="BD24" i="1" s="1"/>
  <c r="J50" i="21"/>
  <c r="J51" i="21" s="1"/>
  <c r="J30" i="21"/>
  <c r="W31" i="21"/>
  <c r="W51" i="21"/>
  <c r="X50" i="21"/>
  <c r="X58" i="21" s="1"/>
  <c r="J96" i="11"/>
  <c r="J97" i="11" s="1"/>
  <c r="K32" i="21"/>
  <c r="K52" i="21"/>
  <c r="BJ32" i="1"/>
  <c r="BO20" i="1"/>
  <c r="X33" i="21"/>
  <c r="BL32" i="1"/>
  <c r="BL35" i="1" s="1"/>
  <c r="L32" i="21" s="1"/>
  <c r="BK32" i="1"/>
  <c r="BP20" i="1"/>
  <c r="BS20" i="1" s="1"/>
  <c r="BP19" i="1"/>
  <c r="L48" i="21"/>
  <c r="L28" i="21"/>
  <c r="Y28" i="21"/>
  <c r="Y48" i="21"/>
  <c r="Y49" i="21" s="1"/>
  <c r="L67" i="21"/>
  <c r="L66" i="21"/>
  <c r="L20" i="21"/>
  <c r="M47" i="21"/>
  <c r="M27" i="21"/>
  <c r="K95" i="11"/>
  <c r="M8" i="21"/>
  <c r="Z66" i="21"/>
  <c r="Z67" i="21"/>
  <c r="V93" i="17"/>
  <c r="BT9" i="1"/>
  <c r="BT11" i="1"/>
  <c r="M18" i="21"/>
  <c r="K21" i="11"/>
  <c r="BE31" i="8"/>
  <c r="BE33" i="8"/>
  <c r="BE34" i="8"/>
  <c r="BE32" i="8"/>
  <c r="L188" i="11"/>
  <c r="BH26" i="8"/>
  <c r="BL25" i="8"/>
  <c r="L104" i="11"/>
  <c r="BL23" i="1"/>
  <c r="V94" i="17"/>
  <c r="V17" i="17"/>
  <c r="V95" i="17" s="1"/>
  <c r="M53" i="11"/>
  <c r="BB49" i="8"/>
  <c r="BC49" i="8"/>
  <c r="BD49" i="8"/>
  <c r="BE44" i="8"/>
  <c r="BE35" i="8"/>
  <c r="BE37" i="8"/>
  <c r="BE47" i="8"/>
  <c r="BN17" i="1"/>
  <c r="BO17" i="1"/>
  <c r="BR24" i="8" l="1"/>
  <c r="BS24" i="8"/>
  <c r="BM22" i="8"/>
  <c r="BS22" i="8"/>
  <c r="BQ19" i="8"/>
  <c r="BQ21" i="8"/>
  <c r="BQ18" i="8"/>
  <c r="BQ20" i="8"/>
  <c r="X31" i="21"/>
  <c r="K50" i="21"/>
  <c r="K30" i="21"/>
  <c r="X32" i="21"/>
  <c r="X51" i="21"/>
  <c r="BI24" i="1"/>
  <c r="BH24" i="1" s="1"/>
  <c r="L95" i="11"/>
  <c r="BH21" i="1"/>
  <c r="BG24" i="1"/>
  <c r="K96" i="11"/>
  <c r="K97" i="11" s="1"/>
  <c r="L49" i="21"/>
  <c r="L57" i="21" s="1"/>
  <c r="L29" i="21"/>
  <c r="L37" i="21" s="1"/>
  <c r="Y30" i="21"/>
  <c r="Y38" i="21" s="1"/>
  <c r="Y50" i="21"/>
  <c r="Y58" i="21" s="1"/>
  <c r="L52" i="21"/>
  <c r="BO32" i="1"/>
  <c r="BS19" i="1"/>
  <c r="BT19" i="1"/>
  <c r="BT20" i="1"/>
  <c r="BW20" i="1" s="1"/>
  <c r="Y53" i="21"/>
  <c r="Y33" i="21"/>
  <c r="BN32" i="1"/>
  <c r="M48" i="21"/>
  <c r="M28" i="21"/>
  <c r="Z28" i="21"/>
  <c r="Z48" i="21"/>
  <c r="Z49" i="21" s="1"/>
  <c r="M66" i="21"/>
  <c r="M67" i="21"/>
  <c r="M20" i="21"/>
  <c r="Z5" i="17"/>
  <c r="Z13" i="17" s="1"/>
  <c r="Z15" i="17" s="1"/>
  <c r="BT17" i="1"/>
  <c r="BL18" i="1"/>
  <c r="BL21" i="1" s="1"/>
  <c r="W94" i="17"/>
  <c r="BT12" i="1"/>
  <c r="BH27" i="8"/>
  <c r="M188" i="11"/>
  <c r="BL26" i="8"/>
  <c r="M104" i="11"/>
  <c r="BG49" i="8"/>
  <c r="BF49" i="8"/>
  <c r="BE49" i="8"/>
  <c r="L146" i="11"/>
  <c r="BQ22" i="8" l="1"/>
  <c r="L96" i="11"/>
  <c r="L97" i="11" s="1"/>
  <c r="BK24" i="1"/>
  <c r="BI19" i="1"/>
  <c r="BK21" i="1"/>
  <c r="BJ21" i="1"/>
  <c r="BI20" i="1"/>
  <c r="Z16" i="17"/>
  <c r="Z93" i="17"/>
  <c r="BT18" i="1" s="1"/>
  <c r="BW19" i="1"/>
  <c r="BM19" i="1"/>
  <c r="BN21" i="1"/>
  <c r="BO21" i="1"/>
  <c r="BM20" i="1"/>
  <c r="BT23" i="1"/>
  <c r="BW23" i="1" s="1"/>
  <c r="BT32" i="1"/>
  <c r="BM24" i="1"/>
  <c r="BL24" i="1" s="1"/>
  <c r="M95" i="11"/>
  <c r="BV17" i="1"/>
  <c r="BW17" i="1"/>
  <c r="L21" i="11"/>
  <c r="BI31" i="8"/>
  <c r="BI33" i="8"/>
  <c r="BI34" i="8"/>
  <c r="BI32" i="8"/>
  <c r="N188" i="11"/>
  <c r="BP26" i="8"/>
  <c r="N104" i="11"/>
  <c r="BP25" i="8"/>
  <c r="BI47" i="8"/>
  <c r="BI44" i="8"/>
  <c r="BI35" i="8"/>
  <c r="BI37" i="8"/>
  <c r="BL27" i="8"/>
  <c r="BH49" i="8"/>
  <c r="BK49" i="8" s="1"/>
  <c r="Z94" i="17" l="1"/>
  <c r="AA94" i="17" s="1"/>
  <c r="BU24" i="1" s="1"/>
  <c r="Z17" i="17"/>
  <c r="Z95" i="17" s="1"/>
  <c r="BT21" i="1"/>
  <c r="BW18" i="1"/>
  <c r="BV18" i="1"/>
  <c r="M96" i="11"/>
  <c r="M97" i="11" s="1"/>
  <c r="BO24" i="1"/>
  <c r="BT35" i="1"/>
  <c r="BV32" i="1"/>
  <c r="BW32" i="1"/>
  <c r="BS26" i="8"/>
  <c r="BR26" i="8"/>
  <c r="BS25" i="8"/>
  <c r="BR25" i="8"/>
  <c r="M146" i="11"/>
  <c r="BJ49" i="8"/>
  <c r="BI49" i="8"/>
  <c r="BU19" i="1" l="1"/>
  <c r="BU20" i="1"/>
  <c r="BV21" i="1"/>
  <c r="BW21" i="1"/>
  <c r="BT24" i="1"/>
  <c r="BV24" i="1" s="1"/>
  <c r="BV35" i="1"/>
  <c r="BW35" i="1"/>
  <c r="M21" i="11"/>
  <c r="BM34" i="8"/>
  <c r="BM31" i="8"/>
  <c r="BM33" i="8"/>
  <c r="BM32" i="8"/>
  <c r="BQ44" i="8"/>
  <c r="BQ37" i="8"/>
  <c r="BQ35" i="8"/>
  <c r="BQ47" i="8"/>
  <c r="BM37" i="8"/>
  <c r="BM44" i="8"/>
  <c r="BM47" i="8"/>
  <c r="BM35" i="8"/>
  <c r="BL49" i="8"/>
  <c r="BO49" i="8" s="1"/>
  <c r="BW24" i="1" l="1"/>
  <c r="BP27" i="8"/>
  <c r="N146" i="11"/>
  <c r="BM49" i="8"/>
  <c r="BN49" i="8"/>
  <c r="BS27" i="8" l="1"/>
  <c r="BR27" i="8"/>
  <c r="N21" i="11"/>
  <c r="BQ33" i="8"/>
  <c r="BQ31" i="8"/>
  <c r="BQ34" i="8"/>
  <c r="BQ32" i="8"/>
  <c r="BP49" i="8"/>
  <c r="BQ49" i="8" l="1"/>
  <c r="BS49" i="8"/>
  <c r="BR49" i="8"/>
  <c r="AE17" i="1"/>
  <c r="AD51" i="1"/>
  <c r="AD48" i="1"/>
  <c r="F53" i="11" l="1"/>
  <c r="AB37" i="1"/>
  <c r="AE26" i="1"/>
  <c r="AE24" i="1"/>
  <c r="AI17" i="1"/>
  <c r="AD17" i="1"/>
  <c r="AE37" i="1" l="1"/>
  <c r="AD37" i="1"/>
  <c r="AE19" i="1"/>
  <c r="AE25" i="1"/>
  <c r="AE20" i="1"/>
  <c r="AD26" i="1"/>
  <c r="AL24" i="1" l="1"/>
  <c r="X5" i="17" l="1"/>
  <c r="X13" i="17" s="1"/>
  <c r="X15" i="17" s="1"/>
  <c r="BP12" i="1"/>
  <c r="X16" i="17" l="1"/>
  <c r="X93" i="17"/>
  <c r="BP17" i="1"/>
  <c r="Z31" i="21" l="1"/>
  <c r="Z30" i="21"/>
  <c r="Z38" i="21" s="1"/>
  <c r="M29" i="21"/>
  <c r="M37" i="21" s="1"/>
  <c r="M50" i="21"/>
  <c r="M49" i="21"/>
  <c r="M57" i="21" s="1"/>
  <c r="M30" i="21"/>
  <c r="Z50" i="21"/>
  <c r="Z58" i="21" s="1"/>
  <c r="Z51" i="21"/>
  <c r="BP32" i="1"/>
  <c r="BP23" i="1"/>
  <c r="BS23" i="1" s="1"/>
  <c r="BR17" i="1"/>
  <c r="BS17" i="1"/>
  <c r="N53" i="11"/>
  <c r="BP18" i="1"/>
  <c r="BP21" i="1" s="1"/>
  <c r="AT24" i="1"/>
  <c r="BR32" i="1" l="1"/>
  <c r="BS32" i="1"/>
  <c r="BQ20" i="1"/>
  <c r="BR21" i="1"/>
  <c r="BS21" i="1"/>
  <c r="BQ19" i="1"/>
  <c r="N95" i="11"/>
  <c r="BS18" i="1"/>
  <c r="BR18" i="1"/>
  <c r="X17" i="17"/>
  <c r="X95" i="17" s="1"/>
  <c r="X94" i="17"/>
  <c r="Y94" i="17" l="1"/>
  <c r="L50" i="21" l="1"/>
  <c r="L30" i="21"/>
  <c r="Y31" i="21"/>
  <c r="Y51" i="21"/>
  <c r="BQ24" i="1"/>
  <c r="BP24" i="1" s="1"/>
  <c r="BS24" i="1" s="1"/>
  <c r="AX24" i="1"/>
  <c r="N96" i="11" l="1"/>
  <c r="N97" i="11" s="1"/>
  <c r="BR24" i="1"/>
  <c r="BB24" i="1"/>
  <c r="BF24" i="1" l="1"/>
  <c r="BJ24" i="1" l="1"/>
  <c r="BN24" i="1" l="1"/>
  <c r="AE18" i="1" l="1"/>
  <c r="AD21" i="1"/>
  <c r="AC51" i="1"/>
  <c r="AE21" i="1" l="1"/>
  <c r="AC48" i="1"/>
  <c r="AE53" i="1" l="1"/>
  <c r="AD53" i="1"/>
  <c r="AC53" i="1"/>
  <c r="L73" i="9" l="1"/>
  <c r="L127" i="9"/>
  <c r="F56" i="17" l="1"/>
  <c r="AD34" i="1" l="1"/>
  <c r="AD31" i="1"/>
  <c r="AD33" i="1"/>
  <c r="E95" i="11"/>
  <c r="F46" i="17"/>
  <c r="F95" i="17" s="1"/>
  <c r="AH48" i="1" l="1"/>
  <c r="AI48" i="1"/>
  <c r="AD30" i="1"/>
  <c r="AB35" i="1"/>
  <c r="AH31" i="1"/>
  <c r="AF35" i="1"/>
  <c r="AH33" i="1"/>
  <c r="AH34" i="1"/>
  <c r="AI18" i="1"/>
  <c r="AH18" i="1"/>
  <c r="P33" i="21" l="1"/>
  <c r="P34" i="21" s="1"/>
  <c r="P36" i="21" s="1"/>
  <c r="P39" i="21" s="1"/>
  <c r="P53" i="21"/>
  <c r="P54" i="21" s="1"/>
  <c r="P56" i="21" s="1"/>
  <c r="P59" i="21" s="1"/>
  <c r="C52" i="21"/>
  <c r="C32" i="21"/>
  <c r="C33" i="21" s="1"/>
  <c r="C35" i="21" s="1"/>
  <c r="C38" i="21" s="1"/>
  <c r="Q53" i="21"/>
  <c r="Q33" i="21"/>
  <c r="D32" i="21"/>
  <c r="AH35" i="1"/>
  <c r="D52" i="21"/>
  <c r="AH51" i="1"/>
  <c r="AI51" i="1"/>
  <c r="AC35" i="1"/>
  <c r="AD35" i="1"/>
  <c r="AE35" i="1"/>
  <c r="AH24" i="1"/>
  <c r="AI35" i="1"/>
  <c r="AL51" i="1" l="1"/>
  <c r="AM51" i="1"/>
  <c r="AP48" i="1"/>
  <c r="AN51" i="1"/>
  <c r="AQ48" i="1"/>
  <c r="E96" i="11"/>
  <c r="E97" i="11" s="1"/>
  <c r="AI24" i="1"/>
  <c r="AP18" i="1"/>
  <c r="AQ18" i="1"/>
  <c r="S57" i="21" l="1"/>
  <c r="S37" i="21"/>
  <c r="F56" i="21"/>
  <c r="F36" i="21"/>
  <c r="AP51" i="1"/>
  <c r="AQ51" i="1"/>
  <c r="AT48" i="1"/>
  <c r="AR51" i="1"/>
  <c r="AU48" i="1"/>
  <c r="AT18" i="1"/>
  <c r="AU18" i="1"/>
  <c r="T57" i="21" l="1"/>
  <c r="T37" i="21"/>
  <c r="G36" i="21"/>
  <c r="G56" i="21"/>
  <c r="AT51" i="1"/>
  <c r="AU51" i="1"/>
  <c r="AX48" i="1"/>
  <c r="AV51" i="1"/>
  <c r="AY48" i="1"/>
  <c r="AX18" i="1"/>
  <c r="AY18" i="1"/>
  <c r="U57" i="21" l="1"/>
  <c r="U37" i="21"/>
  <c r="H36" i="21"/>
  <c r="H56" i="21"/>
  <c r="AX51" i="1"/>
  <c r="AY51" i="1"/>
  <c r="BB48" i="1"/>
  <c r="AZ51" i="1"/>
  <c r="BC18" i="1"/>
  <c r="BB18" i="1"/>
  <c r="V57" i="21" l="1"/>
  <c r="V37" i="21"/>
  <c r="I36" i="21"/>
  <c r="I56" i="21"/>
  <c r="BB51" i="1"/>
  <c r="BC51" i="1"/>
  <c r="BF48" i="1"/>
  <c r="BG48" i="1"/>
  <c r="BG18" i="1"/>
  <c r="BF18" i="1"/>
  <c r="BF51" i="1" l="1"/>
  <c r="BG51" i="1"/>
  <c r="BJ48" i="1"/>
  <c r="BH51" i="1"/>
  <c r="BK48" i="1"/>
  <c r="BK18" i="1"/>
  <c r="BJ18" i="1"/>
  <c r="X57" i="21" l="1"/>
  <c r="X37" i="21"/>
  <c r="K36" i="21"/>
  <c r="K56" i="21"/>
  <c r="BJ51" i="1"/>
  <c r="BK51" i="1"/>
  <c r="BN48" i="1"/>
  <c r="BL51" i="1"/>
  <c r="BO48" i="1"/>
  <c r="BO18" i="1"/>
  <c r="BN18" i="1"/>
  <c r="Y57" i="21" l="1"/>
  <c r="Y37" i="21"/>
  <c r="L36" i="21"/>
  <c r="L56" i="21"/>
  <c r="BN51" i="1"/>
  <c r="BO51" i="1"/>
  <c r="BR48" i="1"/>
  <c r="BP51" i="1"/>
  <c r="BS48" i="1"/>
  <c r="N54" i="11"/>
  <c r="N55" i="11" s="1"/>
  <c r="Z37" i="21" l="1"/>
  <c r="M36" i="21"/>
  <c r="M56" i="21"/>
  <c r="Z57" i="21"/>
  <c r="BS51" i="1"/>
  <c r="BR51" i="1"/>
  <c r="BT51" i="1"/>
  <c r="BW51" i="1" l="1"/>
  <c r="BV51" i="1"/>
  <c r="F95" i="11"/>
  <c r="F97" i="11" s="1"/>
  <c r="E63" i="11" l="1"/>
  <c r="E64" i="11" s="1"/>
  <c r="AH24" i="8"/>
  <c r="AM24" i="8" l="1"/>
  <c r="AL24" i="8"/>
  <c r="AQ24" i="8" s="1"/>
  <c r="F63" i="11"/>
  <c r="F64" i="11" s="1"/>
  <c r="G63" i="11" l="1"/>
  <c r="G64" i="11" s="1"/>
  <c r="AP24" i="8"/>
  <c r="AU24" i="8" s="1"/>
  <c r="H63" i="11" l="1"/>
  <c r="H64" i="11" s="1"/>
  <c r="AT24" i="8"/>
  <c r="AY24" i="8" s="1"/>
  <c r="I63" i="11" l="1"/>
  <c r="I64" i="11" s="1"/>
  <c r="AX24" i="8"/>
  <c r="BC24" i="8" s="1"/>
  <c r="J63" i="11" l="1"/>
  <c r="J64" i="11" s="1"/>
  <c r="BB24" i="8"/>
  <c r="BG24" i="8" s="1"/>
  <c r="BF24" i="8" l="1"/>
  <c r="BK24" i="8" s="1"/>
  <c r="K63" i="11"/>
  <c r="K64" i="11" s="1"/>
  <c r="L63" i="11" l="1"/>
  <c r="L64" i="11" s="1"/>
  <c r="BJ24" i="8"/>
  <c r="BO24" i="8" s="1"/>
  <c r="M63" i="11" l="1"/>
  <c r="M64" i="11" s="1"/>
  <c r="BN24" i="8"/>
  <c r="N63" i="11" l="1"/>
  <c r="N64" i="11" s="1"/>
  <c r="N82" i="11" s="1"/>
  <c r="Q57" i="11" s="1"/>
  <c r="N83" i="11" l="1"/>
  <c r="AL34" i="1" l="1"/>
  <c r="AL33" i="1"/>
  <c r="AH23" i="1" l="1"/>
  <c r="AI23" i="1"/>
  <c r="E54" i="11"/>
  <c r="E55" i="11" s="1"/>
  <c r="E82" i="11" s="1"/>
  <c r="E83" i="11" l="1"/>
  <c r="E84" i="11" l="1"/>
  <c r="AD23" i="1" l="1"/>
  <c r="D54" i="11"/>
  <c r="D55" i="11" s="1"/>
  <c r="AE23" i="1"/>
  <c r="AC27" i="1"/>
  <c r="D82" i="11" l="1"/>
  <c r="AD27" i="1"/>
  <c r="AB28" i="1"/>
  <c r="AE27" i="1"/>
  <c r="C21" i="21" l="1"/>
  <c r="AB36" i="1"/>
  <c r="C22" i="21" s="1"/>
  <c r="C70" i="21" s="1"/>
  <c r="D83" i="11"/>
  <c r="AE28" i="1"/>
  <c r="AD28" i="1"/>
  <c r="AC28" i="1"/>
  <c r="C69" i="21" l="1"/>
  <c r="C68" i="21"/>
  <c r="P70" i="21"/>
  <c r="P71" i="21"/>
  <c r="P68" i="21"/>
  <c r="P69" i="21"/>
  <c r="D13" i="11"/>
  <c r="AB41" i="1"/>
  <c r="AB52" i="1" s="1"/>
  <c r="AE36" i="1"/>
  <c r="AC36" i="1"/>
  <c r="AD36" i="1"/>
  <c r="C53" i="21" l="1"/>
  <c r="AC41" i="1"/>
  <c r="AE41" i="1"/>
  <c r="AD41" i="1"/>
  <c r="C71" i="21" l="1"/>
  <c r="C55" i="21"/>
  <c r="C58" i="21" s="1"/>
  <c r="AB54" i="1"/>
  <c r="AC52" i="1"/>
  <c r="AE52" i="1"/>
  <c r="AD52" i="1"/>
  <c r="C66" i="1" l="1"/>
  <c r="C70" i="1" s="1"/>
  <c r="D14" i="11"/>
  <c r="AC54" i="1"/>
  <c r="AD54" i="1"/>
  <c r="AE54" i="1"/>
  <c r="AM23" i="1" l="1"/>
  <c r="F54" i="11"/>
  <c r="F55" i="11" s="1"/>
  <c r="F82" i="11" s="1"/>
  <c r="F83" i="11" l="1"/>
  <c r="F84" i="11" l="1"/>
  <c r="AP23" i="1" l="1"/>
  <c r="AT23" i="1" s="1"/>
  <c r="AQ23" i="1"/>
  <c r="G54" i="11"/>
  <c r="G55" i="11" s="1"/>
  <c r="G82" i="11" s="1"/>
  <c r="G83" i="11" l="1"/>
  <c r="AX23" i="1"/>
  <c r="BB23" i="1" l="1"/>
  <c r="AU23" i="1"/>
  <c r="H54" i="11"/>
  <c r="H55" i="11" s="1"/>
  <c r="H82" i="11" s="1"/>
  <c r="G84" i="11"/>
  <c r="H83" i="11" l="1"/>
  <c r="AY23" i="1"/>
  <c r="I54" i="11"/>
  <c r="I55" i="11" s="1"/>
  <c r="I82" i="11" s="1"/>
  <c r="I83" i="11" s="1"/>
  <c r="BF23" i="1"/>
  <c r="Q53" i="11" l="1"/>
  <c r="Q54" i="11" s="1"/>
  <c r="H84" i="11"/>
  <c r="I84" i="11" s="1"/>
  <c r="BJ23" i="1"/>
  <c r="BC23" i="1"/>
  <c r="J54" i="11"/>
  <c r="J55" i="11" s="1"/>
  <c r="J82" i="11" s="1"/>
  <c r="J83" i="11" l="1"/>
  <c r="BN23" i="1"/>
  <c r="BR23" i="1" s="1"/>
  <c r="BV23" i="1" s="1"/>
  <c r="BG23" i="1"/>
  <c r="K54" i="11"/>
  <c r="K55" i="11" s="1"/>
  <c r="K82" i="11" s="1"/>
  <c r="K83" i="11" s="1"/>
  <c r="J84" i="11" l="1"/>
  <c r="K84" i="11" s="1"/>
  <c r="L54" i="11"/>
  <c r="L55" i="11" s="1"/>
  <c r="L82" i="11" s="1"/>
  <c r="BK23" i="1"/>
  <c r="BO23" i="1"/>
  <c r="M54" i="11"/>
  <c r="M55" i="11" s="1"/>
  <c r="M82" i="11" s="1"/>
  <c r="Q55" i="11" l="1"/>
  <c r="Q56" i="11" s="1"/>
  <c r="Q58" i="11"/>
  <c r="M83" i="11"/>
  <c r="L83" i="11"/>
  <c r="Q59" i="11" l="1"/>
  <c r="L84" i="11"/>
  <c r="M84" i="11" s="1"/>
  <c r="N84" i="11" s="1"/>
  <c r="R55" i="11" s="1"/>
  <c r="AV104" i="9" l="1"/>
  <c r="AV89" i="9"/>
  <c r="AC29" i="8" l="1"/>
  <c r="AB36" i="8"/>
  <c r="C15" i="21" s="1"/>
  <c r="AC28" i="8"/>
  <c r="AE28" i="8"/>
  <c r="AD28" i="8"/>
  <c r="AD29" i="8"/>
  <c r="AE29" i="8"/>
  <c r="Q96" i="11"/>
  <c r="AF26" i="8"/>
  <c r="E189" i="11" s="1"/>
  <c r="E190" i="11" s="1"/>
  <c r="AF25" i="8"/>
  <c r="AM25" i="8"/>
  <c r="AF27" i="8"/>
  <c r="AL25" i="8"/>
  <c r="E147" i="11"/>
  <c r="E148" i="11" s="1"/>
  <c r="AQ25" i="8"/>
  <c r="AM26" i="8"/>
  <c r="F189" i="11"/>
  <c r="F190" i="11" s="1"/>
  <c r="AL26" i="8"/>
  <c r="AQ27" i="8"/>
  <c r="AM27" i="8"/>
  <c r="AL27" i="8"/>
  <c r="F147" i="11"/>
  <c r="F148" i="11" s="1"/>
  <c r="F105" i="11"/>
  <c r="F106" i="11" s="1"/>
  <c r="F124" i="11" s="1"/>
  <c r="F125" i="11" s="1"/>
  <c r="AQ26" i="8"/>
  <c r="G189" i="11"/>
  <c r="G190" i="11" s="1"/>
  <c r="AP26" i="8"/>
  <c r="AJ28" i="8"/>
  <c r="AK28" i="8" s="1"/>
  <c r="AN28" i="8"/>
  <c r="G147" i="11"/>
  <c r="G148" i="11" s="1"/>
  <c r="AP25" i="8"/>
  <c r="G105" i="11"/>
  <c r="G106" i="11" s="1"/>
  <c r="G124" i="11" s="1"/>
  <c r="G125" i="11" s="1"/>
  <c r="AP27" i="8"/>
  <c r="AU25" i="8"/>
  <c r="AD36" i="8" l="1"/>
  <c r="AH26" i="8"/>
  <c r="AI26" i="8"/>
  <c r="AH25" i="8"/>
  <c r="E105" i="11"/>
  <c r="E106" i="11" s="1"/>
  <c r="E124" i="11" s="1"/>
  <c r="AI25" i="8"/>
  <c r="AF28" i="8"/>
  <c r="AF29" i="8" s="1"/>
  <c r="D14" i="21" s="1"/>
  <c r="AI27" i="8"/>
  <c r="AH27" i="8"/>
  <c r="AB38" i="8"/>
  <c r="AD38" i="8" s="1"/>
  <c r="D22" i="11"/>
  <c r="AC36" i="8"/>
  <c r="AE36" i="8"/>
  <c r="H105" i="11"/>
  <c r="H106" i="11" s="1"/>
  <c r="H124" i="11" s="1"/>
  <c r="H125" i="11" s="1"/>
  <c r="AT25" i="8"/>
  <c r="AU26" i="8"/>
  <c r="AT26" i="8"/>
  <c r="H189" i="11"/>
  <c r="H190" i="11" s="1"/>
  <c r="AR28" i="8"/>
  <c r="H147" i="11"/>
  <c r="H148" i="11" s="1"/>
  <c r="AT27" i="8"/>
  <c r="AU27" i="8"/>
  <c r="AM28" i="8"/>
  <c r="AJ29" i="8"/>
  <c r="E14" i="21" s="1"/>
  <c r="AL28" i="8"/>
  <c r="AY27" i="8"/>
  <c r="AX27" i="8"/>
  <c r="I147" i="11"/>
  <c r="I148" i="11" s="1"/>
  <c r="BC27" i="8"/>
  <c r="BB27" i="8"/>
  <c r="AN29" i="8"/>
  <c r="F14" i="21" s="1"/>
  <c r="AP28" i="8"/>
  <c r="AO28" i="8"/>
  <c r="AQ28" i="8"/>
  <c r="AV28" i="8"/>
  <c r="AX25" i="8"/>
  <c r="AY25" i="8"/>
  <c r="I105" i="11"/>
  <c r="I106" i="11" s="1"/>
  <c r="I124" i="11" s="1"/>
  <c r="AX26" i="8"/>
  <c r="AY26" i="8"/>
  <c r="I189" i="11"/>
  <c r="I190" i="11" s="1"/>
  <c r="J147" i="11"/>
  <c r="J148" i="11" s="1"/>
  <c r="E125" i="11" l="1"/>
  <c r="AH28" i="8"/>
  <c r="AU28" i="8"/>
  <c r="AR29" i="8"/>
  <c r="G14" i="21" s="1"/>
  <c r="AG28" i="8"/>
  <c r="AI28" i="8"/>
  <c r="AC38" i="8"/>
  <c r="AB48" i="8"/>
  <c r="AE38" i="8"/>
  <c r="AG29" i="8"/>
  <c r="AH29" i="8"/>
  <c r="AI29" i="8"/>
  <c r="AF36" i="8"/>
  <c r="D15" i="21" s="1"/>
  <c r="AT28" i="8"/>
  <c r="AS28" i="8"/>
  <c r="AO29" i="8"/>
  <c r="AP29" i="8"/>
  <c r="AN36" i="8"/>
  <c r="F15" i="21" s="1"/>
  <c r="AQ29" i="8"/>
  <c r="AM29" i="8"/>
  <c r="AL29" i="8"/>
  <c r="AK29" i="8"/>
  <c r="AJ36" i="8"/>
  <c r="E15" i="21" s="1"/>
  <c r="AX28" i="8"/>
  <c r="AW28" i="8"/>
  <c r="AY28" i="8"/>
  <c r="AV29" i="8"/>
  <c r="H14" i="21" s="1"/>
  <c r="AZ28" i="8"/>
  <c r="J105" i="11"/>
  <c r="J106" i="11" s="1"/>
  <c r="J124" i="11" s="1"/>
  <c r="BC25" i="8"/>
  <c r="BB25" i="8"/>
  <c r="I125" i="11"/>
  <c r="BB26" i="8"/>
  <c r="BC26" i="8"/>
  <c r="J189" i="11"/>
  <c r="J190" i="11" s="1"/>
  <c r="BF27" i="8"/>
  <c r="K147" i="11"/>
  <c r="K148" i="11" s="1"/>
  <c r="BG27" i="8"/>
  <c r="E126" i="11" l="1"/>
  <c r="F126" i="11" s="1"/>
  <c r="G126" i="11" s="1"/>
  <c r="H126" i="11" s="1"/>
  <c r="F22" i="11"/>
  <c r="AU29" i="8"/>
  <c r="G22" i="11"/>
  <c r="G24" i="11" s="1"/>
  <c r="AR36" i="8"/>
  <c r="AT36" i="8" s="1"/>
  <c r="AT29" i="8"/>
  <c r="AS29" i="8"/>
  <c r="AD48" i="8"/>
  <c r="AB50" i="8"/>
  <c r="AC48" i="8"/>
  <c r="AE48" i="8"/>
  <c r="E22" i="11"/>
  <c r="E24" i="11" s="1"/>
  <c r="AG36" i="8"/>
  <c r="AI36" i="8"/>
  <c r="AH36" i="8"/>
  <c r="AF38" i="8"/>
  <c r="J125" i="11"/>
  <c r="AQ36" i="8"/>
  <c r="AP36" i="8"/>
  <c r="AN38" i="8"/>
  <c r="AP38" i="8" s="1"/>
  <c r="AO36" i="8"/>
  <c r="AL36" i="8"/>
  <c r="AK36" i="8"/>
  <c r="AJ38" i="8"/>
  <c r="AM36" i="8"/>
  <c r="AV36" i="8"/>
  <c r="H15" i="21" s="1"/>
  <c r="AW29" i="8"/>
  <c r="AY29" i="8"/>
  <c r="AX29" i="8"/>
  <c r="BB28" i="8"/>
  <c r="BC28" i="8"/>
  <c r="AZ29" i="8"/>
  <c r="I14" i="21" s="1"/>
  <c r="BA28" i="8"/>
  <c r="K105" i="11"/>
  <c r="K106" i="11" s="1"/>
  <c r="K124" i="11" s="1"/>
  <c r="BF25" i="8"/>
  <c r="BG25" i="8"/>
  <c r="BD28" i="8"/>
  <c r="I126" i="11"/>
  <c r="BG26" i="8"/>
  <c r="BF26" i="8"/>
  <c r="K189" i="11"/>
  <c r="K190" i="11" s="1"/>
  <c r="BJ27" i="8"/>
  <c r="BK27" i="8"/>
  <c r="L147" i="11"/>
  <c r="L148" i="11" s="1"/>
  <c r="AD50" i="8" l="1"/>
  <c r="C62" i="8"/>
  <c r="C66" i="8" s="1"/>
  <c r="AS36" i="8"/>
  <c r="G15" i="21"/>
  <c r="AR38" i="8"/>
  <c r="H22" i="11"/>
  <c r="H24" i="11" s="1"/>
  <c r="I22" i="11"/>
  <c r="AU36" i="8"/>
  <c r="AC50" i="8"/>
  <c r="AE50" i="8"/>
  <c r="D23" i="11"/>
  <c r="D41" i="11" s="1"/>
  <c r="D42" i="11" s="1"/>
  <c r="AI38" i="8"/>
  <c r="AG38" i="8"/>
  <c r="AH38" i="8"/>
  <c r="AF48" i="8"/>
  <c r="AH48" i="8" s="1"/>
  <c r="F24" i="11"/>
  <c r="J126" i="11"/>
  <c r="AN48" i="8"/>
  <c r="AO38" i="8"/>
  <c r="AQ38" i="8"/>
  <c r="AM38" i="8"/>
  <c r="AK38" i="8"/>
  <c r="AL38" i="8"/>
  <c r="AJ48" i="8"/>
  <c r="AV38" i="8"/>
  <c r="AX36" i="8"/>
  <c r="AY36" i="8"/>
  <c r="AW36" i="8"/>
  <c r="BC29" i="8"/>
  <c r="AZ36" i="8"/>
  <c r="I15" i="21" s="1"/>
  <c r="BA29" i="8"/>
  <c r="BB29" i="8"/>
  <c r="K125" i="11"/>
  <c r="BF28" i="8"/>
  <c r="BG28" i="8"/>
  <c r="BD29" i="8"/>
  <c r="J14" i="21" s="1"/>
  <c r="BE28" i="8"/>
  <c r="BJ25" i="8"/>
  <c r="L105" i="11"/>
  <c r="L106" i="11" s="1"/>
  <c r="L124" i="11" s="1"/>
  <c r="BH28" i="8"/>
  <c r="BK25" i="8"/>
  <c r="BK26" i="8"/>
  <c r="BJ26" i="8"/>
  <c r="L189" i="11"/>
  <c r="L190" i="11" s="1"/>
  <c r="BN27" i="8"/>
  <c r="M147" i="11"/>
  <c r="M148" i="11" s="1"/>
  <c r="BO27" i="8"/>
  <c r="AU38" i="8" l="1"/>
  <c r="AT38" i="8"/>
  <c r="AS38" i="8"/>
  <c r="I24" i="11"/>
  <c r="AR48" i="8"/>
  <c r="AS48" i="8" s="1"/>
  <c r="J22" i="11"/>
  <c r="J24" i="11" s="1"/>
  <c r="AF50" i="8"/>
  <c r="AI48" i="8"/>
  <c r="AG48" i="8"/>
  <c r="AP48" i="8"/>
  <c r="AQ48" i="8"/>
  <c r="AO48" i="8"/>
  <c r="AN50" i="8"/>
  <c r="AM48" i="8"/>
  <c r="AK48" i="8"/>
  <c r="AL48" i="8"/>
  <c r="AJ50" i="8"/>
  <c r="AW38" i="8"/>
  <c r="AX38" i="8"/>
  <c r="AY38" i="8"/>
  <c r="AV48" i="8"/>
  <c r="AZ38" i="8"/>
  <c r="BB36" i="8"/>
  <c r="BC36" i="8"/>
  <c r="BA36" i="8"/>
  <c r="K126" i="11"/>
  <c r="BF29" i="8"/>
  <c r="BD36" i="8"/>
  <c r="J15" i="21" s="1"/>
  <c r="BE29" i="8"/>
  <c r="BG29" i="8"/>
  <c r="BL28" i="8"/>
  <c r="M105" i="11"/>
  <c r="M106" i="11" s="1"/>
  <c r="M124" i="11" s="1"/>
  <c r="BN25" i="8"/>
  <c r="BO25" i="8"/>
  <c r="BI28" i="8"/>
  <c r="BK28" i="8"/>
  <c r="BH29" i="8"/>
  <c r="K14" i="21" s="1"/>
  <c r="BJ28" i="8"/>
  <c r="BN26" i="8"/>
  <c r="M189" i="11"/>
  <c r="M190" i="11" s="1"/>
  <c r="BO26" i="8"/>
  <c r="N147" i="11"/>
  <c r="N148" i="11" s="1"/>
  <c r="L125" i="11"/>
  <c r="M125" i="11" l="1"/>
  <c r="AG50" i="8"/>
  <c r="D62" i="8"/>
  <c r="D66" i="8" s="1"/>
  <c r="G23" i="11"/>
  <c r="F62" i="8"/>
  <c r="F66" i="8" s="1"/>
  <c r="F23" i="11"/>
  <c r="E62" i="8"/>
  <c r="E66" i="8" s="1"/>
  <c r="AT48" i="8"/>
  <c r="AR50" i="8"/>
  <c r="AU48" i="8"/>
  <c r="E23" i="11"/>
  <c r="AI50" i="8"/>
  <c r="K22" i="11"/>
  <c r="K24" i="11" s="1"/>
  <c r="AH50" i="8"/>
  <c r="AQ50" i="8"/>
  <c r="AP50" i="8"/>
  <c r="AO50" i="8"/>
  <c r="AK50" i="8"/>
  <c r="AL50" i="8"/>
  <c r="AM50" i="8"/>
  <c r="L126" i="11"/>
  <c r="AX48" i="8"/>
  <c r="AW48" i="8"/>
  <c r="AY48" i="8"/>
  <c r="AV50" i="8"/>
  <c r="H62" i="8" s="1"/>
  <c r="H66" i="8" s="1"/>
  <c r="BA38" i="8"/>
  <c r="AZ48" i="8"/>
  <c r="BB38" i="8"/>
  <c r="BC38" i="8"/>
  <c r="BF36" i="8"/>
  <c r="BE36" i="8"/>
  <c r="BG36" i="8"/>
  <c r="BD38" i="8"/>
  <c r="BN28" i="8"/>
  <c r="BM28" i="8"/>
  <c r="BO28" i="8"/>
  <c r="BL29" i="8"/>
  <c r="L14" i="21" s="1"/>
  <c r="BP28" i="8"/>
  <c r="N105" i="11"/>
  <c r="N106" i="11" s="1"/>
  <c r="N124" i="11" s="1"/>
  <c r="Q100" i="11" s="1"/>
  <c r="BK29" i="8"/>
  <c r="BH36" i="8"/>
  <c r="K15" i="21" s="1"/>
  <c r="BJ29" i="8"/>
  <c r="BI29" i="8"/>
  <c r="N189" i="11"/>
  <c r="N190" i="11" s="1"/>
  <c r="M126" i="11" l="1"/>
  <c r="Q99" i="11"/>
  <c r="Q97" i="11"/>
  <c r="Q98" i="11" s="1"/>
  <c r="AT50" i="8"/>
  <c r="AS50" i="8"/>
  <c r="AU50" i="8"/>
  <c r="G62" i="8"/>
  <c r="G66" i="8" s="1"/>
  <c r="H23" i="11"/>
  <c r="L22" i="11"/>
  <c r="L24" i="11" s="1"/>
  <c r="BS28" i="8"/>
  <c r="BR28" i="8"/>
  <c r="AX50" i="8"/>
  <c r="I23" i="11"/>
  <c r="AY50" i="8"/>
  <c r="AW50" i="8"/>
  <c r="AZ50" i="8"/>
  <c r="I62" i="8" s="1"/>
  <c r="I66" i="8" s="1"/>
  <c r="BB48" i="8"/>
  <c r="BA48" i="8"/>
  <c r="BC48" i="8"/>
  <c r="BG38" i="8"/>
  <c r="BD48" i="8"/>
  <c r="BE38" i="8"/>
  <c r="BF38" i="8"/>
  <c r="BL36" i="8"/>
  <c r="L15" i="21" s="1"/>
  <c r="BO29" i="8"/>
  <c r="BM29" i="8"/>
  <c r="BN29" i="8"/>
  <c r="BP29" i="8"/>
  <c r="M14" i="21" s="1"/>
  <c r="BQ28" i="8"/>
  <c r="N125" i="11"/>
  <c r="BH38" i="8"/>
  <c r="BI36" i="8"/>
  <c r="BJ36" i="8"/>
  <c r="BK36" i="8"/>
  <c r="M22" i="11" l="1"/>
  <c r="M24" i="11" s="1"/>
  <c r="BS29" i="8"/>
  <c r="BR29" i="8"/>
  <c r="BB50" i="8"/>
  <c r="BA50" i="8"/>
  <c r="J23" i="11"/>
  <c r="BC50" i="8"/>
  <c r="BF48" i="8"/>
  <c r="BE48" i="8"/>
  <c r="BD50" i="8"/>
  <c r="J62" i="8" s="1"/>
  <c r="J66" i="8" s="1"/>
  <c r="BG48" i="8"/>
  <c r="BM36" i="8"/>
  <c r="BN36" i="8"/>
  <c r="BO36" i="8"/>
  <c r="BL38" i="8"/>
  <c r="BP36" i="8"/>
  <c r="M15" i="21" s="1"/>
  <c r="BQ29" i="8"/>
  <c r="N126" i="11"/>
  <c r="R97" i="11" s="1"/>
  <c r="BJ38" i="8"/>
  <c r="BH48" i="8"/>
  <c r="BI38" i="8"/>
  <c r="BK38" i="8"/>
  <c r="N22" i="11" l="1"/>
  <c r="N24" i="11" s="1"/>
  <c r="BS36" i="8"/>
  <c r="BR36" i="8"/>
  <c r="BF50" i="8"/>
  <c r="K23" i="11"/>
  <c r="BG50" i="8"/>
  <c r="BE50" i="8"/>
  <c r="BM38" i="8"/>
  <c r="BN38" i="8"/>
  <c r="BO38" i="8"/>
  <c r="BL48" i="8"/>
  <c r="BQ36" i="8"/>
  <c r="BP38" i="8"/>
  <c r="BJ48" i="8"/>
  <c r="BI48" i="8"/>
  <c r="BH50" i="8"/>
  <c r="K62" i="8" s="1"/>
  <c r="K66" i="8" s="1"/>
  <c r="BK48" i="8"/>
  <c r="BR38" i="8" l="1"/>
  <c r="BS38" i="8"/>
  <c r="BL50" i="8"/>
  <c r="L62" i="8" s="1"/>
  <c r="L66" i="8" s="1"/>
  <c r="BN48" i="8"/>
  <c r="BM48" i="8"/>
  <c r="BO48" i="8"/>
  <c r="BP48" i="8"/>
  <c r="BQ38" i="8"/>
  <c r="BI50" i="8"/>
  <c r="BJ50" i="8"/>
  <c r="L23" i="11"/>
  <c r="BK50" i="8"/>
  <c r="BR48" i="8" l="1"/>
  <c r="BS48" i="8"/>
  <c r="BM50" i="8"/>
  <c r="M23" i="11"/>
  <c r="BO50" i="8"/>
  <c r="BN50" i="8"/>
  <c r="BP50" i="8"/>
  <c r="M62" i="8" s="1"/>
  <c r="M63" i="8" s="1"/>
  <c r="M64" i="8" s="1"/>
  <c r="M66" i="8" s="1"/>
  <c r="BQ48" i="8"/>
  <c r="B71" i="8" l="1"/>
  <c r="B68" i="8"/>
  <c r="B70" i="8"/>
  <c r="B69" i="8"/>
  <c r="B72" i="8"/>
  <c r="BS50" i="8"/>
  <c r="BR50" i="8"/>
  <c r="N23" i="11"/>
  <c r="BQ50" i="8"/>
  <c r="AL30" i="1" l="1"/>
  <c r="AL31" i="1" l="1"/>
  <c r="AJ35" i="1"/>
  <c r="R53" i="21" l="1"/>
  <c r="R33" i="21"/>
  <c r="AM35" i="1"/>
  <c r="E32" i="21"/>
  <c r="E52" i="21"/>
  <c r="AL35" i="1"/>
  <c r="AR35" i="1" l="1"/>
  <c r="T53" i="21" l="1"/>
  <c r="T33" i="21"/>
  <c r="G52" i="21"/>
  <c r="G32" i="21"/>
  <c r="AV35" i="1"/>
  <c r="AU35" i="1"/>
  <c r="AT35" i="1"/>
  <c r="U53" i="21" l="1"/>
  <c r="U33" i="21"/>
  <c r="H32" i="21"/>
  <c r="H52" i="21"/>
  <c r="AX35" i="1"/>
  <c r="AY35" i="1"/>
  <c r="AZ35" i="1"/>
  <c r="V53" i="21" l="1"/>
  <c r="V33" i="21"/>
  <c r="I52" i="21"/>
  <c r="I32" i="21"/>
  <c r="BC35" i="1"/>
  <c r="BB35" i="1"/>
  <c r="BD35" i="1"/>
  <c r="W53" i="21" l="1"/>
  <c r="W33" i="21"/>
  <c r="J52" i="21"/>
  <c r="J32" i="21"/>
  <c r="BF35" i="1"/>
  <c r="BG35" i="1"/>
  <c r="BK35" i="1" l="1"/>
  <c r="BJ35" i="1"/>
  <c r="BO35" i="1" l="1"/>
  <c r="BN35" i="1"/>
  <c r="BP35" i="1"/>
  <c r="Z53" i="21" l="1"/>
  <c r="Z33" i="21"/>
  <c r="M32" i="21"/>
  <c r="M52" i="21"/>
  <c r="BS35" i="1"/>
  <c r="BR35" i="1"/>
  <c r="AN31" i="1" l="1"/>
  <c r="AN30" i="1"/>
  <c r="AP30" i="1" s="1"/>
  <c r="AN33" i="1"/>
  <c r="AN34" i="1"/>
  <c r="AP34" i="1" l="1"/>
  <c r="AP33" i="1"/>
  <c r="AP31" i="1"/>
  <c r="AN35" i="1"/>
  <c r="S53" i="21" l="1"/>
  <c r="S33" i="21"/>
  <c r="F52" i="21"/>
  <c r="F32" i="21"/>
  <c r="AP35" i="1"/>
  <c r="AQ35" i="1"/>
  <c r="E179" i="11" l="1"/>
  <c r="AF25" i="1"/>
  <c r="AI25" i="1" s="1"/>
  <c r="AI19" i="1"/>
  <c r="AI20" i="1"/>
  <c r="E137" i="11"/>
  <c r="AF26" i="1"/>
  <c r="E138" i="11" s="1"/>
  <c r="AF21" i="1"/>
  <c r="AF53" i="1" l="1"/>
  <c r="AF38" i="1"/>
  <c r="E139" i="11"/>
  <c r="AH25" i="1"/>
  <c r="E12" i="11"/>
  <c r="AG20" i="1"/>
  <c r="AG19" i="1"/>
  <c r="E180" i="11"/>
  <c r="E181" i="11" s="1"/>
  <c r="E208" i="11" s="1"/>
  <c r="AG46" i="1"/>
  <c r="AG31" i="1"/>
  <c r="AF27" i="1"/>
  <c r="AI26" i="1"/>
  <c r="AG35" i="1"/>
  <c r="AH21" i="1"/>
  <c r="AI21" i="1"/>
  <c r="AG30" i="1"/>
  <c r="AG33" i="1"/>
  <c r="AH26" i="1"/>
  <c r="AG34" i="1"/>
  <c r="AG18" i="1"/>
  <c r="AG17" i="1"/>
  <c r="AG51" i="1"/>
  <c r="AG45" i="1"/>
  <c r="AG21" i="1" l="1"/>
  <c r="I31" i="21"/>
  <c r="M51" i="21"/>
  <c r="W32" i="21"/>
  <c r="K51" i="21"/>
  <c r="H31" i="21"/>
  <c r="T52" i="21"/>
  <c r="V32" i="21"/>
  <c r="H51" i="21"/>
  <c r="F51" i="21"/>
  <c r="E31" i="21"/>
  <c r="I51" i="21"/>
  <c r="T32" i="21"/>
  <c r="L51" i="21"/>
  <c r="AI38" i="1"/>
  <c r="AH38" i="1"/>
  <c r="AG53" i="1"/>
  <c r="AI53" i="1"/>
  <c r="AH53" i="1"/>
  <c r="AH27" i="1"/>
  <c r="AG27" i="1"/>
  <c r="AI27" i="1"/>
  <c r="AF28" i="1"/>
  <c r="L53" i="21" l="1"/>
  <c r="E33" i="21"/>
  <c r="E34" i="21" s="1"/>
  <c r="E35" i="21" s="1"/>
  <c r="E38" i="21" s="1"/>
  <c r="E40" i="21" s="1"/>
  <c r="E41" i="21" s="1"/>
  <c r="J31" i="21"/>
  <c r="X34" i="21"/>
  <c r="X35" i="21" s="1"/>
  <c r="X36" i="21" s="1"/>
  <c r="X39" i="21" s="1"/>
  <c r="X41" i="21" s="1"/>
  <c r="X42" i="21" s="1"/>
  <c r="I33" i="21"/>
  <c r="I34" i="21" s="1"/>
  <c r="I35" i="21" s="1"/>
  <c r="I38" i="21" s="1"/>
  <c r="I40" i="21" s="1"/>
  <c r="I41" i="21" s="1"/>
  <c r="M31" i="21"/>
  <c r="L31" i="21"/>
  <c r="R52" i="21"/>
  <c r="T34" i="21"/>
  <c r="T35" i="21" s="1"/>
  <c r="T36" i="21" s="1"/>
  <c r="T39" i="21" s="1"/>
  <c r="T41" i="21" s="1"/>
  <c r="T42" i="21" s="1"/>
  <c r="G31" i="21"/>
  <c r="S52" i="21"/>
  <c r="H33" i="21"/>
  <c r="H34" i="21" s="1"/>
  <c r="H35" i="21" s="1"/>
  <c r="H38" i="21" s="1"/>
  <c r="H40" i="21" s="1"/>
  <c r="H41" i="21" s="1"/>
  <c r="F53" i="21"/>
  <c r="D31" i="21"/>
  <c r="V52" i="21"/>
  <c r="F31" i="21"/>
  <c r="U32" i="21"/>
  <c r="AJ53" i="1"/>
  <c r="AM53" i="1" s="1"/>
  <c r="E51" i="21"/>
  <c r="H53" i="21"/>
  <c r="U52" i="21"/>
  <c r="Z32" i="21"/>
  <c r="Q52" i="21"/>
  <c r="Y32" i="21"/>
  <c r="K31" i="21"/>
  <c r="T54" i="21"/>
  <c r="J53" i="21"/>
  <c r="I53" i="21"/>
  <c r="R32" i="21"/>
  <c r="W34" i="21"/>
  <c r="W35" i="21" s="1"/>
  <c r="W36" i="21" s="1"/>
  <c r="W39" i="21" s="1"/>
  <c r="Z52" i="21"/>
  <c r="Q32" i="21"/>
  <c r="D51" i="21"/>
  <c r="M53" i="21"/>
  <c r="V34" i="21"/>
  <c r="V35" i="21" s="1"/>
  <c r="V36" i="21" s="1"/>
  <c r="V39" i="21" s="1"/>
  <c r="V41" i="21" s="1"/>
  <c r="V42" i="21" s="1"/>
  <c r="G51" i="21"/>
  <c r="X52" i="21"/>
  <c r="S32" i="21"/>
  <c r="K53" i="21"/>
  <c r="W52" i="21"/>
  <c r="Y52" i="21"/>
  <c r="D21" i="21"/>
  <c r="AH28" i="1"/>
  <c r="AG28" i="1"/>
  <c r="AF36" i="1"/>
  <c r="AF39" i="1" s="1"/>
  <c r="AI28" i="1"/>
  <c r="W41" i="21" l="1"/>
  <c r="W42" i="21" s="1"/>
  <c r="D33" i="21"/>
  <c r="D34" i="21"/>
  <c r="D35" i="21" s="1"/>
  <c r="D38" i="21" s="1"/>
  <c r="D40" i="21" s="1"/>
  <c r="Q54" i="21"/>
  <c r="Q55" i="21"/>
  <c r="Q56" i="21" s="1"/>
  <c r="Q59" i="21" s="1"/>
  <c r="Q61" i="21" s="1"/>
  <c r="T55" i="21"/>
  <c r="T56" i="21" s="1"/>
  <c r="T59" i="21" s="1"/>
  <c r="T61" i="21" s="1"/>
  <c r="T62" i="21" s="1"/>
  <c r="Q34" i="21"/>
  <c r="Q35" i="21" s="1"/>
  <c r="Q36" i="21" s="1"/>
  <c r="Q39" i="21" s="1"/>
  <c r="Q41" i="21" s="1"/>
  <c r="Q42" i="21" s="1"/>
  <c r="L54" i="21"/>
  <c r="L55" i="21" s="1"/>
  <c r="L58" i="21" s="1"/>
  <c r="L60" i="21" s="1"/>
  <c r="L61" i="21" s="1"/>
  <c r="F54" i="21"/>
  <c r="F55" i="21" s="1"/>
  <c r="F58" i="21" s="1"/>
  <c r="F60" i="21" s="1"/>
  <c r="F61" i="21" s="1"/>
  <c r="H54" i="21"/>
  <c r="H55" i="21" s="1"/>
  <c r="H58" i="21" s="1"/>
  <c r="H60" i="21" s="1"/>
  <c r="H61" i="21" s="1"/>
  <c r="J54" i="21"/>
  <c r="J55" i="21" s="1"/>
  <c r="J58" i="21" s="1"/>
  <c r="J60" i="21" s="1"/>
  <c r="J61" i="21" s="1"/>
  <c r="I54" i="21"/>
  <c r="I55" i="21" s="1"/>
  <c r="I58" i="21" s="1"/>
  <c r="I60" i="21" s="1"/>
  <c r="I61" i="21" s="1"/>
  <c r="D53" i="21"/>
  <c r="M54" i="21"/>
  <c r="M55" i="21" s="1"/>
  <c r="M58" i="21" s="1"/>
  <c r="M60" i="21" s="1"/>
  <c r="M61" i="21" s="1"/>
  <c r="K54" i="21"/>
  <c r="K55" i="21" s="1"/>
  <c r="K58" i="21" s="1"/>
  <c r="K60" i="21" s="1"/>
  <c r="K61" i="21" s="1"/>
  <c r="U34" i="21"/>
  <c r="U35" i="21" s="1"/>
  <c r="U36" i="21" s="1"/>
  <c r="U39" i="21" s="1"/>
  <c r="U41" i="21" s="1"/>
  <c r="U42" i="21" s="1"/>
  <c r="F33" i="21"/>
  <c r="F34" i="21" s="1"/>
  <c r="F35" i="21" s="1"/>
  <c r="F38" i="21" s="1"/>
  <c r="F40" i="21" s="1"/>
  <c r="F41" i="21" s="1"/>
  <c r="V54" i="21"/>
  <c r="L33" i="21"/>
  <c r="L34" i="21" s="1"/>
  <c r="L35" i="21" s="1"/>
  <c r="L38" i="21" s="1"/>
  <c r="L40" i="21" s="1"/>
  <c r="L41" i="21" s="1"/>
  <c r="X54" i="21"/>
  <c r="AK48" i="1"/>
  <c r="AK45" i="1"/>
  <c r="AK35" i="1"/>
  <c r="AK31" i="1"/>
  <c r="AK30" i="1"/>
  <c r="AK33" i="1"/>
  <c r="AK34" i="1"/>
  <c r="AK46" i="1"/>
  <c r="F12" i="11"/>
  <c r="AJ38" i="1"/>
  <c r="AK51" i="1"/>
  <c r="J33" i="21"/>
  <c r="J34" i="21" s="1"/>
  <c r="J35" i="21" s="1"/>
  <c r="J38" i="21" s="1"/>
  <c r="J40" i="21" s="1"/>
  <c r="J41" i="21" s="1"/>
  <c r="S34" i="21"/>
  <c r="S35" i="21" s="1"/>
  <c r="S36" i="21" s="1"/>
  <c r="S39" i="21" s="1"/>
  <c r="S41" i="21" s="1"/>
  <c r="S42" i="21" s="1"/>
  <c r="Z34" i="21"/>
  <c r="E53" i="21"/>
  <c r="R54" i="21"/>
  <c r="R55" i="21" s="1"/>
  <c r="R56" i="21" s="1"/>
  <c r="R59" i="21" s="1"/>
  <c r="R61" i="21" s="1"/>
  <c r="R62" i="21" s="1"/>
  <c r="AL53" i="1"/>
  <c r="AK53" i="1"/>
  <c r="Y54" i="21"/>
  <c r="R34" i="21"/>
  <c r="R35" i="21" s="1"/>
  <c r="R36" i="21" s="1"/>
  <c r="R39" i="21" s="1"/>
  <c r="R41" i="21" s="1"/>
  <c r="K33" i="21"/>
  <c r="K34" i="21" s="1"/>
  <c r="K35" i="21" s="1"/>
  <c r="K38" i="21" s="1"/>
  <c r="K40" i="21" s="1"/>
  <c r="K41" i="21" s="1"/>
  <c r="M33" i="21"/>
  <c r="M34" i="21" s="1"/>
  <c r="M35" i="21" s="1"/>
  <c r="M38" i="21" s="1"/>
  <c r="M40" i="21" s="1"/>
  <c r="M41" i="21" s="1"/>
  <c r="Z54" i="21"/>
  <c r="F179" i="11"/>
  <c r="S54" i="21"/>
  <c r="W54" i="21"/>
  <c r="G53" i="21"/>
  <c r="Y34" i="21"/>
  <c r="Y35" i="21" s="1"/>
  <c r="Y36" i="21" s="1"/>
  <c r="Y39" i="21" s="1"/>
  <c r="Y41" i="21" s="1"/>
  <c r="Y42" i="21" s="1"/>
  <c r="U54" i="21"/>
  <c r="G33" i="21"/>
  <c r="G34" i="21" s="1"/>
  <c r="G35" i="21" s="1"/>
  <c r="G38" i="21" s="1"/>
  <c r="G40" i="21" s="1"/>
  <c r="G41" i="21" s="1"/>
  <c r="D22" i="21"/>
  <c r="AG36" i="1"/>
  <c r="AH36" i="1"/>
  <c r="E13" i="11"/>
  <c r="AI36" i="1"/>
  <c r="Q68" i="21"/>
  <c r="Q69" i="21"/>
  <c r="D69" i="21"/>
  <c r="D68" i="21"/>
  <c r="R42" i="21" l="1"/>
  <c r="D41" i="21"/>
  <c r="F75" i="21" s="1"/>
  <c r="F74" i="21"/>
  <c r="Q62" i="21"/>
  <c r="D54" i="21"/>
  <c r="D55" i="21" s="1"/>
  <c r="D58" i="21" s="1"/>
  <c r="D60" i="21" s="1"/>
  <c r="V55" i="21"/>
  <c r="V56" i="21" s="1"/>
  <c r="V59" i="21" s="1"/>
  <c r="V61" i="21" s="1"/>
  <c r="V62" i="21" s="1"/>
  <c r="X55" i="21"/>
  <c r="X56" i="21" s="1"/>
  <c r="X59" i="21" s="1"/>
  <c r="X61" i="21" s="1"/>
  <c r="X62" i="21" s="1"/>
  <c r="Z35" i="21"/>
  <c r="Z36" i="21" s="1"/>
  <c r="Z39" i="21" s="1"/>
  <c r="Z41" i="21" s="1"/>
  <c r="Y55" i="21"/>
  <c r="Y56" i="21" s="1"/>
  <c r="Y59" i="21" s="1"/>
  <c r="Y61" i="21" s="1"/>
  <c r="Y62" i="21" s="1"/>
  <c r="Z55" i="21"/>
  <c r="Z56" i="21" s="1"/>
  <c r="Z59" i="21" s="1"/>
  <c r="Z61" i="21" s="1"/>
  <c r="Z62" i="21" s="1"/>
  <c r="S55" i="21"/>
  <c r="S56" i="21" s="1"/>
  <c r="S59" i="21" s="1"/>
  <c r="S61" i="21" s="1"/>
  <c r="S62" i="21" s="1"/>
  <c r="W55" i="21"/>
  <c r="W56" i="21" s="1"/>
  <c r="W59" i="21" s="1"/>
  <c r="U55" i="21"/>
  <c r="U56" i="21"/>
  <c r="U59" i="21" s="1"/>
  <c r="U61" i="21" s="1"/>
  <c r="E54" i="21"/>
  <c r="E55" i="21" s="1"/>
  <c r="E58" i="21" s="1"/>
  <c r="E60" i="21" s="1"/>
  <c r="E61" i="21" s="1"/>
  <c r="G54" i="21"/>
  <c r="G55" i="21" s="1"/>
  <c r="G58" i="21" s="1"/>
  <c r="G60" i="21" s="1"/>
  <c r="G61" i="21" s="1"/>
  <c r="H137" i="11"/>
  <c r="AR26" i="1"/>
  <c r="H12" i="11"/>
  <c r="AS46" i="1"/>
  <c r="AS35" i="1"/>
  <c r="AS30" i="1"/>
  <c r="AS18" i="1"/>
  <c r="AS51" i="1"/>
  <c r="AR38" i="1"/>
  <c r="AS34" i="1"/>
  <c r="AS48" i="1"/>
  <c r="AS31" i="1"/>
  <c r="AS17" i="1"/>
  <c r="AS33" i="1"/>
  <c r="AS45" i="1"/>
  <c r="F137" i="11"/>
  <c r="AJ27" i="1"/>
  <c r="AL38" i="1"/>
  <c r="AM38" i="1"/>
  <c r="AL25" i="1"/>
  <c r="AM25" i="1"/>
  <c r="F180" i="11"/>
  <c r="F181" i="11" s="1"/>
  <c r="F208" i="11" s="1"/>
  <c r="AO48" i="1"/>
  <c r="AO45" i="1"/>
  <c r="AO35" i="1"/>
  <c r="AO33" i="1"/>
  <c r="AO34" i="1"/>
  <c r="AO30" i="1"/>
  <c r="AO18" i="1"/>
  <c r="AO46" i="1"/>
  <c r="AO17" i="1"/>
  <c r="AO31" i="1"/>
  <c r="AN38" i="1"/>
  <c r="G12" i="11"/>
  <c r="AO51" i="1"/>
  <c r="AN53" i="1"/>
  <c r="AH39" i="1"/>
  <c r="AI39" i="1"/>
  <c r="AF40" i="1"/>
  <c r="E15" i="11"/>
  <c r="D70" i="21"/>
  <c r="D71" i="21"/>
  <c r="Q71" i="21"/>
  <c r="Q70" i="21"/>
  <c r="W61" i="21" l="1"/>
  <c r="S78" i="21" s="1"/>
  <c r="D61" i="21"/>
  <c r="F79" i="21" s="1"/>
  <c r="F78" i="21"/>
  <c r="Z42" i="21"/>
  <c r="S75" i="21" s="1"/>
  <c r="S74" i="21"/>
  <c r="U62" i="21"/>
  <c r="AS21" i="1"/>
  <c r="AO21" i="1"/>
  <c r="G137" i="11"/>
  <c r="AN26" i="1"/>
  <c r="H138" i="11"/>
  <c r="H139" i="11" s="1"/>
  <c r="H166" i="11" s="1"/>
  <c r="H167" i="11" s="1"/>
  <c r="AU26" i="1"/>
  <c r="AT26" i="1"/>
  <c r="AK27" i="1"/>
  <c r="AL27" i="1"/>
  <c r="AM27" i="1"/>
  <c r="AJ28" i="1"/>
  <c r="H179" i="11"/>
  <c r="AR25" i="1"/>
  <c r="AU38" i="1"/>
  <c r="AT38" i="1"/>
  <c r="I179" i="11"/>
  <c r="AV25" i="1"/>
  <c r="AV38" i="1"/>
  <c r="AW35" i="1"/>
  <c r="AW31" i="1"/>
  <c r="AW34" i="1"/>
  <c r="AW45" i="1"/>
  <c r="AW51" i="1"/>
  <c r="I12" i="11"/>
  <c r="AW18" i="1"/>
  <c r="AW30" i="1"/>
  <c r="AW48" i="1"/>
  <c r="AW46" i="1"/>
  <c r="AW33" i="1"/>
  <c r="AW17" i="1"/>
  <c r="G179" i="11"/>
  <c r="AN25" i="1"/>
  <c r="AL26" i="1"/>
  <c r="AM26" i="1"/>
  <c r="F138" i="11"/>
  <c r="F139" i="11" s="1"/>
  <c r="F166" i="11" s="1"/>
  <c r="AP38" i="1"/>
  <c r="AQ38" i="1"/>
  <c r="F209" i="11"/>
  <c r="AQ53" i="1"/>
  <c r="AO53" i="1"/>
  <c r="AR53" i="1" s="1"/>
  <c r="AP53" i="1"/>
  <c r="AG40" i="1"/>
  <c r="AI40" i="1"/>
  <c r="AH40" i="1"/>
  <c r="AF41" i="1"/>
  <c r="W62" i="21" l="1"/>
  <c r="S79" i="21" s="1"/>
  <c r="F210" i="11"/>
  <c r="AW21" i="1"/>
  <c r="AT53" i="1"/>
  <c r="AU53" i="1"/>
  <c r="AS53" i="1"/>
  <c r="AV53" i="1" s="1"/>
  <c r="F167" i="11"/>
  <c r="AV26" i="1"/>
  <c r="AV27" i="1" s="1"/>
  <c r="I137" i="11"/>
  <c r="AK28" i="1"/>
  <c r="AM28" i="1"/>
  <c r="E21" i="21"/>
  <c r="AL28" i="1"/>
  <c r="AJ36" i="1"/>
  <c r="AQ26" i="1"/>
  <c r="G138" i="11"/>
  <c r="G139" i="11" s="1"/>
  <c r="G166" i="11" s="1"/>
  <c r="AP26" i="1"/>
  <c r="H180" i="11"/>
  <c r="H181" i="11" s="1"/>
  <c r="H208" i="11" s="1"/>
  <c r="H209" i="11" s="1"/>
  <c r="AT25" i="1"/>
  <c r="AU25" i="1"/>
  <c r="J179" i="11"/>
  <c r="AZ25" i="1"/>
  <c r="AQ25" i="1"/>
  <c r="G180" i="11"/>
  <c r="G181" i="11" s="1"/>
  <c r="G208" i="11" s="1"/>
  <c r="AN27" i="1"/>
  <c r="AP25" i="1"/>
  <c r="AX25" i="1"/>
  <c r="AY25" i="1"/>
  <c r="I180" i="11"/>
  <c r="I181" i="11" s="1"/>
  <c r="I208" i="11" s="1"/>
  <c r="I209" i="11" s="1"/>
  <c r="J12" i="11"/>
  <c r="BA48" i="1"/>
  <c r="BA34" i="1"/>
  <c r="BA18" i="1"/>
  <c r="BA30" i="1"/>
  <c r="BA45" i="1"/>
  <c r="BA17" i="1"/>
  <c r="BA31" i="1"/>
  <c r="BA46" i="1"/>
  <c r="BA51" i="1"/>
  <c r="BA35" i="1"/>
  <c r="AZ38" i="1"/>
  <c r="BA33" i="1"/>
  <c r="AX38" i="1"/>
  <c r="AY38" i="1"/>
  <c r="AR27" i="1"/>
  <c r="AH41" i="1"/>
  <c r="AG41" i="1"/>
  <c r="AI41" i="1"/>
  <c r="F168" i="11" l="1"/>
  <c r="G167" i="11"/>
  <c r="G168" i="11" s="1"/>
  <c r="H168" i="11" s="1"/>
  <c r="BA21" i="1"/>
  <c r="AS27" i="1"/>
  <c r="AT27" i="1"/>
  <c r="AU27" i="1"/>
  <c r="AR28" i="1"/>
  <c r="AX27" i="1"/>
  <c r="AY27" i="1"/>
  <c r="AW27" i="1"/>
  <c r="AV28" i="1"/>
  <c r="J180" i="11"/>
  <c r="J181" i="11" s="1"/>
  <c r="J208" i="11" s="1"/>
  <c r="BB25" i="1"/>
  <c r="BC25" i="1"/>
  <c r="E68" i="21"/>
  <c r="E69" i="21"/>
  <c r="R68" i="21"/>
  <c r="R69" i="21"/>
  <c r="AX53" i="1"/>
  <c r="AY53" i="1"/>
  <c r="AW53" i="1"/>
  <c r="AZ53" i="1" s="1"/>
  <c r="AY26" i="1"/>
  <c r="I138" i="11"/>
  <c r="I139" i="11" s="1"/>
  <c r="I166" i="11" s="1"/>
  <c r="AX26" i="1"/>
  <c r="G209" i="11"/>
  <c r="AM36" i="1"/>
  <c r="AK36" i="1"/>
  <c r="F13" i="11"/>
  <c r="F15" i="11" s="1"/>
  <c r="AJ39" i="1"/>
  <c r="E22" i="21"/>
  <c r="AL36" i="1"/>
  <c r="AP27" i="1"/>
  <c r="AQ27" i="1"/>
  <c r="AO27" i="1"/>
  <c r="AN28" i="1"/>
  <c r="BD25" i="1"/>
  <c r="K179" i="11"/>
  <c r="AZ26" i="1"/>
  <c r="AZ27" i="1" s="1"/>
  <c r="J137" i="11"/>
  <c r="BE33" i="1"/>
  <c r="BE46" i="1"/>
  <c r="BE17" i="1"/>
  <c r="BE30" i="1"/>
  <c r="BE31" i="1"/>
  <c r="BE48" i="1"/>
  <c r="BD38" i="1"/>
  <c r="BE34" i="1"/>
  <c r="K12" i="11"/>
  <c r="BE51" i="1"/>
  <c r="BE18" i="1"/>
  <c r="BE45" i="1"/>
  <c r="BE35" i="1"/>
  <c r="BC38" i="1"/>
  <c r="BB38" i="1"/>
  <c r="AF54" i="1"/>
  <c r="AG52" i="1"/>
  <c r="AH52" i="1"/>
  <c r="AI52" i="1"/>
  <c r="G210" i="11" l="1"/>
  <c r="J209" i="11"/>
  <c r="H210" i="11"/>
  <c r="I210" i="11" s="1"/>
  <c r="Q179" i="11" s="1"/>
  <c r="Q180" i="11" s="1"/>
  <c r="BE21" i="1"/>
  <c r="BA27" i="1"/>
  <c r="BC27" i="1"/>
  <c r="BB27" i="1"/>
  <c r="AZ28" i="1"/>
  <c r="AW28" i="1"/>
  <c r="AX28" i="1"/>
  <c r="H21" i="21"/>
  <c r="AY28" i="1"/>
  <c r="AV36" i="1"/>
  <c r="BG25" i="1"/>
  <c r="BF25" i="1"/>
  <c r="K180" i="11"/>
  <c r="K181" i="11" s="1"/>
  <c r="K208" i="11" s="1"/>
  <c r="L179" i="11"/>
  <c r="BH25" i="1"/>
  <c r="BI17" i="1"/>
  <c r="BI48" i="1"/>
  <c r="BH38" i="1"/>
  <c r="L12" i="11"/>
  <c r="BI31" i="1"/>
  <c r="BI30" i="1"/>
  <c r="BI34" i="1"/>
  <c r="BI46" i="1"/>
  <c r="BI35" i="1"/>
  <c r="BI33" i="1"/>
  <c r="BI18" i="1"/>
  <c r="BI51" i="1"/>
  <c r="BI45" i="1"/>
  <c r="BD26" i="1"/>
  <c r="K137" i="11"/>
  <c r="BG38" i="1"/>
  <c r="BF38" i="1"/>
  <c r="AO28" i="1"/>
  <c r="AQ28" i="1"/>
  <c r="AP28" i="1"/>
  <c r="AN36" i="1"/>
  <c r="F21" i="21"/>
  <c r="BC53" i="1"/>
  <c r="BA53" i="1"/>
  <c r="BD53" i="1" s="1"/>
  <c r="BB53" i="1"/>
  <c r="E70" i="21"/>
  <c r="E71" i="21"/>
  <c r="R70" i="21"/>
  <c r="R71" i="21"/>
  <c r="AL39" i="1"/>
  <c r="AM39" i="1"/>
  <c r="AJ40" i="1"/>
  <c r="I167" i="11"/>
  <c r="I168" i="11" s="1"/>
  <c r="AU28" i="1"/>
  <c r="G21" i="21"/>
  <c r="AR36" i="1"/>
  <c r="AS28" i="1"/>
  <c r="AT28" i="1"/>
  <c r="BC26" i="1"/>
  <c r="J138" i="11"/>
  <c r="J139" i="11" s="1"/>
  <c r="J166" i="11" s="1"/>
  <c r="BB26" i="1"/>
  <c r="AG54" i="1"/>
  <c r="E14" i="11"/>
  <c r="E41" i="11" s="1"/>
  <c r="E42" i="11" s="1"/>
  <c r="AH54" i="1"/>
  <c r="AI54" i="1"/>
  <c r="D66" i="1"/>
  <c r="D70" i="1" s="1"/>
  <c r="J167" i="11" l="1"/>
  <c r="Q137" i="11" s="1"/>
  <c r="Q138" i="11" s="1"/>
  <c r="J210" i="11"/>
  <c r="BI21" i="1"/>
  <c r="J168" i="11"/>
  <c r="H68" i="21"/>
  <c r="H69" i="21"/>
  <c r="U69" i="21"/>
  <c r="U68" i="21"/>
  <c r="BF26" i="1"/>
  <c r="BG26" i="1"/>
  <c r="K138" i="11"/>
  <c r="K139" i="11" s="1"/>
  <c r="K166" i="11" s="1"/>
  <c r="BJ38" i="1"/>
  <c r="BK38" i="1"/>
  <c r="BF53" i="1"/>
  <c r="BG53" i="1"/>
  <c r="BE53" i="1"/>
  <c r="BH53" i="1" s="1"/>
  <c r="BL25" i="1"/>
  <c r="M179" i="11"/>
  <c r="T68" i="21"/>
  <c r="T69" i="21"/>
  <c r="G69" i="21"/>
  <c r="G68" i="21"/>
  <c r="K209" i="11"/>
  <c r="BD27" i="1"/>
  <c r="H13" i="11"/>
  <c r="AS36" i="1"/>
  <c r="AU36" i="1"/>
  <c r="AT36" i="1"/>
  <c r="AR39" i="1"/>
  <c r="G22" i="21"/>
  <c r="BL38" i="1"/>
  <c r="BM18" i="1"/>
  <c r="M12" i="11"/>
  <c r="BM51" i="1"/>
  <c r="BM17" i="1"/>
  <c r="BM33" i="1"/>
  <c r="BM35" i="1"/>
  <c r="BM31" i="1"/>
  <c r="BM34" i="1"/>
  <c r="BM30" i="1"/>
  <c r="BM45" i="1"/>
  <c r="BM48" i="1"/>
  <c r="BM46" i="1"/>
  <c r="AO36" i="1"/>
  <c r="G13" i="11"/>
  <c r="G15" i="11" s="1"/>
  <c r="AQ36" i="1"/>
  <c r="AP36" i="1"/>
  <c r="AN39" i="1"/>
  <c r="F22" i="21"/>
  <c r="L137" i="11"/>
  <c r="BH26" i="1"/>
  <c r="BA28" i="1"/>
  <c r="AZ36" i="1"/>
  <c r="I21" i="21"/>
  <c r="BB28" i="1"/>
  <c r="BC28" i="1"/>
  <c r="H22" i="21"/>
  <c r="AW36" i="1"/>
  <c r="AY36" i="1"/>
  <c r="AV39" i="1"/>
  <c r="I13" i="11"/>
  <c r="AX36" i="1"/>
  <c r="F69" i="21"/>
  <c r="S69" i="21"/>
  <c r="F68" i="21"/>
  <c r="S68" i="21"/>
  <c r="AL40" i="1"/>
  <c r="AK40" i="1"/>
  <c r="AM40" i="1"/>
  <c r="AJ41" i="1"/>
  <c r="L180" i="11"/>
  <c r="L181" i="11" s="1"/>
  <c r="L208" i="11" s="1"/>
  <c r="L209" i="11" s="1"/>
  <c r="BK25" i="1"/>
  <c r="BJ25" i="1"/>
  <c r="K210" i="11" l="1"/>
  <c r="L210" i="11" s="1"/>
  <c r="BM21" i="1"/>
  <c r="I15" i="11"/>
  <c r="BP25" i="1"/>
  <c r="N179" i="11"/>
  <c r="M180" i="11"/>
  <c r="M181" i="11" s="1"/>
  <c r="M208" i="11" s="1"/>
  <c r="BN25" i="1"/>
  <c r="BO25" i="1"/>
  <c r="H71" i="21"/>
  <c r="H70" i="21"/>
  <c r="U71" i="21"/>
  <c r="U70" i="21"/>
  <c r="AM41" i="1"/>
  <c r="AK41" i="1"/>
  <c r="AJ52" i="1"/>
  <c r="AL41" i="1"/>
  <c r="AY39" i="1"/>
  <c r="AX39" i="1"/>
  <c r="AV40" i="1"/>
  <c r="I22" i="21"/>
  <c r="AZ39" i="1"/>
  <c r="BC36" i="1"/>
  <c r="BA36" i="1"/>
  <c r="J13" i="11"/>
  <c r="J15" i="11" s="1"/>
  <c r="BB36" i="1"/>
  <c r="AP39" i="1"/>
  <c r="AQ39" i="1"/>
  <c r="AN40" i="1"/>
  <c r="T71" i="21"/>
  <c r="T70" i="21"/>
  <c r="G71" i="21"/>
  <c r="G70" i="21"/>
  <c r="K167" i="11"/>
  <c r="K168" i="11" s="1"/>
  <c r="BK26" i="1"/>
  <c r="BJ26" i="1"/>
  <c r="L138" i="11"/>
  <c r="L139" i="11" s="1"/>
  <c r="L166" i="11" s="1"/>
  <c r="L167" i="11" s="1"/>
  <c r="AT39" i="1"/>
  <c r="AU39" i="1"/>
  <c r="AR40" i="1"/>
  <c r="BK53" i="1"/>
  <c r="BI53" i="1"/>
  <c r="BL53" i="1" s="1"/>
  <c r="BJ53" i="1"/>
  <c r="BO38" i="1"/>
  <c r="BN38" i="1"/>
  <c r="H15" i="11"/>
  <c r="BH27" i="1"/>
  <c r="BQ46" i="1"/>
  <c r="BQ31" i="1"/>
  <c r="BU18" i="1"/>
  <c r="BQ48" i="1"/>
  <c r="BU35" i="1"/>
  <c r="BU51" i="1"/>
  <c r="BQ35" i="1"/>
  <c r="BQ45" i="1"/>
  <c r="BQ17" i="1"/>
  <c r="N12" i="11"/>
  <c r="BP38" i="1"/>
  <c r="BQ30" i="1"/>
  <c r="BU17" i="1"/>
  <c r="BQ33" i="1"/>
  <c r="BU48" i="1"/>
  <c r="BQ51" i="1"/>
  <c r="BQ34" i="1"/>
  <c r="BQ18" i="1"/>
  <c r="I68" i="21"/>
  <c r="V68" i="21"/>
  <c r="I69" i="21"/>
  <c r="V69" i="21"/>
  <c r="F71" i="21"/>
  <c r="S71" i="21"/>
  <c r="F70" i="21"/>
  <c r="S70" i="21"/>
  <c r="BL26" i="1"/>
  <c r="BL27" i="1" s="1"/>
  <c r="M137" i="11"/>
  <c r="BE27" i="1"/>
  <c r="BF27" i="1"/>
  <c r="BG27" i="1"/>
  <c r="BD28" i="1"/>
  <c r="E43" i="11"/>
  <c r="BQ21" i="1" l="1"/>
  <c r="BU21" i="1"/>
  <c r="L168" i="11"/>
  <c r="BT25" i="1"/>
  <c r="BM27" i="1"/>
  <c r="BN27" i="1"/>
  <c r="BO27" i="1"/>
  <c r="BL28" i="1"/>
  <c r="BP26" i="1"/>
  <c r="BP27" i="1" s="1"/>
  <c r="N137" i="11"/>
  <c r="AS40" i="1"/>
  <c r="AU40" i="1"/>
  <c r="AT40" i="1"/>
  <c r="AR41" i="1"/>
  <c r="AR52" i="1" s="1"/>
  <c r="AR54" i="1" s="1"/>
  <c r="BR46" i="1"/>
  <c r="BN53" i="1"/>
  <c r="BO53" i="1"/>
  <c r="BM53" i="1"/>
  <c r="BP53" i="1" s="1"/>
  <c r="AQ40" i="1"/>
  <c r="AO40" i="1"/>
  <c r="AP40" i="1"/>
  <c r="AN41" i="1"/>
  <c r="BC39" i="1"/>
  <c r="BB39" i="1"/>
  <c r="AZ40" i="1"/>
  <c r="AL52" i="1"/>
  <c r="AM52" i="1"/>
  <c r="AK52" i="1"/>
  <c r="AJ54" i="1"/>
  <c r="BN26" i="1"/>
  <c r="M138" i="11"/>
  <c r="M139" i="11" s="1"/>
  <c r="M166" i="11" s="1"/>
  <c r="BO26" i="1"/>
  <c r="BR45" i="1"/>
  <c r="BK27" i="1"/>
  <c r="BJ27" i="1"/>
  <c r="BI27" i="1"/>
  <c r="BH28" i="1"/>
  <c r="I70" i="21"/>
  <c r="I71" i="21"/>
  <c r="V70" i="21"/>
  <c r="V71" i="21"/>
  <c r="AW40" i="1"/>
  <c r="AY40" i="1"/>
  <c r="AX40" i="1"/>
  <c r="AV41" i="1"/>
  <c r="M209" i="11"/>
  <c r="BR38" i="1"/>
  <c r="BS38" i="1"/>
  <c r="BU34" i="1"/>
  <c r="BT38" i="1"/>
  <c r="BU46" i="1"/>
  <c r="BV46" i="1" s="1"/>
  <c r="BU31" i="1"/>
  <c r="BU45" i="1"/>
  <c r="BV45" i="1" s="1"/>
  <c r="BU33" i="1"/>
  <c r="BU30" i="1"/>
  <c r="N180" i="11"/>
  <c r="N181" i="11" s="1"/>
  <c r="N208" i="11" s="1"/>
  <c r="Q184" i="11" s="1"/>
  <c r="BS25" i="1"/>
  <c r="BR25" i="1"/>
  <c r="J21" i="21"/>
  <c r="BF28" i="1"/>
  <c r="BD36" i="1"/>
  <c r="BG28" i="1"/>
  <c r="BE28" i="1"/>
  <c r="M210" i="11" l="1"/>
  <c r="Q183" i="11"/>
  <c r="Q181" i="11"/>
  <c r="Q182" i="11" s="1"/>
  <c r="AK54" i="1"/>
  <c r="E66" i="1"/>
  <c r="E70" i="1" s="1"/>
  <c r="AM54" i="1"/>
  <c r="AL54" i="1"/>
  <c r="F14" i="11"/>
  <c r="F41" i="11" s="1"/>
  <c r="AT41" i="1"/>
  <c r="AU41" i="1"/>
  <c r="AS41" i="1"/>
  <c r="BM28" i="1"/>
  <c r="BO28" i="1"/>
  <c r="BL36" i="1"/>
  <c r="BN28" i="1"/>
  <c r="L21" i="21"/>
  <c r="AN52" i="1"/>
  <c r="AQ41" i="1"/>
  <c r="AO41" i="1"/>
  <c r="AP41" i="1"/>
  <c r="N209" i="11"/>
  <c r="N210" i="11" s="1"/>
  <c r="R181" i="11" s="1"/>
  <c r="BQ53" i="1"/>
  <c r="BT53" i="1" s="1"/>
  <c r="BS53" i="1"/>
  <c r="BR53" i="1"/>
  <c r="BA40" i="1"/>
  <c r="BC40" i="1"/>
  <c r="BB40" i="1"/>
  <c r="AZ41" i="1"/>
  <c r="BV25" i="1"/>
  <c r="BW25" i="1"/>
  <c r="BH36" i="1"/>
  <c r="BJ28" i="1"/>
  <c r="K21" i="21"/>
  <c r="BK28" i="1"/>
  <c r="BI28" i="1"/>
  <c r="BS27" i="1"/>
  <c r="BR27" i="1"/>
  <c r="BQ27" i="1"/>
  <c r="BP28" i="1"/>
  <c r="BT26" i="1"/>
  <c r="BT27" i="1" s="1"/>
  <c r="BD39" i="1"/>
  <c r="BG36" i="1"/>
  <c r="J22" i="21"/>
  <c r="BF36" i="1"/>
  <c r="K13" i="11"/>
  <c r="K15" i="11" s="1"/>
  <c r="BE36" i="1"/>
  <c r="BV38" i="1"/>
  <c r="BW38" i="1"/>
  <c r="M167" i="11"/>
  <c r="N138" i="11"/>
  <c r="N139" i="11" s="1"/>
  <c r="N166" i="11" s="1"/>
  <c r="Q142" i="11" s="1"/>
  <c r="BR26" i="1"/>
  <c r="BS26" i="1"/>
  <c r="J69" i="21"/>
  <c r="W68" i="21"/>
  <c r="J68" i="21"/>
  <c r="W69" i="21"/>
  <c r="AX41" i="1"/>
  <c r="AW41" i="1"/>
  <c r="AY41" i="1"/>
  <c r="AV52" i="1"/>
  <c r="Q185" i="11" l="1"/>
  <c r="M168" i="11"/>
  <c r="F42" i="11"/>
  <c r="Q141" i="11"/>
  <c r="Q139" i="11"/>
  <c r="Q140" i="11" s="1"/>
  <c r="BF39" i="1"/>
  <c r="BG39" i="1"/>
  <c r="BD40" i="1"/>
  <c r="BC41" i="1"/>
  <c r="BA41" i="1"/>
  <c r="BB41" i="1"/>
  <c r="AZ52" i="1"/>
  <c r="AY52" i="1"/>
  <c r="AW52" i="1"/>
  <c r="AX52" i="1"/>
  <c r="AV54" i="1"/>
  <c r="BW26" i="1"/>
  <c r="BV26" i="1"/>
  <c r="J71" i="21"/>
  <c r="W70" i="21"/>
  <c r="J70" i="21"/>
  <c r="W71" i="21"/>
  <c r="BU53" i="1"/>
  <c r="BV53" i="1"/>
  <c r="BW53" i="1"/>
  <c r="N167" i="11"/>
  <c r="N168" i="11" s="1"/>
  <c r="R139" i="11" s="1"/>
  <c r="BS28" i="1"/>
  <c r="BQ28" i="1"/>
  <c r="BR28" i="1"/>
  <c r="BP36" i="1"/>
  <c r="M21" i="21"/>
  <c r="BK36" i="1"/>
  <c r="BI36" i="1"/>
  <c r="L13" i="11"/>
  <c r="L15" i="11" s="1"/>
  <c r="BJ36" i="1"/>
  <c r="BH39" i="1"/>
  <c r="K22" i="21"/>
  <c r="AO52" i="1"/>
  <c r="AP52" i="1"/>
  <c r="AQ52" i="1"/>
  <c r="AN54" i="1"/>
  <c r="L69" i="21"/>
  <c r="Y68" i="21"/>
  <c r="Y69" i="21"/>
  <c r="L68" i="21"/>
  <c r="BW27" i="1"/>
  <c r="BU27" i="1"/>
  <c r="BV27" i="1"/>
  <c r="BT28" i="1"/>
  <c r="BL39" i="1"/>
  <c r="BM36" i="1"/>
  <c r="L22" i="21"/>
  <c r="BO36" i="1"/>
  <c r="BN36" i="1"/>
  <c r="M13" i="11"/>
  <c r="K69" i="21"/>
  <c r="X68" i="21"/>
  <c r="K68" i="21"/>
  <c r="X69" i="21"/>
  <c r="AS52" i="1"/>
  <c r="AU52" i="1"/>
  <c r="AT52" i="1"/>
  <c r="Q143" i="11" l="1"/>
  <c r="F43" i="11"/>
  <c r="AT54" i="1"/>
  <c r="H14" i="11"/>
  <c r="H41" i="11" s="1"/>
  <c r="H42" i="11" s="1"/>
  <c r="AU54" i="1"/>
  <c r="AS54" i="1"/>
  <c r="G66" i="1"/>
  <c r="G70" i="1" s="1"/>
  <c r="BB52" i="1"/>
  <c r="BA52" i="1"/>
  <c r="BC52" i="1"/>
  <c r="AZ54" i="1"/>
  <c r="G14" i="11"/>
  <c r="G41" i="11" s="1"/>
  <c r="AP54" i="1"/>
  <c r="AQ54" i="1"/>
  <c r="F66" i="1"/>
  <c r="F70" i="1" s="1"/>
  <c r="AO54" i="1"/>
  <c r="M15" i="11"/>
  <c r="BV28" i="1"/>
  <c r="BW28" i="1"/>
  <c r="BU28" i="1"/>
  <c r="BT36" i="1"/>
  <c r="BP39" i="1"/>
  <c r="BR36" i="1"/>
  <c r="M22" i="21"/>
  <c r="BQ36" i="1"/>
  <c r="BS36" i="1"/>
  <c r="N13" i="11"/>
  <c r="N15" i="11" s="1"/>
  <c r="M69" i="21"/>
  <c r="C78" i="21" s="1"/>
  <c r="Z68" i="21"/>
  <c r="P74" i="21" s="1"/>
  <c r="M68" i="21"/>
  <c r="C74" i="21" s="1"/>
  <c r="Z69" i="21"/>
  <c r="P78" i="21" s="1"/>
  <c r="L71" i="21"/>
  <c r="L70" i="21"/>
  <c r="Y71" i="21"/>
  <c r="Y70" i="21"/>
  <c r="AX54" i="1"/>
  <c r="AW54" i="1"/>
  <c r="I14" i="11"/>
  <c r="I41" i="11" s="1"/>
  <c r="I42" i="11" s="1"/>
  <c r="AY54" i="1"/>
  <c r="H66" i="1"/>
  <c r="H70" i="1" s="1"/>
  <c r="BE40" i="1"/>
  <c r="BF40" i="1"/>
  <c r="BG40" i="1"/>
  <c r="BD41" i="1"/>
  <c r="X70" i="21"/>
  <c r="K71" i="21"/>
  <c r="K70" i="21"/>
  <c r="X71" i="21"/>
  <c r="BO39" i="1"/>
  <c r="BN39" i="1"/>
  <c r="BL40" i="1"/>
  <c r="BJ39" i="1"/>
  <c r="BK39" i="1"/>
  <c r="BH40" i="1"/>
  <c r="M71" i="21" l="1"/>
  <c r="C79" i="21" s="1"/>
  <c r="Z70" i="21"/>
  <c r="P75" i="21" s="1"/>
  <c r="Z71" i="21"/>
  <c r="P79" i="21" s="1"/>
  <c r="M70" i="21"/>
  <c r="C75" i="21" s="1"/>
  <c r="BR39" i="1"/>
  <c r="BS39" i="1"/>
  <c r="BP40" i="1"/>
  <c r="BT39" i="1"/>
  <c r="BU36" i="1"/>
  <c r="BV36" i="1"/>
  <c r="BW36" i="1"/>
  <c r="BK40" i="1"/>
  <c r="BI40" i="1"/>
  <c r="BJ40" i="1"/>
  <c r="BH41" i="1"/>
  <c r="BG41" i="1"/>
  <c r="BE41" i="1"/>
  <c r="BD52" i="1"/>
  <c r="BF41" i="1"/>
  <c r="G42" i="11"/>
  <c r="BO40" i="1"/>
  <c r="BN40" i="1"/>
  <c r="BM40" i="1"/>
  <c r="BL41" i="1"/>
  <c r="BC54" i="1"/>
  <c r="I66" i="1"/>
  <c r="I70" i="1" s="1"/>
  <c r="BA54" i="1"/>
  <c r="BB54" i="1"/>
  <c r="J14" i="11"/>
  <c r="J41" i="11" s="1"/>
  <c r="J42" i="11" s="1"/>
  <c r="G43" i="11" l="1"/>
  <c r="H43" i="11"/>
  <c r="BG52" i="1"/>
  <c r="BE52" i="1"/>
  <c r="BF52" i="1"/>
  <c r="BD54" i="1"/>
  <c r="BK41" i="1"/>
  <c r="BJ41" i="1"/>
  <c r="BI41" i="1"/>
  <c r="BH52" i="1"/>
  <c r="BV39" i="1"/>
  <c r="BW39" i="1"/>
  <c r="BT40" i="1"/>
  <c r="BR40" i="1"/>
  <c r="BQ40" i="1"/>
  <c r="BS40" i="1"/>
  <c r="BP41" i="1"/>
  <c r="BM41" i="1"/>
  <c r="BN41" i="1"/>
  <c r="BO41" i="1"/>
  <c r="BL52" i="1"/>
  <c r="I43" i="11" l="1"/>
  <c r="Q12" i="11" s="1"/>
  <c r="Q13" i="11" s="1"/>
  <c r="BN52" i="1"/>
  <c r="BO52" i="1"/>
  <c r="BM52" i="1"/>
  <c r="BL54" i="1"/>
  <c r="BF54" i="1"/>
  <c r="BE54" i="1"/>
  <c r="K14" i="11"/>
  <c r="K41" i="11" s="1"/>
  <c r="J66" i="1"/>
  <c r="J70" i="1" s="1"/>
  <c r="BG54" i="1"/>
  <c r="BU40" i="1"/>
  <c r="BW40" i="1"/>
  <c r="BV40" i="1"/>
  <c r="BT41" i="1"/>
  <c r="BP52" i="1"/>
  <c r="BS41" i="1"/>
  <c r="BQ41" i="1"/>
  <c r="BR41" i="1"/>
  <c r="BK52" i="1"/>
  <c r="BJ52" i="1"/>
  <c r="BI52" i="1"/>
  <c r="BH54" i="1"/>
  <c r="J43" i="11" l="1"/>
  <c r="K42" i="11"/>
  <c r="BS52" i="1"/>
  <c r="BR52" i="1"/>
  <c r="BQ52" i="1"/>
  <c r="BP54" i="1"/>
  <c r="L14" i="11"/>
  <c r="L41" i="11" s="1"/>
  <c r="L42" i="11" s="1"/>
  <c r="K66" i="1"/>
  <c r="K70" i="1" s="1"/>
  <c r="BJ54" i="1"/>
  <c r="BI54" i="1"/>
  <c r="BK54" i="1"/>
  <c r="BU41" i="1"/>
  <c r="BV41" i="1"/>
  <c r="BW41" i="1"/>
  <c r="BT52" i="1"/>
  <c r="M14" i="11"/>
  <c r="M41" i="11" s="1"/>
  <c r="M42" i="11" s="1"/>
  <c r="BN54" i="1"/>
  <c r="L66" i="1"/>
  <c r="L70" i="1" s="1"/>
  <c r="BO54" i="1"/>
  <c r="BM54" i="1"/>
  <c r="K43" i="11" l="1"/>
  <c r="L43" i="11" s="1"/>
  <c r="M43" i="11" s="1"/>
  <c r="BU52" i="1"/>
  <c r="BW52" i="1"/>
  <c r="BV52" i="1"/>
  <c r="BT54" i="1"/>
  <c r="BS54" i="1"/>
  <c r="BR54" i="1"/>
  <c r="M66" i="1"/>
  <c r="M67" i="1" s="1"/>
  <c r="BQ54" i="1"/>
  <c r="N14" i="11"/>
  <c r="N41" i="11" s="1"/>
  <c r="Q16" i="11" l="1"/>
  <c r="Q14" i="11"/>
  <c r="Q15" i="11" s="1"/>
  <c r="Q17" i="11"/>
  <c r="BW54" i="1"/>
  <c r="BV54" i="1"/>
  <c r="BU54" i="1"/>
  <c r="N42" i="11"/>
  <c r="Q18" i="11" s="1"/>
  <c r="M68" i="1"/>
  <c r="M70" i="1" s="1"/>
  <c r="B74" i="1" l="1"/>
  <c r="B72" i="1"/>
  <c r="B73" i="1"/>
  <c r="C62" i="23" s="1"/>
  <c r="D62" i="23" s="1"/>
  <c r="N43" i="11"/>
  <c r="R14" i="11" s="1"/>
  <c r="B76" i="1" l="1"/>
  <c r="B75" i="1"/>
  <c r="L180" i="9" l="1"/>
  <c r="L181" i="9" s="1"/>
  <c r="L207" i="9"/>
  <c r="L208" i="9" s="1"/>
  <c r="L153" i="9"/>
  <c r="L154" i="9" s="1"/>
  <c r="L99" i="9"/>
  <c r="L100"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tc={A85EF0AE-4CEA-B242-8EC5-F68EF1BA3B58}</author>
  </authors>
  <commentList>
    <comment ref="AG32" authorId="0" shapeId="0" xr:uid="{A85EF0AE-4CEA-B242-8EC5-F68EF1BA3B58}">
      <text>
        <t>[Threaded comment]
Your version of Excel allows you to read this threaded comment; however, any edits to it will get removed if the file is opened in a newer version of Excel. Learn more: https://go.microsoft.com/fwlink/?linkid=870924
Comment:
    Including entree fees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tc={48E319AD-004D-7342-A33C-7AF64D9B5DA7}</author>
    <author>tc={A911DA8A-3D53-2F4C-A8FC-D6213171D32D}</author>
    <author>tc={E66A778B-C4B0-CA4D-AF35-60423C578074}</author>
  </authors>
  <commentList>
    <comment ref="AD3" authorId="0" shapeId="0" xr:uid="{48E319AD-004D-7342-A33C-7AF64D9B5DA7}">
      <text>
        <t xml:space="preserve">[Threaded comment]
Your version of Excel allows you to read this threaded comment; however, any edits to it will get removed if the file is opened in a newer version of Excel. Learn more: https://go.microsoft.com/fwlink/?linkid=870924
Comment:
    We removed Lunch </t>
      </text>
    </comment>
    <comment ref="F41" authorId="1" shapeId="0" xr:uid="{A911DA8A-3D53-2F4C-A8FC-D6213171D32D}">
      <text>
        <t>[Threaded comment]
Your version of Excel allows you to read this threaded comment; however, any edits to it will get removed if the file is opened in a newer version of Excel. Learn more: https://go.microsoft.com/fwlink/?linkid=870924
Comment:
    Before Lobby extension</t>
      </text>
    </comment>
    <comment ref="H41" authorId="2" shapeId="0" xr:uid="{E66A778B-C4B0-CA4D-AF35-60423C578074}">
      <text>
        <t>[Threaded comment]
Your version of Excel allows you to read this threaded comment; however, any edits to it will get removed if the file is opened in a newer version of Excel. Learn more: https://go.microsoft.com/fwlink/?linkid=870924
Comment:
    Before Lobby extension</t>
      </text>
    </comment>
  </commentList>
</comments>
</file>

<file path=xl/sharedStrings.xml><?xml version="1.0" encoding="utf-8"?>
<sst xmlns="http://schemas.openxmlformats.org/spreadsheetml/2006/main" count="2878" uniqueCount="907">
  <si>
    <t>HOTEL ASSET MANAGEMENT – BOSC 5 - Team 5</t>
  </si>
  <si>
    <t xml:space="preserve">Radisson Blue - Wiesbaden </t>
  </si>
  <si>
    <r>
      <rPr>
        <b/>
        <sz val="12"/>
        <color theme="1"/>
        <rFont val="Aptos Narrow"/>
        <family val="2"/>
        <scheme val="minor"/>
      </rPr>
      <t>HONOUR CODE</t>
    </r>
    <r>
      <rPr>
        <sz val="12"/>
        <color theme="1"/>
        <rFont val="Aptos Narrow"/>
        <family val="2"/>
        <scheme val="minor"/>
      </rPr>
      <t xml:space="preserve">
As an EHL Hospitality Business School student, I uphold and defend academic integrity, academic rigor, and academic liberty as core values of higher learning. I attest, on my word of honor, that work submitted in my name is my own work and that any ideas or materials used in support of this work which is not originally my own, including AI-generated or assisted text, are cited and referenced accordingly in APA format.</t>
    </r>
  </si>
  <si>
    <t>Students Team</t>
  </si>
  <si>
    <t>Team 5</t>
  </si>
  <si>
    <t>RADISSON BLU SCHWARZER BOCK HOTEL</t>
  </si>
  <si>
    <t>NAME</t>
  </si>
  <si>
    <t>LAST NAME</t>
  </si>
  <si>
    <t>STUDENT ID</t>
  </si>
  <si>
    <t>Matteo</t>
  </si>
  <si>
    <t>DELFINI</t>
  </si>
  <si>
    <t>Sophie</t>
  </si>
  <si>
    <t>LUSCHER</t>
  </si>
  <si>
    <t>683 600 659</t>
  </si>
  <si>
    <t>Luca</t>
  </si>
  <si>
    <t>STETTLER</t>
  </si>
  <si>
    <t>Titouan</t>
  </si>
  <si>
    <t>GUYOT</t>
  </si>
  <si>
    <t>Margot</t>
  </si>
  <si>
    <t>CONCEPRIO</t>
  </si>
  <si>
    <t>Emilie</t>
  </si>
  <si>
    <t>KUSTER</t>
  </si>
  <si>
    <t>Daniella</t>
  </si>
  <si>
    <t>HALLEN</t>
  </si>
  <si>
    <t>Alexandre</t>
  </si>
  <si>
    <t>CARBONI</t>
  </si>
  <si>
    <t>557 689 718</t>
  </si>
  <si>
    <t>Table of Content</t>
  </si>
  <si>
    <t>Sheet</t>
  </si>
  <si>
    <t>Description</t>
  </si>
  <si>
    <t>Preliminary Analysis</t>
  </si>
  <si>
    <t xml:space="preserve">Market and asset diagnosis (STR trends, comp set benchmarking, historical KPIs, key underperformance drivers, positioning).						</t>
  </si>
  <si>
    <t>Assumptions</t>
  </si>
  <si>
    <t>Central assumptions hub (ADR/Occ growth, inflation, fees, RR, discount rate, cap rate, sales costs, disruption).</t>
  </si>
  <si>
    <t>P&amp;L Normal Situation</t>
  </si>
  <si>
    <t>10-year forecast without CAPEX (baseline) + baseline market value.</t>
  </si>
  <si>
    <t>1-P&amp;L Modified</t>
  </si>
  <si>
    <t>10-year forecast with CAPEX / repositioning (pro forma) + market value with CAPEX.</t>
  </si>
  <si>
    <t>1-F&amp;B Details</t>
  </si>
  <si>
    <t>Detailed F&amp;B build-up (covers, average check, seat occupancy, brasserie/café concepts) + benchmarks.</t>
  </si>
  <si>
    <t>1-Capex</t>
  </si>
  <si>
    <t xml:space="preserve"> Detailed CAPEX budget by area and category (FF&amp;E / soft goods / construction + fees/contingency).</t>
  </si>
  <si>
    <t>1-Capex Planning</t>
  </si>
  <si>
    <t>CAPEX phasing (monthly/weekly), room cluster sequencing, and disruption/OOO assumptions.</t>
  </si>
  <si>
    <t>1-Incremental Cash Flow</t>
  </si>
  <si>
    <t>Incremental cash flows (With–Without), total and by department, with KPIs (NPV/IRR/payback/yield).</t>
  </si>
  <si>
    <t>1-Sensitivity</t>
  </si>
  <si>
    <t>Scenario and sensitivity tests (±ADR, ±Occ) with impact on GOP/EBITDA and NPV/IRR.</t>
  </si>
  <si>
    <t>Appendix 1-STR Trend</t>
  </si>
  <si>
    <t>STR comp-set trends (Occ/ADR/RevPAR + MPI/ARI/RGI) supporting demand, pricing, and baseline gap.</t>
  </si>
  <si>
    <t>Appendix 2- Graphics</t>
  </si>
  <si>
    <t>Monthly Occ% and ADR seasonality (Frankfurt Rhine-Main Upper Upscale) supporting seasonality and phasing assumptions.</t>
  </si>
  <si>
    <t xml:space="preserve">1. COMPSET </t>
  </si>
  <si>
    <t xml:space="preserve">*Based on the STR Report Frankfurt Rhine-Main - Upper upscale </t>
  </si>
  <si>
    <t>HOTEL NAME</t>
  </si>
  <si>
    <t>CLASS</t>
  </si>
  <si>
    <t xml:space="preserve">ADR </t>
  </si>
  <si>
    <t># ROOMS</t>
  </si>
  <si>
    <t>REGION</t>
  </si>
  <si>
    <t xml:space="preserve">SPA </t>
  </si>
  <si>
    <t>RESTAURANTS</t>
  </si>
  <si>
    <t>ROOM SERVICE</t>
  </si>
  <si>
    <t>POOL</t>
  </si>
  <si>
    <t>MEETING ROOMS</t>
  </si>
  <si>
    <t>WEBSITE</t>
  </si>
  <si>
    <t xml:space="preserve">Radisson Blue </t>
  </si>
  <si>
    <t>Upper Upscale</t>
  </si>
  <si>
    <t>Weisbaden / urban</t>
  </si>
  <si>
    <t>yes</t>
  </si>
  <si>
    <t xml:space="preserve">no </t>
  </si>
  <si>
    <t xml:space="preserve">yes </t>
  </si>
  <si>
    <t xml:space="preserve">LINK </t>
  </si>
  <si>
    <t>Hyatt Regency Mainz</t>
  </si>
  <si>
    <t>Mainz / urban</t>
  </si>
  <si>
    <t>LINK</t>
  </si>
  <si>
    <t>Dorint Pallas Wiesbaden</t>
  </si>
  <si>
    <t>Upscale</t>
  </si>
  <si>
    <t>yes , 2</t>
  </si>
  <si>
    <t>no</t>
  </si>
  <si>
    <t>Hotel Orianen</t>
  </si>
  <si>
    <t>Mercure Hotel Wiesbaden City</t>
  </si>
  <si>
    <t>Upper - Midscale</t>
  </si>
  <si>
    <t>Hotel Nassauer Hof Wiesbaden</t>
  </si>
  <si>
    <t xml:space="preserve">Luxury </t>
  </si>
  <si>
    <t>Weisbaden / suburban</t>
  </si>
  <si>
    <t>yes, 2</t>
  </si>
  <si>
    <t>The primary comp set was selected based on similar positioning (Upscale/Upper-Upscale), location within the Rhine-Main corporate area, and similar service level. Luxury and Upper-Midscale properties are used solely for positioning analysis.</t>
  </si>
  <si>
    <t>2. ADR</t>
  </si>
  <si>
    <t xml:space="preserve"> HISTORICAL ADR GROWTH RATE</t>
  </si>
  <si>
    <t xml:space="preserve"> DEPRECIATION RATE </t>
  </si>
  <si>
    <t xml:space="preserve"> HISTORICAL INFLATION </t>
  </si>
  <si>
    <t xml:space="preserve"> EXPECTED FUTURE INFLATION </t>
  </si>
  <si>
    <t xml:space="preserve">ADR GROWTH RATE </t>
  </si>
  <si>
    <t>Source: Real Estate class, -1% because building is old</t>
  </si>
  <si>
    <t>https://www.rateinflation.com/consumer-price-index/germany-historical-cpi/?utm</t>
  </si>
  <si>
    <t>https://www.theglobaleconomy.com/Germany/inflation_outlook_imf/?utm_source</t>
  </si>
  <si>
    <t>Year</t>
  </si>
  <si>
    <t>Frankfurt Rhine-Main Upper Upscale</t>
  </si>
  <si>
    <t xml:space="preserve">Real Depreciation </t>
  </si>
  <si>
    <t>CPI</t>
  </si>
  <si>
    <t>Inflation rate</t>
  </si>
  <si>
    <t>Historical ADR Growth rate</t>
  </si>
  <si>
    <t>Real depreciation</t>
  </si>
  <si>
    <t>Historical inflation</t>
  </si>
  <si>
    <t>Expected future inflation</t>
  </si>
  <si>
    <t>ADR GROWTH RATE</t>
  </si>
  <si>
    <t>3. OCCUPANCY DISCOUNT RATE, CAP RATE</t>
  </si>
  <si>
    <t>OCCUPANCY</t>
  </si>
  <si>
    <t>DISCOUNT RATE</t>
  </si>
  <si>
    <t>Riskfree*</t>
  </si>
  <si>
    <t>Years</t>
  </si>
  <si>
    <t xml:space="preserve">Occupancy (%) </t>
  </si>
  <si>
    <t>+ Sector Premium</t>
  </si>
  <si>
    <t>+ City/submarket Premium**</t>
  </si>
  <si>
    <t>+ Property Premium***</t>
  </si>
  <si>
    <t>= Discount Rate</t>
  </si>
  <si>
    <t>* https://tradingeconomics.com/germany/government-bond-yield</t>
  </si>
  <si>
    <t>Allemagne : 6.3 HMA</t>
  </si>
  <si>
    <t>Allemagne : 5.2 Prime Lease</t>
  </si>
  <si>
    <t>**City / Submarket Premium 1% because Wiesbaden is not a prime location.</t>
  </si>
  <si>
    <t xml:space="preserve">***Property Premium 2% because it's an old building 1486 year of construction </t>
  </si>
  <si>
    <t xml:space="preserve">Cap Rate </t>
  </si>
  <si>
    <t>Occupancy Growth Rate</t>
  </si>
  <si>
    <t>P&amp;L ASSUMPTIONS</t>
  </si>
  <si>
    <t>P&amp;L</t>
  </si>
  <si>
    <t>METRIC</t>
  </si>
  <si>
    <t>STR REPORT 2023</t>
  </si>
  <si>
    <t>Adjustment</t>
  </si>
  <si>
    <t>NEW</t>
  </si>
  <si>
    <t>EXPLINATION</t>
  </si>
  <si>
    <t/>
  </si>
  <si>
    <t>ADR</t>
  </si>
  <si>
    <t>See comment</t>
  </si>
  <si>
    <t>Increase thanks to repositionning and white label contract (see detailes on P&amp;L Modified)</t>
  </si>
  <si>
    <t>Base management fees</t>
  </si>
  <si>
    <t>Occupancy %</t>
  </si>
  <si>
    <t>Decrease due to renovation than Increase due to repositionning + branding (see detailes on P&amp;L Modified)</t>
  </si>
  <si>
    <t>Operating Revenue</t>
  </si>
  <si>
    <t>Rooms</t>
  </si>
  <si>
    <t>% of TREV</t>
  </si>
  <si>
    <t>-</t>
  </si>
  <si>
    <t>Depending on ADR et Occ</t>
  </si>
  <si>
    <t>Food and Beverage</t>
  </si>
  <si>
    <t>Increase: New F&amp;B outlets,(see detailes on F&amp;B sheet)</t>
  </si>
  <si>
    <t xml:space="preserve">Spa </t>
  </si>
  <si>
    <t>Adjustment for repositionning (bleisure)</t>
  </si>
  <si>
    <t>Other</t>
  </si>
  <si>
    <t>Higer quality meeting rooms allowing higher prices</t>
  </si>
  <si>
    <t>Departemental Expenses</t>
  </si>
  <si>
    <t>% of Dep. Rev.</t>
  </si>
  <si>
    <t xml:space="preserve">Decrease: Cost per room sold remain stable and better cost control thanks to franchise standards </t>
  </si>
  <si>
    <t>Decrease: New F&amp;B outlets (see F&amp;B sheet)</t>
  </si>
  <si>
    <t>Decrease : thanks to renovation</t>
  </si>
  <si>
    <t>Undistributed Operating Expenses</t>
  </si>
  <si>
    <t>Aministrative and General</t>
  </si>
  <si>
    <t>PAR</t>
  </si>
  <si>
    <t xml:space="preserve">Decrease: better efficency thanks to Accor </t>
  </si>
  <si>
    <t>Sales And Marketing</t>
  </si>
  <si>
    <t>New outlets open to external need new promotion (Brasserie+café), less marketing fees thanks to franchise</t>
  </si>
  <si>
    <t>https://hvs.com/PaidPublications/Samples/Excerpts_HVS%20Guide%20to%20Hotel%20Management%20Contracts%202020.pdf</t>
  </si>
  <si>
    <r>
      <rPr>
        <sz val="12"/>
        <rFont val="Calibri"/>
        <family val="2"/>
      </rPr>
      <t>Franchise Fees (</t>
    </r>
    <r>
      <rPr>
        <i/>
        <sz val="12"/>
        <color rgb="FF000000"/>
        <rFont val="Calibri"/>
        <family val="2"/>
      </rPr>
      <t>royalty, loyalty, and marketing)</t>
    </r>
  </si>
  <si>
    <t>% of room  Rev</t>
  </si>
  <si>
    <t>New Franchise contract 5% Royaltees + 2% marketing contribution</t>
  </si>
  <si>
    <t>https://www.hvs.com/article/9912-a-new-approach-to-hotel-management-fees</t>
  </si>
  <si>
    <t>Heat light and Power</t>
  </si>
  <si>
    <t>Decrease: thanks to ESG renovations (LED lights)</t>
  </si>
  <si>
    <t>Repairs and Maintenance</t>
  </si>
  <si>
    <t>Increase: due to new F&amp;B outlets</t>
  </si>
  <si>
    <t>Management Fees</t>
  </si>
  <si>
    <t>RETAIL HAIRDRESSER &amp; PHONE STORE</t>
  </si>
  <si>
    <t>€/SQM/MONTH</t>
  </si>
  <si>
    <t>SOURCE</t>
  </si>
  <si>
    <t>Base Management Fee</t>
  </si>
  <si>
    <t>New white label management contract</t>
  </si>
  <si>
    <t>https://www.ihk.de/wiesbaden/wirtschaftspolitik/region/gewerbeflaechen-und-mietpreise/mietpreisspiegel-1255370</t>
  </si>
  <si>
    <t>Incentive Management Fee</t>
  </si>
  <si>
    <t>% of (Gross operating profit)</t>
  </si>
  <si>
    <t>https://www.immobilienscout24.de/expose/160771843?referrer=HYBRID_VIEW_MAP&amp;searchId=c63438fd-bbf2-3de9-afaf-3124b02ce239&amp;searchUrl=%2Fde%2Fhessen%2Fwiesbaden%2Fgastronomie-mieten%3Fbbox%3Dc2hycEhzZWZxQH1mQj8-c3JFfGZCPw..&amp;searchType=district#/</t>
  </si>
  <si>
    <t>Non-operating Income &amp; Expenses</t>
  </si>
  <si>
    <t>https://www.immobilienscout24.de/expose/162096020?referrer=HYBRID_VIEW_MAP&amp;searchId=c63438fd-bbf2-3de9-afaf-3124b02ce239&amp;searchUrl=%2Fde%2Fhessen%2Fwiesbaden%2Fgastronomie-mieten%3Fbbox%3Dc2hycEhzZWZxQH1mQj8-c3JFfGZCPw..&amp;searchType=district#/</t>
  </si>
  <si>
    <t>Non-Operating Income</t>
  </si>
  <si>
    <t>% tot. operating rev.</t>
  </si>
  <si>
    <t>https://www.immobilienscout24.de/expose/162519246?referrer=HYBRID_VIEW_MAP_GROUPED&amp;searchId=c63438fd-bbf2-3de9-afaf-3124b02ce239&amp;searchUrl=%2Fde%2Fhessen%2Fwiesbaden%2Fgastronomie-mieten%3Fbbox%3Dc2hycEhzZWZxQH1mQj8-c3JFfGZCPw..&amp;searchType=district#/</t>
  </si>
  <si>
    <t>Retail income</t>
  </si>
  <si>
    <t xml:space="preserve">Estimated rental price by benchmark (retail shops) </t>
  </si>
  <si>
    <t>https://www.immobilienscout24.de/expose/153822589?referrer=HYBRID_VIEW_MAP_GROUPED&amp;searchId=c63438fd-bbf2-3de9-afaf-3124b02ce239&amp;searchUrl=%2Fde%2Fhessen%2Fwiesbaden%2Fgastronomie-mieten%3Fbbox%3Dc2hycEhzZWZxQH1mQj8-c3JFfGZCPw..&amp;searchType=district#/</t>
  </si>
  <si>
    <t>Rent</t>
  </si>
  <si>
    <t>https://www.immobilienscout24.de/expose/160736004?referrer=HYBRID_VIEW_MAP&amp;searchId=a7cf4782-ca5a-3849-a6f4-7a39745c5e5e&amp;searchUrl=%2Fde%2Fhessen%2Fwiesbaden%2Feinzelhandel-mieten%3Fbbox%3DcXdycEhhdWVxQH1mQj8-c3JFfGZCPw..&amp;searchType=district#/</t>
  </si>
  <si>
    <t>Property Taxes &amp; Insurance</t>
  </si>
  <si>
    <t>Increase: Due to new value with capex + outlets</t>
  </si>
  <si>
    <t>https://www.immobilienscout24.de/expose/157437826?referrer=HYBRID_VIEW_MAP&amp;searchId=a7cf4782-ca5a-3849-a6f4-7a39745c5e5e&amp;searchUrl=%2Fde%2Fhessen%2Fwiesbaden%2Feinzelhandel-mieten%3Fbbox%3Dc3ZzcEhnYmdxQF9zQD8-eWhCfnJAPw..&amp;searchType=district#/</t>
  </si>
  <si>
    <t>https://www.immobilienscout24.de/expose/162664184?referrer=HYBRID_VIEW_MAP_GROUPED&amp;searchId=a7cf4782-ca5a-3849-a6f4-7a39745c5e5e&amp;searchUrl=%2Fde%2Fhessen%2Fwiesbaden%2Feinzelhandel-mieten%3Fbbox%3Dd2t0cEhhdmdxQF9ZPz99c0B_WD8.&amp;searchType=district#/</t>
  </si>
  <si>
    <t>https://www.immobilienscout24.de/expose/164275457?referrer=HYBRID_VIEW_MAP_GROUPED&amp;searchId=a7cf4782-ca5a-3849-a6f4-7a39745c5e5e&amp;searchUrl=%2Fde%2Fhessen%2Fwiesbaden%2Feinzelhandel-mieten%3Fbbox%3DX35zcEh5X2dxQF9zQD8-eWhCfnJAPw..&amp;searchType=district#/</t>
  </si>
  <si>
    <t xml:space="preserve">Average </t>
  </si>
  <si>
    <t>CAPEX ASSUMPTIONS</t>
  </si>
  <si>
    <t xml:space="preserve">CAPEX ADJUSMENT </t>
  </si>
  <si>
    <t>APPLY ON</t>
  </si>
  <si>
    <t>ADJUSMENT</t>
  </si>
  <si>
    <t>Source</t>
  </si>
  <si>
    <t>Architect fee</t>
  </si>
  <si>
    <t>Total N/A ajusted Capex</t>
  </si>
  <si>
    <t>https://aron-studio.de/architect-costs-in-germany-a-comprehensive-guide/</t>
  </si>
  <si>
    <t>FF&amp;E ajustement</t>
  </si>
  <si>
    <t>FF&amp;E</t>
  </si>
  <si>
    <t>https://www.hyhotelfurniture.com/blog/hotel-ff-e-costs.html</t>
  </si>
  <si>
    <t>LABOR ADJUSTMENT</t>
  </si>
  <si>
    <t>MEDIAN SALARY/YEAR</t>
  </si>
  <si>
    <t>Contractor Markup</t>
  </si>
  <si>
    <t xml:space="preserve">Construction </t>
  </si>
  <si>
    <t>https://switchhotelsolutions.com.au/hotel-renovation-budget-template-guide/</t>
  </si>
  <si>
    <t>USA</t>
  </si>
  <si>
    <t>https://careers.usnews.com/best-jobs/construction-worker/salary</t>
  </si>
  <si>
    <t>Labor</t>
  </si>
  <si>
    <t>Germany</t>
  </si>
  <si>
    <t>https://www.salaryexpert.com/salary/job/construction-worker/germany?__cf_chl_tk=Eez7vyb9Bpvs49M77FDW2NqRe9mQJ9ZCfFsBeNN0ApA-1765468386-1.0.1.1-RSeoRcHPlRy50UhMkQrxzXbHBTbHebualtv_w0_N1LQ</t>
  </si>
  <si>
    <t>Contingency</t>
  </si>
  <si>
    <t>HVS_Hotel Estimation Guide_2024</t>
  </si>
  <si>
    <t xml:space="preserve">Capex reserves check </t>
  </si>
  <si>
    <t>https://www.costar.com/article/1366873980/capex-study-authors-4-reserves-not-enough</t>
  </si>
  <si>
    <t xml:space="preserve">Renovation time </t>
  </si>
  <si>
    <t>https://www.hyhotelfurniture.com/how-long-does-it-take-to-refurbish</t>
  </si>
  <si>
    <t xml:space="preserve">P&amp;L Normal Situation </t>
  </si>
  <si>
    <t>Hotel # rooms</t>
  </si>
  <si>
    <t>ADR Growth Rate</t>
  </si>
  <si>
    <t>COVID</t>
  </si>
  <si>
    <t>Occupancy Stabilize form this year</t>
  </si>
  <si>
    <t>Days</t>
  </si>
  <si>
    <t>Rooms Available</t>
  </si>
  <si>
    <t>Rooms Sold</t>
  </si>
  <si>
    <t>Occupancy</t>
  </si>
  <si>
    <t>RevPAR</t>
  </si>
  <si>
    <t>TrevPar</t>
  </si>
  <si>
    <t>€</t>
  </si>
  <si>
    <t>%</t>
  </si>
  <si>
    <t>POR</t>
  </si>
  <si>
    <t>Departemental Revenue</t>
  </si>
  <si>
    <t>Food and Bevarge</t>
  </si>
  <si>
    <t>Total Operating Revenue</t>
  </si>
  <si>
    <t>Total Departemental Expenses</t>
  </si>
  <si>
    <t xml:space="preserve">Total Departemental Profit </t>
  </si>
  <si>
    <t>Total Undistributed Undistributed Expenses</t>
  </si>
  <si>
    <t>Gross Operating Profit (GOP)</t>
  </si>
  <si>
    <t>Management Fee</t>
  </si>
  <si>
    <t>Income Before Non-Operating Income and Expenses</t>
  </si>
  <si>
    <t>Non-Operating Income and Expenses</t>
  </si>
  <si>
    <t xml:space="preserve">Income  Minimum lease rental </t>
  </si>
  <si>
    <t>Income Variable Lease Rental (21.5%)</t>
  </si>
  <si>
    <t xml:space="preserve">Total Income </t>
  </si>
  <si>
    <t xml:space="preserve">Proprety tax and Inssurance </t>
  </si>
  <si>
    <t>Insurrance</t>
  </si>
  <si>
    <t>Total Non-Operating Income and Expenses</t>
  </si>
  <si>
    <t>Earnings Before Interest, Taxes, Depreciation, and Amortization (EBITDA)</t>
  </si>
  <si>
    <t>FF&amp;E Reserve (4%)</t>
  </si>
  <si>
    <t>EBITDA after Remplacement Reserve</t>
  </si>
  <si>
    <t xml:space="preserve">Market value </t>
  </si>
  <si>
    <t>https://hypofriend.de/en/mortgage-rates-germany/hesse/wiesbaden</t>
  </si>
  <si>
    <t>Discount rate</t>
  </si>
  <si>
    <t xml:space="preserve">Adjusted Cap Rate </t>
  </si>
  <si>
    <t>Going out Cap Rate  ( = +0.5%)</t>
  </si>
  <si>
    <t>Property Discount Rate</t>
  </si>
  <si>
    <t xml:space="preserve">Sales transaction cost </t>
  </si>
  <si>
    <t>EBITDA aRR</t>
  </si>
  <si>
    <t xml:space="preserve">Exit value </t>
  </si>
  <si>
    <t>Transaction cost</t>
  </si>
  <si>
    <t xml:space="preserve">Initial investment </t>
  </si>
  <si>
    <t xml:space="preserve">Total CF </t>
  </si>
  <si>
    <t>Incremental Value</t>
  </si>
  <si>
    <t>Market Value</t>
  </si>
  <si>
    <t>Net Present Value</t>
  </si>
  <si>
    <t>IRR</t>
  </si>
  <si>
    <t>MIRR</t>
  </si>
  <si>
    <t>1 - P&amp;L Modified</t>
  </si>
  <si>
    <t>Hotel #rooms</t>
  </si>
  <si>
    <t>Total Food and Beverage</t>
  </si>
  <si>
    <t>Total Undistributed Expenses</t>
  </si>
  <si>
    <t>Base Fee</t>
  </si>
  <si>
    <t>Incentive fee</t>
  </si>
  <si>
    <t>Total Management Fee</t>
  </si>
  <si>
    <t>Income Retail (90sqm)</t>
  </si>
  <si>
    <t xml:space="preserve">1 - Market value </t>
  </si>
  <si>
    <t xml:space="preserve">1- F&amp;B in details </t>
  </si>
  <si>
    <t>Inflation Rate</t>
  </si>
  <si>
    <t>COMPETITOR</t>
  </si>
  <si>
    <t>MEETING, €/person</t>
  </si>
  <si>
    <t>BREAKFAST</t>
  </si>
  <si>
    <t>LUNCH</t>
  </si>
  <si>
    <t>DINNER</t>
  </si>
  <si>
    <t>DRINKS</t>
  </si>
  <si>
    <t xml:space="preserve">STR Report 2023 
F&amp;B Cost of Sales </t>
  </si>
  <si>
    <t>Average starters</t>
  </si>
  <si>
    <t>Coffee</t>
  </si>
  <si>
    <t>STR Report 2023 
F&amp;B Labor Cost</t>
  </si>
  <si>
    <r>
      <rPr>
        <b/>
        <sz val="12"/>
        <color theme="0"/>
        <rFont val="Calibri"/>
        <family val="2"/>
      </rPr>
      <t>VAT Deutschland</t>
    </r>
    <r>
      <rPr>
        <sz val="12"/>
        <color theme="0"/>
        <rFont val="Calibri"/>
        <family val="2"/>
      </rPr>
      <t xml:space="preserve">
(Future new law might decrease rate to 7% on Food)</t>
    </r>
  </si>
  <si>
    <t>Room sold</t>
  </si>
  <si>
    <t>Average Mains</t>
  </si>
  <si>
    <t>Soft</t>
  </si>
  <si>
    <t>Average Dessert</t>
  </si>
  <si>
    <t>Wine</t>
  </si>
  <si>
    <t>BREAKFAST at Le Capricorne</t>
  </si>
  <si>
    <t>Average Beverage</t>
  </si>
  <si>
    <t>Coktail</t>
  </si>
  <si>
    <t>#days open per week</t>
  </si>
  <si>
    <t>Snacks</t>
  </si>
  <si>
    <t xml:space="preserve">Catpure Rate </t>
  </si>
  <si>
    <t>Number of days open</t>
  </si>
  <si>
    <t>Hotel Nassauer Hof</t>
  </si>
  <si>
    <t>Number of guest per room</t>
  </si>
  <si>
    <t>Open Daily</t>
  </si>
  <si>
    <t>Number of seats</t>
  </si>
  <si>
    <t>Beer</t>
  </si>
  <si>
    <t>We estimated a capture rate according to our projected guest segment mix. 
Same for guest per room.
Cost of sales decrease thanks to buffet (less staff cost)</t>
  </si>
  <si>
    <t>Capture rate</t>
  </si>
  <si>
    <t>Cocktail</t>
  </si>
  <si>
    <t>Total Covers per Year</t>
  </si>
  <si>
    <t>Average Check</t>
  </si>
  <si>
    <t>Total Outlet Revenue</t>
  </si>
  <si>
    <t>Cost of sales</t>
  </si>
  <si>
    <t>Adjusted cost rate</t>
  </si>
  <si>
    <t>Total Profit</t>
  </si>
  <si>
    <t>BRASSERIE &amp; TERRACE Le Capricorne</t>
  </si>
  <si>
    <t>Lunch</t>
  </si>
  <si>
    <t>Dinner</t>
  </si>
  <si>
    <t>Open from tuesday to saturday - Lunch &amp; Dinner</t>
  </si>
  <si>
    <t>Hotel Oranien Wiesbaden</t>
  </si>
  <si>
    <t>Cost of sales increase due to :</t>
  </si>
  <si>
    <t xml:space="preserve">Higher quality products </t>
  </si>
  <si>
    <t>More high-end service</t>
  </si>
  <si>
    <t>Average Covers per service</t>
  </si>
  <si>
    <t xml:space="preserve">AVERAGE CHECK BENCHMARK </t>
  </si>
  <si>
    <t>AVERAGE</t>
  </si>
  <si>
    <t>CAPTURE RATE</t>
  </si>
  <si>
    <t>Breakfast</t>
  </si>
  <si>
    <t>Average Check (inc VAT)</t>
  </si>
  <si>
    <t>Minus 10% for Breakfast+room package</t>
  </si>
  <si>
    <t>Starters</t>
  </si>
  <si>
    <t>Mains</t>
  </si>
  <si>
    <t>Desserts</t>
  </si>
  <si>
    <t>Drinks</t>
  </si>
  <si>
    <t>ECK BAR / Lobby</t>
  </si>
  <si>
    <t xml:space="preserve">Open Daily </t>
  </si>
  <si>
    <t>Serving drinks and snacks</t>
  </si>
  <si>
    <t>Cost of sales decrease due to :</t>
  </si>
  <si>
    <t xml:space="preserve">Less staff </t>
  </si>
  <si>
    <t>Higher margins on drinks</t>
  </si>
  <si>
    <t>Average Covers per day</t>
  </si>
  <si>
    <t>Meetings &amp; Events</t>
  </si>
  <si>
    <t>Coffee break + soft drinks, pastries</t>
  </si>
  <si>
    <t>https://www.lhotellerie-restauration.fr/sos-experts/ratios-financiers-les-cafes-bars</t>
  </si>
  <si>
    <t>Bar</t>
  </si>
  <si>
    <t>Snack</t>
  </si>
  <si>
    <t>Brasserie &amp; Terrace</t>
  </si>
  <si>
    <t xml:space="preserve">Low season in summer/holidays will be compensate by the terrasse </t>
  </si>
  <si>
    <t>We esimated covers by taking into account more Business guest in high season during the week, less in weekends, more leisure, etc.</t>
  </si>
  <si>
    <t>MEETINGS &amp; EVENTS</t>
  </si>
  <si>
    <t>#Covers Estimation</t>
  </si>
  <si>
    <t>Tuesday</t>
  </si>
  <si>
    <t>Wednesday</t>
  </si>
  <si>
    <t>Thursday</t>
  </si>
  <si>
    <t>Friday</t>
  </si>
  <si>
    <t>Saturday</t>
  </si>
  <si>
    <t>Average</t>
  </si>
  <si>
    <t>#weeks</t>
  </si>
  <si>
    <t>Available daily</t>
  </si>
  <si>
    <t>High season</t>
  </si>
  <si>
    <t>We estimated the occupancy 3 days/week during high season (38 weeks)</t>
  </si>
  <si>
    <t>Cost of sales decrease thanks to :</t>
  </si>
  <si>
    <t>Low season</t>
  </si>
  <si>
    <t>Mostly coffee, water, small pastries with less staff needed</t>
  </si>
  <si>
    <t>CAFE INGELHEIMER</t>
  </si>
  <si>
    <t>Day</t>
  </si>
  <si>
    <t>Evening</t>
  </si>
  <si>
    <t>Open 5 days/w + evening upon request for afterwork / wine tasting</t>
  </si>
  <si>
    <t>Estimaed coffe price + pastries</t>
  </si>
  <si>
    <t>Estimated 2 to 3 evenings with wine tasting for afterworks</t>
  </si>
  <si>
    <t>(Wine price volontary low to try this new offer)</t>
  </si>
  <si>
    <t xml:space="preserve">Food from Le Capricone when open. </t>
  </si>
  <si>
    <t>Food menu from Eck bar when Capricorne closed.</t>
  </si>
  <si>
    <t>We estimated 1 main + 1 drink</t>
  </si>
  <si>
    <t>Increasing price +20% for the service</t>
  </si>
  <si>
    <t>Less efficency &amp; low volume</t>
  </si>
  <si>
    <t>https://www.independent.co.uk/travel/hotels/room-service-the-final-call-on-a-luxury-that-is-just-not-profitable-8644598.html</t>
  </si>
  <si>
    <t>TOTAL F&amp;B OUTLETS</t>
  </si>
  <si>
    <t>Total F&amp;B Revenue</t>
  </si>
  <si>
    <t>Total F&amp;B Cost of sales</t>
  </si>
  <si>
    <t>Total F&amp;B Profit</t>
  </si>
  <si>
    <t>1 - CAPEX</t>
  </si>
  <si>
    <t>Number of room per cluster</t>
  </si>
  <si>
    <t xml:space="preserve">Slpit rénovation per sqm </t>
  </si>
  <si>
    <t>TYPE OF RENOVATION</t>
  </si>
  <si>
    <t>SOFT GOOD</t>
  </si>
  <si>
    <t>CONSTRUCTION</t>
  </si>
  <si>
    <t>TOTAL N/A ADJUSTED CAPEX</t>
  </si>
  <si>
    <t>Architect fee 10%</t>
  </si>
  <si>
    <t>FF&amp;E ajustment 15%</t>
  </si>
  <si>
    <t>Contractor Markup 15%</t>
  </si>
  <si>
    <t>Labor 17%</t>
  </si>
  <si>
    <t>Capex Reserves Check 6%</t>
  </si>
  <si>
    <t>Contingency 10%</t>
  </si>
  <si>
    <t>TOTAL ADJUSTED CAPEX</t>
  </si>
  <si>
    <t>TYPE OF ROOMS</t>
  </si>
  <si>
    <t>#ROOMS</t>
  </si>
  <si>
    <t>SIZE (sqm)</t>
  </si>
  <si>
    <t>TOTAL (sqm)</t>
  </si>
  <si>
    <t>CLUSTER 1</t>
  </si>
  <si>
    <t>CLUSTER 2</t>
  </si>
  <si>
    <t>CLUSTER 3</t>
  </si>
  <si>
    <t>CLUSTER 4</t>
  </si>
  <si>
    <t>CLUSTER 5</t>
  </si>
  <si>
    <t>Individual room</t>
  </si>
  <si>
    <t>Standard Room</t>
  </si>
  <si>
    <t>Superior Room</t>
  </si>
  <si>
    <t>Premium Room</t>
  </si>
  <si>
    <t>Premum Romm</t>
  </si>
  <si>
    <t>Junior suite</t>
  </si>
  <si>
    <t>One bedroom suite</t>
  </si>
  <si>
    <t>one bedroom suite</t>
  </si>
  <si>
    <t xml:space="preserve">Family room </t>
  </si>
  <si>
    <t>Individual Bathroom</t>
  </si>
  <si>
    <t>TOTAL</t>
  </si>
  <si>
    <t>Standard Bathroom</t>
  </si>
  <si>
    <t>Superior Bathroom</t>
  </si>
  <si>
    <t>Premium Bathroom</t>
  </si>
  <si>
    <t>Junior suite Bathroom</t>
  </si>
  <si>
    <t>One bedroom suite Bathroom</t>
  </si>
  <si>
    <t>Family Bathroom</t>
  </si>
  <si>
    <t>Eck Bar</t>
  </si>
  <si>
    <t>FF&amp;E ajustement 15%</t>
  </si>
  <si>
    <t>Ingelheimer Room</t>
  </si>
  <si>
    <t>Cluster 1</t>
  </si>
  <si>
    <t>Meetings Rooms</t>
  </si>
  <si>
    <t>Cluster 2</t>
  </si>
  <si>
    <t>Lobby</t>
  </si>
  <si>
    <t>Cluster 3</t>
  </si>
  <si>
    <t>Spa &amp; Wellness</t>
  </si>
  <si>
    <t>Cluster 4</t>
  </si>
  <si>
    <t>Energy Other (ESG)</t>
  </si>
  <si>
    <t>Cluster 5</t>
  </si>
  <si>
    <t xml:space="preserve">Total </t>
  </si>
  <si>
    <t>TOTAL ADJUSGTED CAPEX</t>
  </si>
  <si>
    <t xml:space="preserve">ROOMS </t>
  </si>
  <si>
    <t xml:space="preserve">141 rooms </t>
  </si>
  <si>
    <t xml:space="preserve">141 bathrooms </t>
  </si>
  <si>
    <t xml:space="preserve">1 bathroom family </t>
  </si>
  <si>
    <t xml:space="preserve">F&amp;B </t>
  </si>
  <si>
    <t xml:space="preserve">Eck bar </t>
  </si>
  <si>
    <t xml:space="preserve">Ingelheimer room </t>
  </si>
  <si>
    <t xml:space="preserve">LOBBY </t>
  </si>
  <si>
    <t>LOBBY</t>
  </si>
  <si>
    <t>SPA &amp;WELLNES</t>
  </si>
  <si>
    <t>ENERGY OTHER (ESG)</t>
  </si>
  <si>
    <t xml:space="preserve">TOTAL </t>
  </si>
  <si>
    <t>BEDROOMS RENOVATION</t>
  </si>
  <si>
    <t>BATHROOMS RENOVATION</t>
  </si>
  <si>
    <t>F&amp;B ( restaurants+bar)</t>
  </si>
  <si>
    <t>SPA &amp; WELLNESS</t>
  </si>
  <si>
    <t>ENERGY (ESG)</t>
  </si>
  <si>
    <t>SSIZE (sqm)</t>
  </si>
  <si>
    <t>TOTAL SOFT RENOVATION (sqm)</t>
  </si>
  <si>
    <t>TYPE OF ROOM</t>
  </si>
  <si>
    <t>TYPE OF F&amp;B</t>
  </si>
  <si>
    <t xml:space="preserve">TYPE OF MEETING ROOMS </t>
  </si>
  <si>
    <t>TOTAL HARD RENOVATION (sqm)</t>
  </si>
  <si>
    <t>Le Capricorne</t>
  </si>
  <si>
    <t>Ballroom</t>
  </si>
  <si>
    <t>Terrace (Hofgarten)</t>
  </si>
  <si>
    <t>Diana Room</t>
  </si>
  <si>
    <t xml:space="preserve">Ingelheimer Room </t>
  </si>
  <si>
    <t>Schöne Aussicht</t>
  </si>
  <si>
    <t>Kochbrunnen room</t>
  </si>
  <si>
    <t>Drei Lilien Room</t>
  </si>
  <si>
    <t>Noreberg Room</t>
  </si>
  <si>
    <t xml:space="preserve">Mattiaca Room </t>
  </si>
  <si>
    <t>Last renovation 2014</t>
  </si>
  <si>
    <t>Guestroom Soft goods Renovation - Individual Room</t>
  </si>
  <si>
    <t>Cost Allocations</t>
  </si>
  <si>
    <t>Guest Bathroom Softgoods Renovation - Individual Room</t>
  </si>
  <si>
    <t>Bar / Lounge Hard Renovation - Eck Bar</t>
  </si>
  <si>
    <t>Last renovation 2017</t>
  </si>
  <si>
    <t>Last Renovation 2010</t>
  </si>
  <si>
    <t>Category</t>
  </si>
  <si>
    <t>HVS  Cost (USD)</t>
  </si>
  <si>
    <t>Actual Cost (USD)</t>
  </si>
  <si>
    <t>Soft Good</t>
  </si>
  <si>
    <t>Construction</t>
  </si>
  <si>
    <t xml:space="preserve">Meeting Rooms SoftGoods Renovation </t>
  </si>
  <si>
    <t>Lobby Hard Renovation</t>
  </si>
  <si>
    <t>Energy (ESG)</t>
  </si>
  <si>
    <t>Demolition</t>
  </si>
  <si>
    <r>
      <t>HVS Area m</t>
    </r>
    <r>
      <rPr>
        <sz val="12"/>
        <color theme="1"/>
        <rFont val="Calibri"/>
        <family val="2"/>
      </rPr>
      <t>2</t>
    </r>
  </si>
  <si>
    <t>Actual Area m2</t>
  </si>
  <si>
    <t>Department</t>
  </si>
  <si>
    <t>Size (sqm)</t>
  </si>
  <si>
    <t>Actual Cost (€)</t>
  </si>
  <si>
    <t>€/sqm</t>
  </si>
  <si>
    <t>FF&amp;E Installation</t>
  </si>
  <si>
    <t>Artwork (Installed)</t>
  </si>
  <si>
    <t>Artwork, Accessories, and Mirrors (Installed)</t>
  </si>
  <si>
    <t>HVS Area m2</t>
  </si>
  <si>
    <t>Indoor Pool</t>
  </si>
  <si>
    <t>Updating Light to LED</t>
  </si>
  <si>
    <t>https://dominionlighting.com/commercial-lighting-installation/</t>
  </si>
  <si>
    <t>Artwork, Mirrors, and Accessories (Installed Package)</t>
  </si>
  <si>
    <t>Lighted Mirror</t>
  </si>
  <si>
    <t>Bar / Back Bar (Refinish)</t>
  </si>
  <si>
    <t>Carpet and Pad</t>
  </si>
  <si>
    <t>Artwork and Artifacts (installed)</t>
  </si>
  <si>
    <t>Wet Area</t>
  </si>
  <si>
    <t>Full-height Framed Dressing Mirror</t>
  </si>
  <si>
    <t>Makeup Mirror</t>
  </si>
  <si>
    <t>Carpet and Pad (55% of Floor Area)</t>
  </si>
  <si>
    <t>Paint Articulated Drywall Ceiling</t>
  </si>
  <si>
    <t>Are Rugs</t>
  </si>
  <si>
    <t>Dry Are</t>
  </si>
  <si>
    <t xml:space="preserve">Bed Skirt or Box Spring Cover </t>
  </si>
  <si>
    <t>Night Light</t>
  </si>
  <si>
    <t>Millwork Running Trim (refinish)</t>
  </si>
  <si>
    <t>Paint Doors and Trim</t>
  </si>
  <si>
    <t>Millwork (Refinish)</t>
  </si>
  <si>
    <t>Total (USD)</t>
  </si>
  <si>
    <t>Spa &amp; Wellnes</t>
  </si>
  <si>
    <t>Decorative Pillow</t>
  </si>
  <si>
    <t>Paint Ceiling</t>
  </si>
  <si>
    <t>Paint Drywall Ceiling</t>
  </si>
  <si>
    <t>Millwork Running Trim (Refinish - Stained Hardwood Crown, Chair, and Base)</t>
  </si>
  <si>
    <t>Millwork Screen Walls (Refinish)</t>
  </si>
  <si>
    <t>Total (EUR)</t>
  </si>
  <si>
    <t>Meetings Room</t>
  </si>
  <si>
    <t>Vinyl Wallcovering (LY 54")</t>
  </si>
  <si>
    <t>Protect / Remove / Reinstall All Light Fixtures</t>
  </si>
  <si>
    <t>F&amp;B</t>
  </si>
  <si>
    <t>Desk Lamp</t>
  </si>
  <si>
    <t>Curved Shower Rod</t>
  </si>
  <si>
    <t xml:space="preserve">Paint Doors and Trim </t>
  </si>
  <si>
    <t xml:space="preserve">Retail </t>
  </si>
  <si>
    <t>Floor Lamp</t>
  </si>
  <si>
    <t>Paint Door and Trim</t>
  </si>
  <si>
    <t>Reupholster Banquettes</t>
  </si>
  <si>
    <t>Window Treatments (with Hardware and Installation)</t>
  </si>
  <si>
    <t>Vinyl Wallcovering (LY 54", 40% Openings)</t>
  </si>
  <si>
    <t>End Table Lamp</t>
  </si>
  <si>
    <t>Regrout Floor Tile</t>
  </si>
  <si>
    <t>Dining Chairs (With Arms, including Fabric)</t>
  </si>
  <si>
    <t>Operable Partition Wallcovering</t>
  </si>
  <si>
    <t>Nightstands or Bracket Lamp (2)</t>
  </si>
  <si>
    <t xml:space="preserve"> Regrout Wall Tile</t>
  </si>
  <si>
    <t>Dining Chairs (No Arms, including Fabric)</t>
  </si>
  <si>
    <t xml:space="preserve">Seating Groups </t>
  </si>
  <si>
    <t>Architectural Lighting</t>
  </si>
  <si>
    <t>Assumption</t>
  </si>
  <si>
    <t>Welcome Light (in Existing Location)</t>
  </si>
  <si>
    <t>Bar Stools (including Fabric)</t>
  </si>
  <si>
    <t>Additional Demolition</t>
  </si>
  <si>
    <t>Desk Chair (inluding Fabric)</t>
  </si>
  <si>
    <t>Seating Group</t>
  </si>
  <si>
    <t>Decorative Lighting</t>
  </si>
  <si>
    <t>Pool Furniture</t>
  </si>
  <si>
    <t>Lounge Chair (including Fabric)</t>
  </si>
  <si>
    <t>CAPEX Adjusted to number of rooms</t>
  </si>
  <si>
    <t>Electrical</t>
  </si>
  <si>
    <t>Decorative Water Feature (Allowance)</t>
  </si>
  <si>
    <t>Ottoman (including Fabric)</t>
  </si>
  <si>
    <t>Bar Die and Top (New in Existing Location)</t>
  </si>
  <si>
    <t>Hard Surface Flooring</t>
  </si>
  <si>
    <t>Signage (Life Safety, Pool Rules)</t>
  </si>
  <si>
    <t>Sleeper Sofa (including Fabric; Assumes King Rooms Only)</t>
  </si>
  <si>
    <t>Back Bar (New in Existing Location)</t>
  </si>
  <si>
    <t>HVAC</t>
  </si>
  <si>
    <t>Paint Textured or Drywall ceilling</t>
  </si>
  <si>
    <t>Bar Equipment</t>
  </si>
  <si>
    <t>Life Safety</t>
  </si>
  <si>
    <t>Paint Trim (base and Crown)</t>
  </si>
  <si>
    <t>Articulated Drywall Ceiling (New)</t>
  </si>
  <si>
    <t>Paint Entry Doors, Closet Doors, Frames, and Grilles</t>
  </si>
  <si>
    <t>Banquettes</t>
  </si>
  <si>
    <t>Front Desk (New Pods, in Existing Location)</t>
  </si>
  <si>
    <t>Wet Area (HVS Public restrooms)</t>
  </si>
  <si>
    <t>Vinyl Wallcovering (LY54")</t>
  </si>
  <si>
    <t>Communal Table</t>
  </si>
  <si>
    <t>Front Desk Equipment</t>
  </si>
  <si>
    <t>Window Treatment (sheer, blackout, hardware, installed)</t>
  </si>
  <si>
    <t>Communal Table Chairs</t>
  </si>
  <si>
    <t>Concierge Desk</t>
  </si>
  <si>
    <t>Bell Stand</t>
  </si>
  <si>
    <t>Artwork and Artifacts (Installed)</t>
  </si>
  <si>
    <t>Millwork Running Trim (Stained Hardwood Crown and Base)</t>
  </si>
  <si>
    <t>Backlit Mirror</t>
  </si>
  <si>
    <t>CAPEX Adjusted to type &amp; number of rooms</t>
  </si>
  <si>
    <t>Tile Flooring (45% of Floor Area</t>
  </si>
  <si>
    <t>Millwork Screen Walls (New)</t>
  </si>
  <si>
    <t xml:space="preserve">Paint Drywall Ceiling </t>
  </si>
  <si>
    <t>Paint Doors and Trimm</t>
  </si>
  <si>
    <t>Guestroom Soft goods Renovation - Standard Room</t>
  </si>
  <si>
    <t>Guest Bathroom Softgoods Renovation - Standard Room</t>
  </si>
  <si>
    <t>Sound System</t>
  </si>
  <si>
    <t>Drywall Partitions</t>
  </si>
  <si>
    <t>Decorative Vanity Lighting</t>
  </si>
  <si>
    <t>Millwork Running Trim (Stained Hi-dwood Crown, Chair, and Base)</t>
  </si>
  <si>
    <t>Business Center (Millwork / Finishes / Seating)</t>
  </si>
  <si>
    <t>Other Seating and Tables (Allowance)</t>
  </si>
  <si>
    <t>TVs - 50" LCD HD</t>
  </si>
  <si>
    <t>Dry Area (HVS Exercice)</t>
  </si>
  <si>
    <t>Tables</t>
  </si>
  <si>
    <t>Hamper</t>
  </si>
  <si>
    <t>Towel Caddy</t>
  </si>
  <si>
    <t>Bar / Lounge Hard Renovation - Ingelheimer Room</t>
  </si>
  <si>
    <t>Flooring</t>
  </si>
  <si>
    <t>Mirrors</t>
  </si>
  <si>
    <t>Guestroom Soft goods Renovation - Superior Room</t>
  </si>
  <si>
    <t>Guest Bathroom Softgoods Renovation - Superior Room</t>
  </si>
  <si>
    <t>Tile Flooring (45% of Floor Area)</t>
  </si>
  <si>
    <t>Guestroom Soft goods Renovation - Premium Room</t>
  </si>
  <si>
    <t>Guest Bathroom Softgoods Renovation - Premium Room</t>
  </si>
  <si>
    <t>CAPEX Adjusted to German Market and number of rooms</t>
  </si>
  <si>
    <t>Guestroom Soft goods Renovation - Junior suite</t>
  </si>
  <si>
    <t>Guest Bathroom Softgoods Renovation - Junior Suite</t>
  </si>
  <si>
    <t xml:space="preserve">Guestroom Soft goods Renovation - One Bedroom Suite </t>
  </si>
  <si>
    <t>Guest Bathroom Softgoods Renovation - One Bedroom Suite</t>
  </si>
  <si>
    <t>Guestroom Hard  Renovation - Family Room</t>
  </si>
  <si>
    <t>Guest Bathroom Hard Renovation - Family Room</t>
  </si>
  <si>
    <t>Replace Bathroom Door and Hardware</t>
  </si>
  <si>
    <t>Electrical Upgrades (Add One GFI Outlet)</t>
  </si>
  <si>
    <t>Tub-to-Shower Conversion (New Pan, Tile Surround, Valve, and Shower Head)</t>
  </si>
  <si>
    <t>Shower Valve and Head, Tub Diverter, Tub Drain</t>
  </si>
  <si>
    <t>Tub Surround (Tile)</t>
  </si>
  <si>
    <t>Lavatory</t>
  </si>
  <si>
    <t>Faucet (and Connections)</t>
  </si>
  <si>
    <t>Vanity Top</t>
  </si>
  <si>
    <t>Vanity Base</t>
  </si>
  <si>
    <t>Casegoods Intallation</t>
  </si>
  <si>
    <t>Toilet Accessories</t>
  </si>
  <si>
    <t>King Bed (box spring, matress, and frame)</t>
  </si>
  <si>
    <t>Tile Flooring</t>
  </si>
  <si>
    <t>Headboard</t>
  </si>
  <si>
    <t>Toilet and Seat</t>
  </si>
  <si>
    <t>Nightstands</t>
  </si>
  <si>
    <t>Dresser</t>
  </si>
  <si>
    <t>Desk</t>
  </si>
  <si>
    <t>Side Table</t>
  </si>
  <si>
    <t>Coffee Table</t>
  </si>
  <si>
    <t xml:space="preserve">Closet Shelf Unit </t>
  </si>
  <si>
    <t>Refrigerator Cabinet / Welcome Center</t>
  </si>
  <si>
    <t xml:space="preserve">Mini Refrigator </t>
  </si>
  <si>
    <t>Crown Molding</t>
  </si>
  <si>
    <t>Drapery Valance - Painted Wood</t>
  </si>
  <si>
    <t>Wood Base</t>
  </si>
  <si>
    <t>Entry Area Hard Surface Flooring</t>
  </si>
  <si>
    <t xml:space="preserve">TV and Mount (HD LCD, including Programming Allowance </t>
  </si>
  <si>
    <t>1 - CAPEX PLANNING</t>
  </si>
  <si>
    <t>CAPEX by week</t>
  </si>
  <si>
    <t>Duration (w)</t>
  </si>
  <si>
    <t>January</t>
  </si>
  <si>
    <t>February</t>
  </si>
  <si>
    <t>March</t>
  </si>
  <si>
    <t>April</t>
  </si>
  <si>
    <t>May</t>
  </si>
  <si>
    <t>June</t>
  </si>
  <si>
    <t>July</t>
  </si>
  <si>
    <t>August</t>
  </si>
  <si>
    <t>September</t>
  </si>
  <si>
    <t>October</t>
  </si>
  <si>
    <t>November</t>
  </si>
  <si>
    <t>December</t>
  </si>
  <si>
    <t>Spa</t>
  </si>
  <si>
    <t>Meeting  Rooms</t>
  </si>
  <si>
    <t>Eck bar + Extention</t>
  </si>
  <si>
    <t>Ingelmeir Convertion</t>
  </si>
  <si>
    <t>ESG other</t>
  </si>
  <si>
    <t>Total CAPEX</t>
  </si>
  <si>
    <t>CAPEX by month</t>
  </si>
  <si>
    <t>Duration (m)</t>
  </si>
  <si>
    <t xml:space="preserve">June </t>
  </si>
  <si>
    <t xml:space="preserve">July </t>
  </si>
  <si>
    <t xml:space="preserve">October </t>
  </si>
  <si>
    <t xml:space="preserve">November </t>
  </si>
  <si>
    <t xml:space="preserve">January </t>
  </si>
  <si>
    <t>ESG oher</t>
  </si>
  <si>
    <t>Total N/A ajustment Capex$</t>
  </si>
  <si>
    <t>Renovation chambre soft</t>
  </si>
  <si>
    <t xml:space="preserve">Family room Hard </t>
  </si>
  <si>
    <t xml:space="preserve">Rooms Renovation </t>
  </si>
  <si>
    <r>
      <t>HVS Area m</t>
    </r>
    <r>
      <rPr>
        <sz val="12"/>
        <color theme="1"/>
        <rFont val="Aptos Narrow (Body)"/>
      </rPr>
      <t>2</t>
    </r>
  </si>
  <si>
    <t>Total Capex</t>
  </si>
  <si>
    <t>Total</t>
  </si>
  <si>
    <t xml:space="preserve">Nb of Rooms </t>
  </si>
  <si>
    <t>Guestroom Soft goods Renovation - Family Room</t>
  </si>
  <si>
    <t>Days open</t>
  </si>
  <si>
    <t>REVENUE</t>
  </si>
  <si>
    <t>Total Rooms Revenue</t>
  </si>
  <si>
    <t>Revenue POR</t>
  </si>
  <si>
    <t xml:space="preserve">Inflation </t>
  </si>
  <si>
    <t>Av. augmentation ADR</t>
  </si>
  <si>
    <t>Av. Augmentation Occ</t>
  </si>
  <si>
    <t>Augmentation totale</t>
  </si>
  <si>
    <t xml:space="preserve">ADR Growth Rate </t>
  </si>
  <si>
    <t xml:space="preserve">Occupancy </t>
  </si>
  <si>
    <t>Source ADR</t>
  </si>
  <si>
    <t>https://www.hvs.com/Jump/?c=6807&amp;f=3514.pdf&amp;rt=2&amp;utm_source=chatgpt.com</t>
  </si>
  <si>
    <t>https://www.destatis.de/EN/Themes/Economy/Prices/Consumer-Price-Index/_node.html?utm</t>
  </si>
  <si>
    <t xml:space="preserve">lobby  renovation soft </t>
  </si>
  <si>
    <t xml:space="preserve">Restaurant ajouté le midi et soir </t>
  </si>
  <si>
    <t>Cassé mur bar-lobby</t>
  </si>
  <si>
    <t>Meeting room  renovation soft</t>
  </si>
  <si>
    <t>Terrace (Hogarden)</t>
  </si>
  <si>
    <t xml:space="preserve">Eck Bar </t>
  </si>
  <si>
    <t>Restaurant Softgoods Renovation - Le Capricorne</t>
  </si>
  <si>
    <t>Carpet and Pad (75% of Floor Area)</t>
  </si>
  <si>
    <t>Millwork Buffet, Host Station (refinish)</t>
  </si>
  <si>
    <t>Millwork Running Trim (Refinish - Hardwood Crown, Chair, and Base)</t>
  </si>
  <si>
    <t>Paint Drywall Ceilin</t>
  </si>
  <si>
    <t>Vinyl Wallcovering (LY 54", 40% Openning)</t>
  </si>
  <si>
    <t>Restaurant Softgoods Renovation - Terrace (Hofgarten)</t>
  </si>
  <si>
    <t>Bar / Lounge Softgoods Renovation - Eck Bar</t>
  </si>
  <si>
    <t>Exercise Facility Softgoods Renovation</t>
  </si>
  <si>
    <t>Clock</t>
  </si>
  <si>
    <t>Sport Flooring</t>
  </si>
  <si>
    <t>Remove and Reinstall Exercise Equipment</t>
  </si>
  <si>
    <t xml:space="preserve">Exercise Facility - Add for a Full Renovation </t>
  </si>
  <si>
    <t>Exercise Equipment (Installed)</t>
  </si>
  <si>
    <t>Millwork Lockers</t>
  </si>
  <si>
    <t>TVs and Mounts (42", including Programming Allowance)</t>
  </si>
  <si>
    <t>Water Fountain</t>
  </si>
  <si>
    <t>Comments - Impact criteria</t>
  </si>
  <si>
    <t>Name</t>
  </si>
  <si>
    <t>number</t>
  </si>
  <si>
    <t>source</t>
  </si>
  <si>
    <t>Germany Hospitality  Market Growth</t>
  </si>
  <si>
    <t>https://www.sphericalinsights.com/fr/reports/germany-hospitality-market</t>
  </si>
  <si>
    <t>Inflation growth</t>
  </si>
  <si>
    <t>https://www.statista.com/statistics/375207/inflation-rate-in-germany/</t>
  </si>
  <si>
    <t>Inflation of heat and power</t>
  </si>
  <si>
    <t xml:space="preserve">Inflation of property tax </t>
  </si>
  <si>
    <t xml:space="preserve">Inflation des salaire </t>
  </si>
  <si>
    <t>% de rooms sallaire + inflation</t>
  </si>
  <si>
    <t>1- INCREMENTAL CASH FLOW</t>
  </si>
  <si>
    <t>INCREMENTAL TOTAL</t>
  </si>
  <si>
    <t>Alternative Case Rooms</t>
  </si>
  <si>
    <t> </t>
  </si>
  <si>
    <t>KPI</t>
  </si>
  <si>
    <t>Discount Rate</t>
  </si>
  <si>
    <t>Alternative Case Revenue</t>
  </si>
  <si>
    <t>Payback (years)</t>
  </si>
  <si>
    <t>Alternative Case GOP</t>
  </si>
  <si>
    <t xml:space="preserve">Payback Months </t>
  </si>
  <si>
    <t>Alternative Case EBITDA</t>
  </si>
  <si>
    <t>ROI</t>
  </si>
  <si>
    <t>Flow Through</t>
  </si>
  <si>
    <t>AROI</t>
  </si>
  <si>
    <t>Yield</t>
  </si>
  <si>
    <t>NPV</t>
  </si>
  <si>
    <t>Normal Situation Unrenovated Rooms</t>
  </si>
  <si>
    <t>Normal Situation Revenue</t>
  </si>
  <si>
    <t>Normall Situation GOP</t>
  </si>
  <si>
    <t>Normal Situation EBITDA</t>
  </si>
  <si>
    <t>Cost Breakdown</t>
  </si>
  <si>
    <t xml:space="preserve">FF&amp;E </t>
  </si>
  <si>
    <t>Soft Goods</t>
  </si>
  <si>
    <t>FF&amp;E 20%</t>
  </si>
  <si>
    <t>Contractor markeup 15%</t>
  </si>
  <si>
    <t>Capex Reserve Check 6%</t>
  </si>
  <si>
    <t>Contigency 10%</t>
  </si>
  <si>
    <t xml:space="preserve"> CAPEX </t>
  </si>
  <si>
    <t>Incremental EBITDA</t>
  </si>
  <si>
    <t>Incremental Cashflow</t>
  </si>
  <si>
    <t>Cumulative CashFlow</t>
  </si>
  <si>
    <t>INCREMENTAL ROOMS</t>
  </si>
  <si>
    <t>Alternative Case Expenses</t>
  </si>
  <si>
    <t>Alternative Case Profit</t>
  </si>
  <si>
    <t xml:space="preserve">Days in Year </t>
  </si>
  <si>
    <t>Old Rooms Revenue</t>
  </si>
  <si>
    <t>Old Rooms Expenses</t>
  </si>
  <si>
    <t xml:space="preserve">Old Rooms Profit </t>
  </si>
  <si>
    <t>Cashflow for ROI</t>
  </si>
  <si>
    <t>INCREMENTAL F&amp;B / LOBBY</t>
  </si>
  <si>
    <t>INCREMENTAL MEETING ROOMS</t>
  </si>
  <si>
    <t>INCREMENTAL SPA &amp; WELLNESS</t>
  </si>
  <si>
    <t>1- SENSITIVITY</t>
  </si>
  <si>
    <t xml:space="preserve">Room Available </t>
  </si>
  <si>
    <t xml:space="preserve">Room Sold </t>
  </si>
  <si>
    <t xml:space="preserve">P&amp;L Normal </t>
  </si>
  <si>
    <t>Occ%</t>
  </si>
  <si>
    <t>Total Departemental Profit</t>
  </si>
  <si>
    <t>P&amp;L Modified</t>
  </si>
  <si>
    <t>ADR Down lift (-3%)</t>
  </si>
  <si>
    <t>Occ% Down lift (-3%)</t>
  </si>
  <si>
    <t xml:space="preserve">ADR Down lift </t>
  </si>
  <si>
    <t>Rooms Revenue</t>
  </si>
  <si>
    <t>Capex</t>
  </si>
  <si>
    <t>Incremental Cash Flow</t>
  </si>
  <si>
    <t>ADR Uplift (+3%)</t>
  </si>
  <si>
    <t>Occ% Up lift (+3%)</t>
  </si>
  <si>
    <t xml:space="preserve">Sensitivity Ratio </t>
  </si>
  <si>
    <t>ADR Down lift</t>
  </si>
  <si>
    <t>Occ% Down lift</t>
  </si>
  <si>
    <t>ADR Up lift</t>
  </si>
  <si>
    <t>Occ% Up lift</t>
  </si>
  <si>
    <t>Profit down lift</t>
  </si>
  <si>
    <t>Profit Down lift</t>
  </si>
  <si>
    <t>Profit Up filt</t>
  </si>
  <si>
    <t>GOP Down lift</t>
  </si>
  <si>
    <t>GOP Up lift</t>
  </si>
  <si>
    <t>ADR Downlift</t>
  </si>
  <si>
    <t xml:space="preserve">Occ% Down lift </t>
  </si>
  <si>
    <t>Occ% Downlift</t>
  </si>
  <si>
    <t>Sensitivity form Revenu to ADR</t>
  </si>
  <si>
    <t>Sensitivity form Revenu to Occ</t>
  </si>
  <si>
    <t>Sensitivity from GOP to ADR</t>
  </si>
  <si>
    <t>Sensitivity from GOP to Occ</t>
  </si>
  <si>
    <t>ADR Uplift</t>
  </si>
  <si>
    <t>Occ% Uplift</t>
  </si>
  <si>
    <t xml:space="preserve">Appendix-1 </t>
  </si>
  <si>
    <t>Tab 2 - Data by Measure</t>
  </si>
  <si>
    <t>Job Number: 1582490_SADIM     Staff: KM     Created: September 26, 2025     Currency : EUR - Euro</t>
  </si>
  <si>
    <t>Occupancy (%)</t>
  </si>
  <si>
    <t>Total Year</t>
  </si>
  <si>
    <t>Aug YTD</t>
  </si>
  <si>
    <t>Avg</t>
  </si>
  <si>
    <t>ADR (EUR)</t>
  </si>
  <si>
    <t>Props:</t>
  </si>
  <si>
    <t>Rooms:</t>
  </si>
  <si>
    <t>Occupancy:</t>
  </si>
  <si>
    <t>ADR:</t>
  </si>
  <si>
    <t>RevPAR:</t>
  </si>
  <si>
    <t>2025 Custom HOST Report</t>
  </si>
  <si>
    <t>TrevPAR:</t>
  </si>
  <si>
    <t>Summary</t>
  </si>
  <si>
    <t>GOPPAR:</t>
  </si>
  <si>
    <t>Currency:</t>
  </si>
  <si>
    <t>EUR</t>
  </si>
  <si>
    <r>
      <rPr>
        <b/>
        <sz val="10"/>
        <color indexed="9"/>
        <rFont val="Arial"/>
        <family val="2"/>
      </rPr>
      <t xml:space="preserve">Ratio to Sales </t>
    </r>
    <r>
      <rPr>
        <b/>
        <vertAlign val="superscript"/>
        <sz val="14"/>
        <color indexed="9"/>
        <rFont val="Arial"/>
        <family val="2"/>
      </rPr>
      <t>1</t>
    </r>
  </si>
  <si>
    <t>Amount Per Available Room</t>
  </si>
  <si>
    <t>Amount Per Occupied Room Night</t>
  </si>
  <si>
    <t>Food</t>
  </si>
  <si>
    <t>Beverage</t>
  </si>
  <si>
    <t>Other Food &amp; Beverage</t>
  </si>
  <si>
    <t>Other Operated Departments</t>
  </si>
  <si>
    <t>Miscellaneous Income</t>
  </si>
  <si>
    <t xml:space="preserve">      TOTAL REVENUE</t>
  </si>
  <si>
    <t xml:space="preserve">DEPARTMENTAL EXPENSES </t>
  </si>
  <si>
    <t>Food &amp; Beverage</t>
  </si>
  <si>
    <t xml:space="preserve">      TOTAL DEPARTMENTAL EXPENSES</t>
  </si>
  <si>
    <t>DEPARTMENTAL PROFITS</t>
  </si>
  <si>
    <t xml:space="preserve">      TOTAL DEPARTMENTAL PROFITS</t>
  </si>
  <si>
    <t>UNDISTRIBUTED OPERATING EXPENSES</t>
  </si>
  <si>
    <t>Administrative &amp; General</t>
  </si>
  <si>
    <t>Information &amp; Telecommunications Systems</t>
  </si>
  <si>
    <r>
      <t>Marketing</t>
    </r>
    <r>
      <rPr>
        <i/>
        <sz val="12"/>
        <color rgb="FF000000"/>
        <rFont val="Arial"/>
        <family val="2"/>
      </rPr>
      <t xml:space="preserve"> (</t>
    </r>
    <r>
      <rPr>
        <b/>
        <i/>
        <sz val="12"/>
        <color rgb="FF000000"/>
        <rFont val="Arial"/>
        <family val="2"/>
      </rPr>
      <t>excluding</t>
    </r>
    <r>
      <rPr>
        <i/>
        <sz val="12"/>
        <color rgb="FF000000"/>
        <rFont val="Arial"/>
        <family val="2"/>
      </rPr>
      <t xml:space="preserve"> Franchise Fees)</t>
    </r>
  </si>
  <si>
    <r>
      <rPr>
        <sz val="12"/>
        <rFont val="Arial"/>
        <family val="2"/>
      </rPr>
      <t>Franchise Fees (</t>
    </r>
    <r>
      <rPr>
        <i/>
        <sz val="12"/>
        <color rgb="FF000000"/>
        <rFont val="Arial"/>
        <family val="2"/>
      </rPr>
      <t>royalty, loyalty, and marketing)</t>
    </r>
  </si>
  <si>
    <t>Utility Costs</t>
  </si>
  <si>
    <t>Property Operation &amp; Maintenance</t>
  </si>
  <si>
    <t xml:space="preserve">      TOTAL UNDISTRIBUTED OPERATING EXPENSES</t>
  </si>
  <si>
    <t>GROSS OPERATING PROFIT</t>
  </si>
  <si>
    <t>Base Management Fees</t>
  </si>
  <si>
    <t>Incentive Management Fees</t>
  </si>
  <si>
    <t>INCOME BEFORE FIXED CHARGES</t>
  </si>
  <si>
    <t>SELECTED FIXED CHARGES</t>
  </si>
  <si>
    <t>Property Taxes</t>
  </si>
  <si>
    <t>Insurance</t>
  </si>
  <si>
    <t>EBITDA</t>
  </si>
  <si>
    <t>Reserve For Capital Replacement</t>
  </si>
  <si>
    <r>
      <rPr>
        <b/>
        <sz val="12"/>
        <rFont val="Arial"/>
        <family val="2"/>
      </rPr>
      <t>SUPPLEMENTAL LABOR ANALYSIS</t>
    </r>
    <r>
      <rPr>
        <b/>
        <vertAlign val="superscript"/>
        <sz val="12"/>
        <color rgb="FF000000"/>
        <rFont val="Arial"/>
        <family val="2"/>
      </rPr>
      <t xml:space="preserve"> </t>
    </r>
    <r>
      <rPr>
        <b/>
        <vertAlign val="superscript"/>
        <sz val="14"/>
        <color rgb="FF000000"/>
        <rFont val="Arial"/>
        <family val="2"/>
      </rPr>
      <t>3</t>
    </r>
  </si>
  <si>
    <t>Information &amp; Telecommunications</t>
  </si>
  <si>
    <t>Marketing</t>
  </si>
  <si>
    <t>Property Operations &amp; Maintenance</t>
  </si>
  <si>
    <t xml:space="preserve">      TOTAL LABOR COSTS</t>
  </si>
  <si>
    <r>
      <rPr>
        <b/>
        <sz val="12"/>
        <rFont val="Arial"/>
        <family val="2"/>
      </rPr>
      <t xml:space="preserve">SUPPLEMENTAL FOOD &amp; BEVERAGE INFORMATION </t>
    </r>
    <r>
      <rPr>
        <b/>
        <vertAlign val="superscript"/>
        <sz val="14"/>
        <color rgb="FF000000"/>
        <rFont val="Arial"/>
        <family val="2"/>
      </rPr>
      <t>3</t>
    </r>
  </si>
  <si>
    <t>Cost of Food Sales</t>
  </si>
  <si>
    <t>Cost of Beverage Sales</t>
  </si>
  <si>
    <t xml:space="preserve">      Total Cost of F&amp;B Sales</t>
  </si>
  <si>
    <t xml:space="preserve">      Food &amp; Beverage Labor</t>
  </si>
  <si>
    <t xml:space="preserve">      Food &amp; Beverage Other Expenses</t>
  </si>
  <si>
    <r>
      <rPr>
        <b/>
        <vertAlign val="superscript"/>
        <sz val="14"/>
        <rFont val="Arial"/>
        <family val="2"/>
      </rPr>
      <t>1</t>
    </r>
    <r>
      <rPr>
        <i/>
        <sz val="12"/>
        <color rgb="FF000000"/>
        <rFont val="Arial"/>
        <family val="2"/>
      </rPr>
      <t xml:space="preserve">    Ratio to Sales for departmental expenses and profits are based on their respective departmental revenues. All other expense ratios are based on total revenue.</t>
    </r>
  </si>
  <si>
    <r>
      <rPr>
        <b/>
        <vertAlign val="superscript"/>
        <sz val="14"/>
        <rFont val="Arial"/>
        <family val="2"/>
      </rPr>
      <t>2</t>
    </r>
    <r>
      <rPr>
        <i/>
        <sz val="12"/>
        <color rgb="FF000000"/>
        <rFont val="Arial"/>
        <family val="2"/>
      </rPr>
      <t xml:space="preserve">    EBITDA does not include Depreciation and Amortization, Interest, nor Income Taxes</t>
    </r>
  </si>
  <si>
    <r>
      <rPr>
        <b/>
        <vertAlign val="superscript"/>
        <sz val="14"/>
        <rFont val="Arial"/>
        <family val="2"/>
      </rPr>
      <t>3</t>
    </r>
    <r>
      <rPr>
        <i/>
        <sz val="12"/>
        <color rgb="FF000000"/>
        <rFont val="Arial"/>
        <family val="2"/>
      </rPr>
      <t xml:space="preserve">    Labor and Costs of Sales are included in expenses. Amounts shown here are for additional detail only. Not all participants provide detailed data on payroll and F&amp;B costs; therefore, the following supplemental analyses</t>
    </r>
  </si>
  <si>
    <t xml:space="preserve">      provide the ratios for only these hotels in the samples that reported detailed information. Consequently, the amounts may not tie to the departmental figures provided.</t>
  </si>
  <si>
    <t>Please note for summary tab:</t>
  </si>
  <si>
    <t>Totals may not add due to rounding</t>
  </si>
  <si>
    <t>Ratio to sales based on Total Revenue, except Departmental Expenses</t>
  </si>
  <si>
    <t>Per Available Room based on total total number of hotel rooms</t>
  </si>
  <si>
    <t xml:space="preserve">Per Occupied Room Night based on total number of occupied rooms </t>
  </si>
  <si>
    <t>Appendix-2</t>
  </si>
  <si>
    <t xml:space="preserve">Sensitivity </t>
  </si>
  <si>
    <t>GOP with Renovations</t>
  </si>
  <si>
    <t>GOP without Renovations</t>
  </si>
  <si>
    <t>EBITDA with Renovations</t>
  </si>
  <si>
    <t>EBITDA without Renovations</t>
  </si>
  <si>
    <t>With Capex</t>
  </si>
  <si>
    <t>Without Capex</t>
  </si>
  <si>
    <t>Hotel</t>
  </si>
  <si>
    <t>Compset</t>
  </si>
  <si>
    <t>Oct</t>
  </si>
  <si>
    <t>Nov</t>
  </si>
  <si>
    <t>Dec</t>
  </si>
  <si>
    <t>Jan</t>
  </si>
  <si>
    <t>Feb</t>
  </si>
  <si>
    <t>Mar</t>
  </si>
  <si>
    <t>Apr</t>
  </si>
  <si>
    <t>Jun</t>
  </si>
  <si>
    <t>Jul</t>
  </si>
  <si>
    <t>Aug</t>
  </si>
  <si>
    <t>Sep</t>
  </si>
  <si>
    <t>MPI</t>
  </si>
  <si>
    <t>ARI</t>
  </si>
  <si>
    <t>RGI</t>
  </si>
  <si>
    <t>CPOR</t>
  </si>
  <si>
    <t xml:space="preserve">Hotel </t>
  </si>
  <si>
    <t>rooms available</t>
  </si>
  <si>
    <t>OCC%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</si>
</sst>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41" formatCode="_ * #,##0_ ;_ * \-#,##0_ ;_ * &quot;-&quot;_ ;_ @_ "/>
    <numFmt numFmtId="44" formatCode="_ &quot;CHF&quot;\ * #,##0.00_ ;_ &quot;CHF&quot;\ * \-#,##0.00_ ;_ &quot;CHF&quot;\ * &quot;-&quot;??_ ;_ @_ "/>
    <numFmt numFmtId="43" formatCode="_ * #,##0.00_ ;_ * \-#,##0.00_ ;_ * &quot;-&quot;??_ ;_ @_ "/>
    <numFmt numFmtId="164" formatCode="&quot;$&quot;#,##0_);[Red]\(&quot;$&quot;#,##0\)"/>
    <numFmt numFmtId="165" formatCode="_(* #,##0.00_);_(* \(#,##0.00\);_(* &quot;-&quot;??_);_(@_)"/>
    <numFmt numFmtId="166" formatCode="_ [$€-2]\ * #,##0.00_ ;_ [$€-2]\ * \-#,##0.00_ ;_ [$€-2]\ * &quot;-&quot;??_ ;_ @_ "/>
    <numFmt numFmtId="167" formatCode="0.0%"/>
    <numFmt numFmtId="168" formatCode="0.000%"/>
    <numFmt numFmtId="169" formatCode="&quot;€&quot;#,##0.00"/>
    <numFmt numFmtId="170" formatCode="_(#,##0.00_);_(\-#,##0.00_)"/>
    <numFmt numFmtId="171" formatCode="_(#,##0.0_);_(\-#,##0.0_)"/>
    <numFmt numFmtId="172" formatCode="_(#,##0_);_(\-#,##0_)"/>
    <numFmt numFmtId="173" formatCode="0.0"/>
    <numFmt numFmtId="174" formatCode="_([$€-2]\ * #,##0.00_);_([$€-2]\ * \(#,##0.00\);_([$€-2]\ * &quot;-&quot;??_);_(@_)"/>
    <numFmt numFmtId="175" formatCode="###\ ###\ ###"/>
    <numFmt numFmtId="176" formatCode="#,##0.00_ ;\-#,##0.00\ "/>
    <numFmt numFmtId="177" formatCode="_([$$-409]* #,##0.00_);_([$$-409]* \(#,##0.00\);_([$$-409]* &quot;-&quot;??_);_(@_)"/>
    <numFmt numFmtId="178" formatCode="_([$€-2]\ * #,##0_);_([$€-2]\ * \(#,##0\);_([$€-2]\ * &quot;-&quot;??_);_(@_)"/>
    <numFmt numFmtId="179" formatCode="_-[$$-409]* #,##0.0000000_ ;_-[$$-409]* \-#,##0.0000000\ ;_-[$$-409]* &quot;-&quot;??_ ;_-@_ "/>
    <numFmt numFmtId="180" formatCode="_-[$$-409]* #,##0.00_ ;_-[$$-409]* \-#,##0.00\ ;_-[$$-409]* &quot;-&quot;??_ ;_-@_ "/>
    <numFmt numFmtId="181" formatCode="[$€-2]\ #,##0;[Red]\-[$€-2]\ #,##0"/>
    <numFmt numFmtId="182" formatCode="_ * #,##0_ ;_ * \-#,##0_ ;_ * &quot;-&quot;??_ ;_ @_ "/>
    <numFmt numFmtId="183" formatCode="_(* #,##0_);_(* \(#,##0\);_(* &quot;-&quot;??_);_(@_)"/>
    <numFmt numFmtId="184" formatCode="_ [$€-2]\ * #,##0_ ;_ [$€-2]\ * \-#,##0_ ;_ [$€-2]\ * &quot;-&quot;??_ ;_ @_ "/>
    <numFmt numFmtId="185" formatCode="_ * #,##0.0_ ;_ * \-#,##0.0_ ;_ * &quot;-&quot;??_ ;_ @_ "/>
    <numFmt numFmtId="186" formatCode="&quot;€&quot;#,##0"/>
    <numFmt numFmtId="187" formatCode="#,##0.00;[Red]\(#,##0.00\)"/>
    <numFmt numFmtId="188" formatCode="_(* #,##0.0_);_(* \(#,##0.0\);_(* &quot;-&quot;??_);_(@_)"/>
    <numFmt numFmtId="189" formatCode="#,##0;[Red]\(#,##0\)"/>
    <numFmt numFmtId="190" formatCode="_ * #,##0.0000_ ;_ * \-#,##0.0000_ ;_ * &quot;-&quot;??_ ;_ @_ "/>
    <numFmt numFmtId="191" formatCode="_ * #,##0.000000_ ;_ * \-#,##0.000000_ ;_ * &quot;-&quot;??_ ;_ @_ "/>
    <numFmt numFmtId="192" formatCode="_ * #,##0.0_ ;_ * \-#,##0.0_ ;_ * &quot;-&quot;?_ ;_ @_ "/>
    <numFmt numFmtId="193" formatCode="#,##0_ ;\-#,##0\ "/>
    <numFmt numFmtId="194" formatCode="_ [$€-2]\ * #,##0.000000000_ ;_ [$€-2]\ * \-#,##0.000000000_ ;_ [$€-2]\ * &quot;-&quot;??_ ;_ @_ "/>
    <numFmt numFmtId="195" formatCode="_ [$€-2]\ * #,##0.0_ ;_ [$€-2]\ * \-#,##0.0_ ;_ [$€-2]\ * &quot;-&quot;??_ ;_ @_ "/>
  </numFmts>
  <fonts count="122" x14ac:knownFonts="1">
    <font>
      <sz val="12"/>
      <color theme="1"/>
      <name val="Aptos Narrow"/>
      <family val="2"/>
      <scheme val="minor"/>
    </font>
    <font>
      <b/>
      <sz val="12"/>
      <color theme="1"/>
      <name val="Aptos Narrow"/>
      <family val="2"/>
      <scheme val="minor"/>
    </font>
    <font>
      <sz val="12"/>
      <color theme="1"/>
      <name val="Aptos Narrow"/>
      <family val="2"/>
      <scheme val="minor"/>
    </font>
    <font>
      <i/>
      <sz val="12"/>
      <color theme="1"/>
      <name val="Aptos Narrow"/>
      <family val="2"/>
      <scheme val="minor"/>
    </font>
    <font>
      <u/>
      <sz val="12"/>
      <color theme="10"/>
      <name val="Aptos Narrow"/>
      <family val="2"/>
      <scheme val="minor"/>
    </font>
    <font>
      <sz val="10"/>
      <name val="Helvetica Neue"/>
      <family val="2"/>
    </font>
    <font>
      <sz val="12"/>
      <name val="Aptos Narrow"/>
      <family val="2"/>
      <scheme val="minor"/>
    </font>
    <font>
      <b/>
      <sz val="12"/>
      <color theme="0"/>
      <name val="Aptos Narrow"/>
      <family val="2"/>
      <scheme val="minor"/>
    </font>
    <font>
      <i/>
      <sz val="14"/>
      <color theme="1"/>
      <name val="Aptos Narrow"/>
      <family val="2"/>
      <scheme val="minor"/>
    </font>
    <font>
      <sz val="10"/>
      <name val="Arial"/>
      <family val="2"/>
    </font>
    <font>
      <b/>
      <sz val="10"/>
      <name val="Arial"/>
      <family val="2"/>
    </font>
    <font>
      <sz val="10"/>
      <color indexed="9"/>
      <name val="Arial"/>
      <family val="2"/>
    </font>
    <font>
      <b/>
      <sz val="10"/>
      <color indexed="9"/>
      <name val="Arial"/>
      <family val="2"/>
    </font>
    <font>
      <sz val="11"/>
      <color rgb="FFFFFFFF"/>
      <name val="Helvetica Neue"/>
      <family val="2"/>
    </font>
    <font>
      <sz val="11"/>
      <color theme="1"/>
      <name val="Helvetica Neue"/>
      <family val="2"/>
    </font>
    <font>
      <b/>
      <sz val="18"/>
      <color theme="0"/>
      <name val="Aptos Display"/>
      <family val="2"/>
      <scheme val="major"/>
    </font>
    <font>
      <sz val="7.65"/>
      <color theme="1"/>
      <name val="Arial"/>
      <family val="2"/>
    </font>
    <font>
      <sz val="12"/>
      <color rgb="FFFF0000"/>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b/>
      <sz val="18"/>
      <color theme="3"/>
      <name val="Aptos Display"/>
      <family val="2"/>
      <scheme val="major"/>
    </font>
    <font>
      <sz val="11"/>
      <color theme="1"/>
      <name val="Aptos Narrow"/>
      <family val="2"/>
      <scheme val="minor"/>
    </font>
    <font>
      <b/>
      <sz val="14"/>
      <color theme="3"/>
      <name val="Aptos Narrow"/>
      <family val="2"/>
      <scheme val="minor"/>
    </font>
    <font>
      <sz val="14"/>
      <color theme="1"/>
      <name val="Aptos Narrow"/>
      <family val="2"/>
      <scheme val="minor"/>
    </font>
    <font>
      <b/>
      <sz val="26"/>
      <color theme="0"/>
      <name val="Aptos Display"/>
      <family val="2"/>
      <scheme val="major"/>
    </font>
    <font>
      <b/>
      <sz val="12"/>
      <color rgb="FFFF0000"/>
      <name val="Aptos Narrow"/>
      <family val="2"/>
      <scheme val="minor"/>
    </font>
    <font>
      <sz val="12"/>
      <color theme="1"/>
      <name val="Helvetica"/>
      <family val="2"/>
    </font>
    <font>
      <sz val="12"/>
      <color rgb="FF000000"/>
      <name val="Aptos Narrow"/>
      <family val="2"/>
      <scheme val="minor"/>
    </font>
    <font>
      <sz val="12"/>
      <color theme="1"/>
      <name val="Aptos Narrow (Body)"/>
    </font>
    <font>
      <b/>
      <sz val="16"/>
      <color theme="1"/>
      <name val="Aptos Narrow (Body)"/>
    </font>
    <font>
      <u/>
      <sz val="12"/>
      <color theme="1"/>
      <name val="Aptos Narrow"/>
      <family val="2"/>
      <scheme val="minor"/>
    </font>
    <font>
      <sz val="12"/>
      <color theme="0"/>
      <name val="Aptos Narrow"/>
      <family val="2"/>
      <scheme val="minor"/>
    </font>
    <font>
      <b/>
      <sz val="11"/>
      <color theme="1"/>
      <name val="Aptos Narrow"/>
      <family val="2"/>
      <scheme val="minor"/>
    </font>
    <font>
      <sz val="12"/>
      <color rgb="FF000000"/>
      <name val="Aptos Narrow"/>
    </font>
    <font>
      <b/>
      <sz val="12"/>
      <color rgb="FF000000"/>
      <name val="Aptos Narrow"/>
      <family val="2"/>
      <scheme val="minor"/>
    </font>
    <font>
      <sz val="12"/>
      <color theme="1"/>
      <name val="Calibri Light"/>
      <family val="2"/>
    </font>
    <font>
      <i/>
      <sz val="14"/>
      <color theme="1"/>
      <name val="Calibri Light"/>
      <family val="2"/>
    </font>
    <font>
      <b/>
      <sz val="12"/>
      <color theme="1"/>
      <name val="Calibri Light"/>
      <family val="2"/>
    </font>
    <font>
      <u/>
      <sz val="12"/>
      <color theme="10"/>
      <name val="Calibri Light"/>
      <family val="2"/>
    </font>
    <font>
      <b/>
      <sz val="20"/>
      <color theme="0"/>
      <name val="Calibri"/>
      <family val="2"/>
    </font>
    <font>
      <sz val="12"/>
      <color theme="1"/>
      <name val="Calibri"/>
      <family val="2"/>
    </font>
    <font>
      <b/>
      <sz val="12"/>
      <color theme="1"/>
      <name val="Calibri"/>
      <family val="2"/>
    </font>
    <font>
      <sz val="12"/>
      <color rgb="FFFF0000"/>
      <name val="Calibri"/>
      <family val="2"/>
    </font>
    <font>
      <sz val="20"/>
      <color theme="0"/>
      <name val="Calibri"/>
      <family val="2"/>
    </font>
    <font>
      <i/>
      <sz val="12"/>
      <color theme="1"/>
      <name val="Calibri"/>
      <family val="2"/>
    </font>
    <font>
      <sz val="12"/>
      <name val="Calibri"/>
      <family val="2"/>
    </font>
    <font>
      <b/>
      <sz val="12"/>
      <color rgb="FFFF0000"/>
      <name val="Calibri"/>
      <family val="2"/>
    </font>
    <font>
      <u/>
      <sz val="12"/>
      <color theme="1"/>
      <name val="Calibri"/>
      <family val="2"/>
    </font>
    <font>
      <b/>
      <sz val="11"/>
      <color theme="1"/>
      <name val="Calibri"/>
      <family val="2"/>
    </font>
    <font>
      <sz val="11"/>
      <color theme="1"/>
      <name val="Calibri"/>
      <family val="2"/>
    </font>
    <font>
      <b/>
      <sz val="12"/>
      <color theme="0"/>
      <name val="Calibri"/>
      <family val="2"/>
    </font>
    <font>
      <sz val="10"/>
      <name val="Calibri"/>
      <family val="2"/>
    </font>
    <font>
      <b/>
      <sz val="10"/>
      <name val="Calibri"/>
      <family val="2"/>
    </font>
    <font>
      <b/>
      <sz val="12"/>
      <name val="Calibri"/>
      <family val="2"/>
    </font>
    <font>
      <b/>
      <sz val="14"/>
      <color theme="1"/>
      <name val="Calibri"/>
      <family val="2"/>
    </font>
    <font>
      <sz val="10"/>
      <color theme="1"/>
      <name val="Calibri"/>
      <family val="2"/>
    </font>
    <font>
      <b/>
      <sz val="11"/>
      <name val="Calibri"/>
      <family val="2"/>
    </font>
    <font>
      <b/>
      <sz val="10"/>
      <color rgb="FF000000"/>
      <name val="Calibri"/>
      <family val="2"/>
    </font>
    <font>
      <b/>
      <sz val="10"/>
      <color rgb="FF7F2006"/>
      <name val="Calibri"/>
      <family val="2"/>
    </font>
    <font>
      <sz val="11"/>
      <name val="Calibri"/>
      <family val="2"/>
    </font>
    <font>
      <b/>
      <sz val="14"/>
      <color theme="0"/>
      <name val="Calibri"/>
      <family val="2"/>
    </font>
    <font>
      <b/>
      <sz val="10"/>
      <color theme="0"/>
      <name val="Calibri"/>
      <family val="2"/>
    </font>
    <font>
      <i/>
      <sz val="10"/>
      <name val="Calibri"/>
      <family val="2"/>
    </font>
    <font>
      <sz val="18"/>
      <name val="Arial"/>
      <family val="2"/>
    </font>
    <font>
      <b/>
      <sz val="11"/>
      <color indexed="9"/>
      <name val="Arial"/>
      <family val="2"/>
    </font>
    <font>
      <sz val="8"/>
      <name val="Aptos Narrow"/>
      <family val="2"/>
      <scheme val="minor"/>
    </font>
    <font>
      <b/>
      <sz val="20"/>
      <color rgb="FF006BAD"/>
      <name val="Arial"/>
      <family val="2"/>
    </font>
    <font>
      <sz val="12"/>
      <name val="Arial"/>
      <family val="2"/>
    </font>
    <font>
      <b/>
      <i/>
      <sz val="12"/>
      <name val="Arial"/>
      <family val="2"/>
    </font>
    <font>
      <b/>
      <sz val="14"/>
      <name val="Arial"/>
      <family val="2"/>
    </font>
    <font>
      <b/>
      <sz val="12"/>
      <name val="Arial"/>
      <family val="2"/>
    </font>
    <font>
      <sz val="10"/>
      <color indexed="64"/>
      <name val="Arial"/>
      <family val="2"/>
    </font>
    <font>
      <sz val="12"/>
      <color indexed="9"/>
      <name val="Arial"/>
      <family val="2"/>
    </font>
    <font>
      <b/>
      <vertAlign val="superscript"/>
      <sz val="14"/>
      <color indexed="9"/>
      <name val="Arial"/>
      <family val="2"/>
    </font>
    <font>
      <i/>
      <sz val="12"/>
      <color rgb="FF000000"/>
      <name val="Arial"/>
      <family val="2"/>
    </font>
    <font>
      <b/>
      <i/>
      <sz val="12"/>
      <color rgb="FF000000"/>
      <name val="Arial"/>
      <family val="2"/>
    </font>
    <font>
      <b/>
      <vertAlign val="superscript"/>
      <sz val="12"/>
      <color rgb="FF000000"/>
      <name val="Arial"/>
      <family val="2"/>
    </font>
    <font>
      <b/>
      <vertAlign val="superscript"/>
      <sz val="14"/>
      <color rgb="FF000000"/>
      <name val="Arial"/>
      <family val="2"/>
    </font>
    <font>
      <b/>
      <vertAlign val="superscript"/>
      <sz val="14"/>
      <name val="Arial"/>
      <family val="2"/>
    </font>
    <font>
      <i/>
      <sz val="12"/>
      <name val="Arial"/>
      <family val="2"/>
    </font>
    <font>
      <sz val="10"/>
      <color theme="1"/>
      <name val="Arial"/>
      <family val="2"/>
    </font>
    <font>
      <b/>
      <sz val="13.5"/>
      <color rgb="FF000000"/>
      <name val="Aptos Narrow"/>
      <family val="2"/>
      <scheme val="minor"/>
    </font>
    <font>
      <sz val="12"/>
      <color theme="0"/>
      <name val="Calibri"/>
      <family val="2"/>
    </font>
    <font>
      <sz val="12"/>
      <color rgb="FF000000"/>
      <name val="Calibri"/>
      <family val="2"/>
    </font>
    <font>
      <u/>
      <sz val="12"/>
      <color theme="10"/>
      <name val="Calibri"/>
      <family val="2"/>
    </font>
    <font>
      <sz val="14"/>
      <color rgb="FF000000"/>
      <name val="Calibri"/>
      <family val="2"/>
    </font>
    <font>
      <i/>
      <sz val="10"/>
      <color theme="1"/>
      <name val="Calibri"/>
      <family val="2"/>
    </font>
    <font>
      <b/>
      <sz val="11"/>
      <color theme="0"/>
      <name val="Calibri"/>
      <family val="2"/>
    </font>
    <font>
      <i/>
      <sz val="11"/>
      <name val="Calibri"/>
      <family val="2"/>
    </font>
    <font>
      <b/>
      <sz val="26"/>
      <color theme="0"/>
      <name val="Calibri"/>
      <family val="2"/>
    </font>
    <font>
      <b/>
      <sz val="18"/>
      <color theme="0"/>
      <name val="Calibri"/>
      <family val="2"/>
    </font>
    <font>
      <b/>
      <sz val="7.65"/>
      <color theme="1"/>
      <name val="Calibri"/>
      <family val="2"/>
    </font>
    <font>
      <sz val="7.65"/>
      <color theme="1"/>
      <name val="Calibri"/>
      <family val="2"/>
    </font>
    <font>
      <u/>
      <sz val="11"/>
      <color theme="10"/>
      <name val="Calibri"/>
      <family val="2"/>
    </font>
    <font>
      <i/>
      <u/>
      <sz val="12"/>
      <color theme="1"/>
      <name val="Calibri"/>
      <family val="2"/>
    </font>
    <font>
      <b/>
      <sz val="35"/>
      <color theme="0"/>
      <name val="Calibri"/>
      <family val="2"/>
    </font>
    <font>
      <i/>
      <sz val="12"/>
      <color rgb="FF000000"/>
      <name val="Calibri"/>
      <family val="2"/>
    </font>
    <font>
      <sz val="16"/>
      <color theme="1"/>
      <name val="Calibri"/>
      <family val="2"/>
    </font>
    <font>
      <b/>
      <sz val="18"/>
      <color rgb="FF1A1D26"/>
      <name val="Calibri"/>
      <family val="2"/>
    </font>
    <font>
      <b/>
      <sz val="18"/>
      <color theme="1"/>
      <name val="Calibri"/>
      <family val="2"/>
    </font>
    <font>
      <i/>
      <sz val="14"/>
      <color theme="1"/>
      <name val="Calibri"/>
      <family val="2"/>
    </font>
    <font>
      <sz val="12"/>
      <color rgb="FF0070C0"/>
      <name val="Calibri"/>
      <family val="2"/>
    </font>
    <font>
      <sz val="12"/>
      <color theme="5" tint="-0.249977111117893"/>
      <name val="Calibri"/>
      <family val="2"/>
    </font>
    <font>
      <sz val="12"/>
      <color rgb="FF00B050"/>
      <name val="Calibri"/>
      <family val="2"/>
    </font>
    <font>
      <sz val="12"/>
      <color theme="4"/>
      <name val="Calibri"/>
      <family val="2"/>
    </font>
    <font>
      <b/>
      <i/>
      <sz val="12"/>
      <color theme="1"/>
      <name val="Calibri"/>
      <family val="2"/>
    </font>
    <font>
      <u/>
      <sz val="12"/>
      <color rgb="FFFF0000"/>
      <name val="Calibri"/>
      <family val="2"/>
    </font>
    <font>
      <i/>
      <sz val="12"/>
      <color theme="0"/>
      <name val="Calibri"/>
      <family val="2"/>
    </font>
    <font>
      <i/>
      <u/>
      <sz val="12"/>
      <color theme="10"/>
      <name val="Aptos Narrow"/>
      <family val="2"/>
      <scheme val="minor"/>
    </font>
    <font>
      <sz val="30"/>
      <color theme="0"/>
      <name val="Calibri"/>
      <family val="2"/>
    </font>
    <font>
      <sz val="26"/>
      <color rgb="FF000000"/>
      <name val="Calibri"/>
      <family val="2"/>
    </font>
    <font>
      <b/>
      <sz val="12"/>
      <color rgb="FF000000"/>
      <name val="Calibri"/>
      <family val="2"/>
    </font>
    <font>
      <sz val="12"/>
      <color rgb="FF3C7D22"/>
      <name val="Calibri"/>
      <family val="2"/>
    </font>
    <font>
      <sz val="12"/>
      <color rgb="FF215C98"/>
      <name val="Calibri"/>
      <family val="2"/>
    </font>
    <font>
      <sz val="11"/>
      <color rgb="FF000000"/>
      <name val="Calibri"/>
      <family val="2"/>
    </font>
    <font>
      <b/>
      <sz val="11"/>
      <color rgb="FF000000"/>
      <name val="Calibri"/>
      <family val="2"/>
    </font>
    <font>
      <i/>
      <sz val="14"/>
      <color rgb="FF000000"/>
      <name val="Calibri"/>
      <family val="2"/>
    </font>
    <font>
      <b/>
      <sz val="12"/>
      <color theme="1"/>
      <name val="Aptos Narrow"/>
      <scheme val="minor"/>
    </font>
    <font>
      <i/>
      <sz val="11"/>
      <color theme="1"/>
      <name val="Calibri"/>
      <family val="2"/>
    </font>
    <font>
      <sz val="12"/>
      <color rgb="FFC00000"/>
      <name val="Calibri"/>
      <family val="2"/>
    </font>
  </fonts>
  <fills count="38">
    <fill>
      <patternFill patternType="none"/>
    </fill>
    <fill>
      <patternFill patternType="gray125"/>
    </fill>
    <fill>
      <patternFill patternType="solid">
        <fgColor theme="3" tint="0.89999084444715716"/>
        <bgColor indexed="64"/>
      </patternFill>
    </fill>
    <fill>
      <patternFill patternType="solid">
        <fgColor theme="0" tint="-0.49998474074526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D9D9D9"/>
        <bgColor indexed="64"/>
      </patternFill>
    </fill>
    <fill>
      <patternFill patternType="solid">
        <fgColor theme="4" tint="-0.249977111117893"/>
        <bgColor indexed="64"/>
      </patternFill>
    </fill>
    <fill>
      <patternFill patternType="solid">
        <fgColor indexed="31"/>
        <bgColor indexed="64"/>
      </patternFill>
    </fill>
    <fill>
      <patternFill patternType="solid">
        <fgColor indexed="9"/>
        <bgColor indexed="64"/>
      </patternFill>
    </fill>
    <fill>
      <patternFill patternType="solid">
        <fgColor indexed="3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001F60"/>
        <bgColor indexed="64"/>
      </patternFill>
    </fill>
    <fill>
      <patternFill patternType="solid">
        <fgColor theme="3" tint="0.749992370372631"/>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2" tint="-0.499984740745262"/>
        <bgColor indexed="64"/>
      </patternFill>
    </fill>
    <fill>
      <patternFill patternType="solid">
        <fgColor indexed="65"/>
      </patternFill>
    </fill>
    <fill>
      <patternFill patternType="solid">
        <fgColor theme="0"/>
      </patternFill>
    </fill>
    <fill>
      <patternFill patternType="solid">
        <fgColor rgb="FFEAEAEA"/>
      </patternFill>
    </fill>
    <fill>
      <patternFill patternType="solid">
        <fgColor theme="0" tint="-0.249977111117893"/>
        <bgColor indexed="65"/>
      </patternFill>
    </fill>
    <fill>
      <patternFill patternType="solid">
        <fgColor indexed="9"/>
      </patternFill>
    </fill>
    <fill>
      <patternFill patternType="solid">
        <fgColor rgb="FF00558C"/>
      </patternFill>
    </fill>
    <fill>
      <patternFill patternType="solid">
        <fgColor rgb="FF92D05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499984740745262"/>
        <bgColor indexed="64"/>
      </patternFill>
    </fill>
    <fill>
      <patternFill patternType="solid">
        <fgColor theme="3" tint="0.249977111117893"/>
        <bgColor indexed="64"/>
      </patternFill>
    </fill>
    <fill>
      <patternFill patternType="solid">
        <fgColor theme="3" tint="9.9978637043366805E-2"/>
        <bgColor indexed="64"/>
      </patternFill>
    </fill>
    <fill>
      <patternFill patternType="solid">
        <fgColor theme="9" tint="0.39997558519241921"/>
        <bgColor indexed="64"/>
      </patternFill>
    </fill>
  </fills>
  <borders count="280">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medium">
        <color theme="1"/>
      </left>
      <right style="thin">
        <color theme="0"/>
      </right>
      <top style="medium">
        <color theme="1"/>
      </top>
      <bottom style="thin">
        <color theme="0"/>
      </bottom>
      <diagonal/>
    </border>
    <border>
      <left style="thin">
        <color theme="0"/>
      </left>
      <right style="thin">
        <color theme="0"/>
      </right>
      <top style="medium">
        <color theme="1"/>
      </top>
      <bottom style="thin">
        <color theme="0"/>
      </bottom>
      <diagonal/>
    </border>
    <border>
      <left style="thin">
        <color theme="0"/>
      </left>
      <right style="medium">
        <color theme="1"/>
      </right>
      <top style="medium">
        <color theme="1"/>
      </top>
      <bottom style="thin">
        <color theme="0"/>
      </bottom>
      <diagonal/>
    </border>
    <border>
      <left style="medium">
        <color theme="1"/>
      </left>
      <right style="thin">
        <color theme="0"/>
      </right>
      <top style="thin">
        <color theme="0"/>
      </top>
      <bottom style="thin">
        <color theme="0"/>
      </bottom>
      <diagonal/>
    </border>
    <border>
      <left style="thin">
        <color theme="0"/>
      </left>
      <right style="medium">
        <color theme="1"/>
      </right>
      <top style="thin">
        <color theme="0"/>
      </top>
      <bottom style="thin">
        <color theme="0"/>
      </bottom>
      <diagonal/>
    </border>
    <border>
      <left/>
      <right style="medium">
        <color theme="1"/>
      </right>
      <top style="thin">
        <color theme="0"/>
      </top>
      <bottom style="thin">
        <color theme="0"/>
      </bottom>
      <diagonal/>
    </border>
    <border>
      <left/>
      <right style="thin">
        <color theme="0"/>
      </right>
      <top/>
      <bottom style="thin">
        <color theme="0"/>
      </bottom>
      <diagonal/>
    </border>
    <border>
      <left/>
      <right style="medium">
        <color theme="1"/>
      </right>
      <top style="thin">
        <color theme="0"/>
      </top>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bottom style="thin">
        <color theme="0"/>
      </bottom>
      <diagonal/>
    </border>
    <border>
      <left style="medium">
        <color theme="1"/>
      </left>
      <right style="thin">
        <color theme="0"/>
      </right>
      <top style="thin">
        <color theme="0"/>
      </top>
      <bottom/>
      <diagonal/>
    </border>
    <border>
      <left style="thin">
        <color theme="0"/>
      </left>
      <right style="medium">
        <color theme="1"/>
      </right>
      <top style="thin">
        <color theme="0"/>
      </top>
      <bottom/>
      <diagonal/>
    </border>
    <border>
      <left style="medium">
        <color theme="1"/>
      </left>
      <right/>
      <top/>
      <bottom/>
      <diagonal/>
    </border>
    <border>
      <left/>
      <right style="medium">
        <color theme="1"/>
      </right>
      <top/>
      <bottom/>
      <diagonal/>
    </border>
    <border>
      <left style="medium">
        <color theme="1"/>
      </left>
      <right style="thin">
        <color theme="0"/>
      </right>
      <top/>
      <bottom style="thin">
        <color theme="0"/>
      </bottom>
      <diagonal/>
    </border>
    <border>
      <left style="thin">
        <color theme="0"/>
      </left>
      <right style="medium">
        <color theme="1"/>
      </right>
      <top/>
      <bottom style="thin">
        <color theme="0"/>
      </bottom>
      <diagonal/>
    </border>
    <border>
      <left/>
      <right/>
      <top style="thin">
        <color theme="0"/>
      </top>
      <bottom style="thin">
        <color theme="0"/>
      </bottom>
      <diagonal/>
    </border>
    <border>
      <left/>
      <right/>
      <top/>
      <bottom style="thin">
        <color theme="0"/>
      </bottom>
      <diagonal/>
    </border>
    <border>
      <left/>
      <right style="medium">
        <color theme="1"/>
      </right>
      <top/>
      <bottom style="thin">
        <color theme="0"/>
      </bottom>
      <diagonal/>
    </border>
    <border>
      <left style="medium">
        <color theme="1"/>
      </left>
      <right style="thin">
        <color theme="0"/>
      </right>
      <top style="thin">
        <color theme="0"/>
      </top>
      <bottom style="thin">
        <color theme="1"/>
      </bottom>
      <diagonal/>
    </border>
    <border>
      <left style="thin">
        <color theme="0"/>
      </left>
      <right style="thin">
        <color theme="0"/>
      </right>
      <top style="thin">
        <color theme="0"/>
      </top>
      <bottom style="thin">
        <color theme="1"/>
      </bottom>
      <diagonal/>
    </border>
    <border>
      <left style="thin">
        <color theme="0"/>
      </left>
      <right style="medium">
        <color theme="1"/>
      </right>
      <top style="thin">
        <color theme="0"/>
      </top>
      <bottom style="thin">
        <color theme="1"/>
      </bottom>
      <diagonal/>
    </border>
    <border>
      <left/>
      <right style="thin">
        <color theme="0"/>
      </right>
      <top/>
      <bottom/>
      <diagonal/>
    </border>
    <border>
      <left style="thin">
        <color theme="0"/>
      </left>
      <right/>
      <top/>
      <bottom/>
      <diagonal/>
    </border>
    <border>
      <left style="medium">
        <color theme="1"/>
      </left>
      <right/>
      <top style="thin">
        <color theme="0"/>
      </top>
      <bottom style="thin">
        <color theme="0"/>
      </bottom>
      <diagonal/>
    </border>
    <border>
      <left style="medium">
        <color theme="1"/>
      </left>
      <right/>
      <top/>
      <bottom style="thin">
        <color theme="0"/>
      </bottom>
      <diagonal/>
    </border>
    <border>
      <left style="medium">
        <color theme="1"/>
      </left>
      <right/>
      <top/>
      <bottom style="double">
        <color theme="0" tint="-0.14996795556505021"/>
      </bottom>
      <diagonal/>
    </border>
    <border>
      <left style="thin">
        <color theme="0"/>
      </left>
      <right style="medium">
        <color theme="1"/>
      </right>
      <top style="thin">
        <color theme="0"/>
      </top>
      <bottom style="double">
        <color theme="0" tint="-0.14996795556505021"/>
      </bottom>
      <diagonal/>
    </border>
    <border>
      <left style="thin">
        <color theme="0"/>
      </left>
      <right style="thin">
        <color theme="0"/>
      </right>
      <top style="thin">
        <color theme="0"/>
      </top>
      <bottom style="double">
        <color theme="0" tint="-0.14996795556505021"/>
      </bottom>
      <diagonal/>
    </border>
    <border>
      <left style="medium">
        <color theme="1"/>
      </left>
      <right style="thin">
        <color theme="0"/>
      </right>
      <top style="thin">
        <color theme="0"/>
      </top>
      <bottom style="double">
        <color theme="0" tint="-0.149967955565050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theme="1"/>
      </left>
      <right/>
      <top style="medium">
        <color indexed="64"/>
      </top>
      <bottom style="medium">
        <color indexed="64"/>
      </bottom>
      <diagonal/>
    </border>
    <border>
      <left/>
      <right style="medium">
        <color theme="1"/>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top style="thin">
        <color theme="0"/>
      </top>
      <bottom/>
      <diagonal/>
    </border>
    <border>
      <left style="thin">
        <color theme="0"/>
      </left>
      <right/>
      <top style="thin">
        <color theme="0"/>
      </top>
      <bottom style="double">
        <color theme="0" tint="-0.14996795556505021"/>
      </bottom>
      <diagonal/>
    </border>
    <border>
      <left style="medium">
        <color indexed="64"/>
      </left>
      <right style="thin">
        <color theme="0"/>
      </right>
      <top/>
      <bottom style="thin">
        <color theme="0"/>
      </bottom>
      <diagonal/>
    </border>
    <border>
      <left style="thin">
        <color theme="0"/>
      </left>
      <right style="medium">
        <color indexed="64"/>
      </right>
      <top/>
      <bottom style="thin">
        <color theme="0"/>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thin">
        <color theme="0"/>
      </right>
      <top style="thin">
        <color theme="0"/>
      </top>
      <bottom/>
      <diagonal/>
    </border>
    <border>
      <left style="thin">
        <color theme="0"/>
      </left>
      <right style="medium">
        <color indexed="64"/>
      </right>
      <top style="thin">
        <color theme="0"/>
      </top>
      <bottom/>
      <diagonal/>
    </border>
    <border>
      <left style="medium">
        <color indexed="64"/>
      </left>
      <right style="thin">
        <color theme="0"/>
      </right>
      <top style="thin">
        <color theme="0"/>
      </top>
      <bottom style="double">
        <color theme="0" tint="-0.14996795556505021"/>
      </bottom>
      <diagonal/>
    </border>
    <border>
      <left style="medium">
        <color indexed="64"/>
      </left>
      <right style="thin">
        <color theme="0"/>
      </right>
      <top style="thin">
        <color theme="0"/>
      </top>
      <bottom style="medium">
        <color indexed="64"/>
      </bottom>
      <diagonal/>
    </border>
    <border>
      <left style="thin">
        <color theme="0"/>
      </left>
      <right style="thin">
        <color theme="0"/>
      </right>
      <top style="thin">
        <color theme="0"/>
      </top>
      <bottom style="medium">
        <color indexed="64"/>
      </bottom>
      <diagonal/>
    </border>
    <border>
      <left style="thin">
        <color theme="0"/>
      </left>
      <right/>
      <top style="thin">
        <color theme="0"/>
      </top>
      <bottom style="medium">
        <color indexed="64"/>
      </bottom>
      <diagonal/>
    </border>
    <border>
      <left/>
      <right style="medium">
        <color indexed="64"/>
      </right>
      <top style="thin">
        <color theme="0"/>
      </top>
      <bottom style="thin">
        <color theme="0"/>
      </bottom>
      <diagonal/>
    </border>
    <border>
      <left/>
      <right/>
      <top style="thin">
        <color theme="0"/>
      </top>
      <bottom/>
      <diagonal/>
    </border>
    <border>
      <left style="medium">
        <color indexed="64"/>
      </left>
      <right/>
      <top/>
      <bottom/>
      <diagonal/>
    </border>
    <border>
      <left style="medium">
        <color indexed="64"/>
      </left>
      <right style="medium">
        <color indexed="64"/>
      </right>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medium">
        <color theme="1"/>
      </top>
      <bottom style="thin">
        <color theme="0"/>
      </bottom>
      <diagonal/>
    </border>
    <border>
      <left style="medium">
        <color indexed="64"/>
      </left>
      <right style="medium">
        <color indexed="64"/>
      </right>
      <top style="thin">
        <color theme="0"/>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22"/>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top/>
      <bottom style="thick">
        <color theme="4"/>
      </bottom>
      <diagonal/>
    </border>
    <border>
      <left/>
      <right/>
      <top/>
      <bottom style="thick">
        <color theme="4"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top/>
      <bottom style="double">
        <color theme="0" tint="-0.14996795556505021"/>
      </bottom>
      <diagonal/>
    </border>
    <border>
      <left/>
      <right style="thin">
        <color theme="0"/>
      </right>
      <top style="thin">
        <color theme="0"/>
      </top>
      <bottom style="double">
        <color theme="0" tint="-0.14996795556505021"/>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style="medium">
        <color indexed="64"/>
      </left>
      <right style="thin">
        <color rgb="FFFFFFFF"/>
      </right>
      <top style="thin">
        <color rgb="FFFFFFFF"/>
      </top>
      <bottom style="thin">
        <color rgb="FFFFFFFF"/>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ck">
        <color rgb="FF000000"/>
      </left>
      <right style="thick">
        <color rgb="FF000000"/>
      </right>
      <top style="thick">
        <color rgb="FF000000"/>
      </top>
      <bottom style="thick">
        <color rgb="FF000000"/>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theme="0"/>
      </bottom>
      <diagonal/>
    </border>
    <border>
      <left/>
      <right/>
      <top style="medium">
        <color indexed="64"/>
      </top>
      <bottom style="thin">
        <color theme="0"/>
      </bottom>
      <diagonal/>
    </border>
    <border>
      <left/>
      <right style="medium">
        <color indexed="64"/>
      </right>
      <top style="medium">
        <color indexed="64"/>
      </top>
      <bottom style="thin">
        <color theme="0"/>
      </bottom>
      <diagonal/>
    </border>
    <border>
      <left style="medium">
        <color indexed="64"/>
      </left>
      <right/>
      <top style="thin">
        <color theme="0"/>
      </top>
      <bottom style="thin">
        <color theme="0"/>
      </bottom>
      <diagonal/>
    </border>
    <border>
      <left/>
      <right style="medium">
        <color indexed="64"/>
      </right>
      <top/>
      <bottom style="thin">
        <color theme="0"/>
      </bottom>
      <diagonal/>
    </border>
    <border>
      <left/>
      <right style="medium">
        <color indexed="64"/>
      </right>
      <top style="thin">
        <color theme="0"/>
      </top>
      <bottom/>
      <diagonal/>
    </border>
    <border>
      <left style="medium">
        <color indexed="64"/>
      </left>
      <right/>
      <top/>
      <bottom style="thin">
        <color theme="0"/>
      </bottom>
      <diagonal/>
    </border>
    <border>
      <left style="medium">
        <color theme="1"/>
      </left>
      <right/>
      <top style="medium">
        <color indexed="64"/>
      </top>
      <bottom style="thin">
        <color theme="0"/>
      </bottom>
      <diagonal/>
    </border>
    <border>
      <left style="medium">
        <color theme="1"/>
      </left>
      <right/>
      <top style="thin">
        <color theme="0"/>
      </top>
      <bottom/>
      <diagonal/>
    </border>
    <border>
      <left/>
      <right style="medium">
        <color theme="1"/>
      </right>
      <top style="medium">
        <color indexed="64"/>
      </top>
      <bottom style="thin">
        <color theme="0"/>
      </bottom>
      <diagonal/>
    </border>
    <border>
      <left style="medium">
        <color indexed="64"/>
      </left>
      <right/>
      <top style="thin">
        <color theme="0"/>
      </top>
      <bottom/>
      <diagonal/>
    </border>
    <border>
      <left/>
      <right/>
      <top style="medium">
        <color rgb="FF000000"/>
      </top>
      <bottom/>
      <diagonal/>
    </border>
    <border>
      <left/>
      <right/>
      <top/>
      <bottom style="medium">
        <color rgb="FF000000"/>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theme="1"/>
      </left>
      <right/>
      <top style="medium">
        <color theme="1"/>
      </top>
      <bottom style="medium">
        <color indexed="64"/>
      </bottom>
      <diagonal/>
    </border>
    <border>
      <left/>
      <right/>
      <top style="medium">
        <color theme="1"/>
      </top>
      <bottom style="medium">
        <color indexed="64"/>
      </bottom>
      <diagonal/>
    </border>
    <border>
      <left/>
      <right style="medium">
        <color theme="1"/>
      </right>
      <top style="medium">
        <color theme="1"/>
      </top>
      <bottom style="medium">
        <color indexed="64"/>
      </bottom>
      <diagonal/>
    </border>
    <border>
      <left/>
      <right/>
      <top style="thin">
        <color indexed="64"/>
      </top>
      <bottom style="double">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style="thin">
        <color auto="1"/>
      </right>
      <top style="thin">
        <color indexed="64"/>
      </top>
      <bottom style="double">
        <color indexed="64"/>
      </bottom>
      <diagonal/>
    </border>
    <border>
      <left/>
      <right style="thin">
        <color indexed="64"/>
      </right>
      <top style="thin">
        <color indexed="64"/>
      </top>
      <bottom style="double">
        <color indexed="64"/>
      </bottom>
      <diagonal/>
    </border>
    <border>
      <left style="thin">
        <color auto="1"/>
      </left>
      <right style="medium">
        <color indexed="64"/>
      </right>
      <top style="thin">
        <color indexed="64"/>
      </top>
      <bottom style="double">
        <color indexed="64"/>
      </bottom>
      <diagonal/>
    </border>
    <border>
      <left/>
      <right/>
      <top/>
      <bottom style="double">
        <color theme="1"/>
      </bottom>
      <diagonal/>
    </border>
    <border>
      <left/>
      <right/>
      <top/>
      <bottom style="medium">
        <color theme="1"/>
      </bottom>
      <diagonal/>
    </border>
    <border>
      <left/>
      <right style="medium">
        <color theme="1"/>
      </right>
      <top/>
      <bottom style="medium">
        <color theme="1"/>
      </bottom>
      <diagonal/>
    </border>
    <border>
      <left style="medium">
        <color theme="1"/>
      </left>
      <right style="thin">
        <color indexed="64"/>
      </right>
      <top/>
      <bottom style="thin">
        <color indexed="64"/>
      </bottom>
      <diagonal/>
    </border>
    <border>
      <left style="thin">
        <color indexed="64"/>
      </left>
      <right style="medium">
        <color theme="1"/>
      </right>
      <top/>
      <bottom style="thin">
        <color indexed="64"/>
      </bottom>
      <diagonal/>
    </border>
    <border>
      <left style="medium">
        <color theme="1"/>
      </left>
      <right style="thin">
        <color indexed="64"/>
      </right>
      <top style="thin">
        <color indexed="64"/>
      </top>
      <bottom style="double">
        <color indexed="64"/>
      </bottom>
      <diagonal/>
    </border>
    <border>
      <left style="medium">
        <color theme="1"/>
      </left>
      <right style="thin">
        <color indexed="64"/>
      </right>
      <top/>
      <bottom style="medium">
        <color theme="1"/>
      </bottom>
      <diagonal/>
    </border>
    <border>
      <left/>
      <right style="thin">
        <color indexed="64"/>
      </right>
      <top/>
      <bottom style="medium">
        <color theme="1"/>
      </bottom>
      <diagonal/>
    </border>
    <border>
      <left/>
      <right style="thin">
        <color rgb="FFFFFFFF"/>
      </right>
      <top style="thin">
        <color rgb="FFFFFFFF"/>
      </top>
      <bottom style="thin">
        <color rgb="FFFFFFFF"/>
      </bottom>
      <diagonal/>
    </border>
    <border>
      <left style="medium">
        <color theme="1"/>
      </left>
      <right/>
      <top style="medium">
        <color theme="1"/>
      </top>
      <bottom style="medium">
        <color theme="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indexed="64"/>
      </top>
      <bottom style="medium">
        <color indexed="64"/>
      </bottom>
      <diagonal/>
    </border>
    <border>
      <left/>
      <right/>
      <top style="medium">
        <color theme="1"/>
      </top>
      <bottom/>
      <diagonal/>
    </border>
    <border>
      <left/>
      <right/>
      <top style="medium">
        <color theme="1"/>
      </top>
      <bottom style="thin">
        <color theme="1"/>
      </bottom>
      <diagonal/>
    </border>
    <border>
      <left style="thin">
        <color auto="1"/>
      </left>
      <right/>
      <top/>
      <bottom/>
      <diagonal/>
    </border>
    <border>
      <left style="thin">
        <color auto="1"/>
      </left>
      <right style="thin">
        <color auto="1"/>
      </right>
      <top/>
      <bottom/>
      <diagonal/>
    </border>
    <border>
      <left/>
      <right/>
      <top/>
      <bottom style="thin">
        <color theme="1"/>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double">
        <color indexed="64"/>
      </bottom>
      <diagonal/>
    </border>
    <border>
      <left/>
      <right style="medium">
        <color indexed="64"/>
      </right>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theme="1"/>
      </left>
      <right style="thin">
        <color indexed="64"/>
      </right>
      <top style="thin">
        <color indexed="64"/>
      </top>
      <bottom style="thin">
        <color indexed="64"/>
      </bottom>
      <diagonal/>
    </border>
    <border>
      <left style="medium">
        <color indexed="64"/>
      </left>
      <right/>
      <top/>
      <bottom style="medium">
        <color rgb="FF000000"/>
      </bottom>
      <diagonal/>
    </border>
    <border>
      <left/>
      <right style="medium">
        <color indexed="64"/>
      </right>
      <top/>
      <bottom style="medium">
        <color rgb="FF000000"/>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thin">
        <color theme="0"/>
      </left>
      <right style="medium">
        <color indexed="64"/>
      </right>
      <top style="thin">
        <color theme="0"/>
      </top>
      <bottom style="medium">
        <color indexed="64"/>
      </bottom>
      <diagonal/>
    </border>
    <border>
      <left style="medium">
        <color theme="1"/>
      </left>
      <right/>
      <top style="medium">
        <color theme="1"/>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auto="1"/>
      </right>
      <top style="medium">
        <color indexed="64"/>
      </top>
      <bottom/>
      <diagonal/>
    </border>
    <border>
      <left/>
      <right style="medium">
        <color theme="1"/>
      </right>
      <top style="medium">
        <color theme="1"/>
      </top>
      <bottom/>
      <diagonal/>
    </border>
    <border>
      <left style="thin">
        <color auto="1"/>
      </left>
      <right style="medium">
        <color indexed="64"/>
      </right>
      <top style="medium">
        <color indexed="64"/>
      </top>
      <bottom style="thin">
        <color theme="1"/>
      </bottom>
      <diagonal/>
    </border>
    <border>
      <left style="thin">
        <color indexed="64"/>
      </left>
      <right/>
      <top style="medium">
        <color indexed="64"/>
      </top>
      <bottom style="medium">
        <color indexed="64"/>
      </bottom>
      <diagonal/>
    </border>
    <border>
      <left style="medium">
        <color indexed="64"/>
      </left>
      <right/>
      <top/>
      <bottom style="double">
        <color indexed="64"/>
      </bottom>
      <diagonal/>
    </border>
    <border>
      <left style="medium">
        <color indexed="64"/>
      </left>
      <right style="thin">
        <color theme="0"/>
      </right>
      <top style="double">
        <color theme="0" tint="-0.14996795556505021"/>
      </top>
      <bottom style="medium">
        <color indexed="64"/>
      </bottom>
      <diagonal/>
    </border>
    <border>
      <left/>
      <right style="thin">
        <color theme="0"/>
      </right>
      <top style="double">
        <color theme="0" tint="-0.14996795556505021"/>
      </top>
      <bottom style="medium">
        <color indexed="64"/>
      </bottom>
      <diagonal/>
    </border>
    <border>
      <left style="thin">
        <color theme="0"/>
      </left>
      <right style="medium">
        <color theme="1"/>
      </right>
      <top style="double">
        <color theme="0" tint="-0.14996795556505021"/>
      </top>
      <bottom style="medium">
        <color indexed="64"/>
      </bottom>
      <diagonal/>
    </border>
    <border>
      <left style="medium">
        <color theme="1"/>
      </left>
      <right style="thin">
        <color theme="0"/>
      </right>
      <top style="double">
        <color theme="0" tint="-0.14996795556505021"/>
      </top>
      <bottom style="medium">
        <color indexed="64"/>
      </bottom>
      <diagonal/>
    </border>
    <border>
      <left style="thin">
        <color theme="0"/>
      </left>
      <right style="thin">
        <color theme="0"/>
      </right>
      <top style="double">
        <color theme="0" tint="-0.14996795556505021"/>
      </top>
      <bottom style="medium">
        <color indexed="64"/>
      </bottom>
      <diagonal/>
    </border>
    <border>
      <left/>
      <right style="thin">
        <color theme="0"/>
      </right>
      <top style="medium">
        <color indexed="64"/>
      </top>
      <bottom style="medium">
        <color indexed="64"/>
      </bottom>
      <diagonal/>
    </border>
    <border>
      <left style="thin">
        <color theme="0"/>
      </left>
      <right style="medium">
        <color theme="1"/>
      </right>
      <top style="medium">
        <color indexed="64"/>
      </top>
      <bottom style="medium">
        <color indexed="64"/>
      </bottom>
      <diagonal/>
    </border>
    <border>
      <left style="medium">
        <color theme="1"/>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medium">
        <color indexed="64"/>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right style="thin">
        <color theme="0"/>
      </right>
      <top/>
      <bottom style="medium">
        <color indexed="64"/>
      </bottom>
      <diagonal/>
    </border>
    <border>
      <left style="thin">
        <color theme="0"/>
      </left>
      <right style="medium">
        <color theme="1"/>
      </right>
      <top style="thin">
        <color theme="0"/>
      </top>
      <bottom style="medium">
        <color indexed="64"/>
      </bottom>
      <diagonal/>
    </border>
    <border>
      <left style="medium">
        <color theme="1"/>
      </left>
      <right/>
      <top/>
      <bottom style="medium">
        <color indexed="64"/>
      </bottom>
      <diagonal/>
    </border>
    <border>
      <left style="thin">
        <color theme="0"/>
      </left>
      <right style="medium">
        <color theme="1"/>
      </right>
      <top/>
      <bottom/>
      <diagonal/>
    </border>
    <border>
      <left style="medium">
        <color theme="1"/>
      </left>
      <right style="thin">
        <color theme="0"/>
      </right>
      <top/>
      <bottom/>
      <diagonal/>
    </border>
    <border>
      <left style="medium">
        <color indexed="64"/>
      </left>
      <right style="thin">
        <color theme="0"/>
      </right>
      <top/>
      <bottom/>
      <diagonal/>
    </border>
    <border>
      <left style="medium">
        <color indexed="64"/>
      </left>
      <right/>
      <top style="medium">
        <color theme="1"/>
      </top>
      <bottom style="thin">
        <color theme="0"/>
      </bottom>
      <diagonal/>
    </border>
    <border>
      <left style="medium">
        <color indexed="64"/>
      </left>
      <right/>
      <top style="thin">
        <color theme="0"/>
      </top>
      <bottom style="double">
        <color theme="0" tint="-0.14996795556505021"/>
      </bottom>
      <diagonal/>
    </border>
    <border>
      <left style="medium">
        <color indexed="64"/>
      </left>
      <right/>
      <top style="double">
        <color theme="0" tint="-0.14996795556505021"/>
      </top>
      <bottom style="medium">
        <color indexed="64"/>
      </bottom>
      <diagonal/>
    </border>
    <border>
      <left style="medium">
        <color indexed="64"/>
      </left>
      <right/>
      <top/>
      <bottom style="double">
        <color theme="0" tint="-0.14996795556505021"/>
      </bottom>
      <diagonal/>
    </border>
    <border>
      <left style="thin">
        <color theme="0"/>
      </left>
      <right style="medium">
        <color indexed="64"/>
      </right>
      <top style="thin">
        <color theme="0"/>
      </top>
      <bottom style="double">
        <color theme="0" tint="-0.14996795556505021"/>
      </bottom>
      <diagonal/>
    </border>
    <border>
      <left style="thin">
        <color theme="0"/>
      </left>
      <right style="medium">
        <color indexed="64"/>
      </right>
      <top style="double">
        <color theme="0" tint="-0.14996795556505021"/>
      </top>
      <bottom style="medium">
        <color indexed="64"/>
      </bottom>
      <diagonal/>
    </border>
    <border>
      <left style="thin">
        <color theme="0"/>
      </left>
      <right style="medium">
        <color indexed="64"/>
      </right>
      <top/>
      <bottom/>
      <diagonal/>
    </border>
    <border>
      <left style="thin">
        <color theme="0"/>
      </left>
      <right/>
      <top style="double">
        <color theme="0" tint="-0.14996795556505021"/>
      </top>
      <bottom style="medium">
        <color indexed="64"/>
      </bottom>
      <diagonal/>
    </border>
    <border>
      <left style="thin">
        <color theme="0"/>
      </left>
      <right/>
      <top style="medium">
        <color indexed="64"/>
      </top>
      <bottom style="medium">
        <color indexed="64"/>
      </bottom>
      <diagonal/>
    </border>
    <border>
      <left/>
      <right style="thin">
        <color theme="0"/>
      </right>
      <top style="thin">
        <color theme="0"/>
      </top>
      <bottom style="medium">
        <color indexed="64"/>
      </bottom>
      <diagonal/>
    </border>
    <border>
      <left style="thin">
        <color theme="0"/>
      </left>
      <right style="medium">
        <color theme="1"/>
      </right>
      <top/>
      <bottom style="medium">
        <color indexed="64"/>
      </bottom>
      <diagonal/>
    </border>
    <border>
      <left style="medium">
        <color theme="1"/>
      </left>
      <right style="thin">
        <color theme="0"/>
      </right>
      <top/>
      <bottom style="medium">
        <color indexed="64"/>
      </bottom>
      <diagonal/>
    </border>
    <border>
      <left style="thin">
        <color theme="0"/>
      </left>
      <right style="thin">
        <color theme="0"/>
      </right>
      <top/>
      <bottom style="medium">
        <color indexed="64"/>
      </bottom>
      <diagonal/>
    </border>
    <border>
      <left style="thin">
        <color theme="0"/>
      </left>
      <right/>
      <top/>
      <bottom style="medium">
        <color indexed="64"/>
      </bottom>
      <diagonal/>
    </border>
    <border>
      <left style="medium">
        <color indexed="64"/>
      </left>
      <right style="thin">
        <color theme="0"/>
      </right>
      <top/>
      <bottom style="medium">
        <color indexed="64"/>
      </bottom>
      <diagonal/>
    </border>
    <border>
      <left style="thin">
        <color theme="0"/>
      </left>
      <right style="medium">
        <color indexed="64"/>
      </right>
      <top/>
      <bottom style="medium">
        <color indexed="64"/>
      </bottom>
      <diagonal/>
    </border>
    <border>
      <left style="medium">
        <color indexed="64"/>
      </left>
      <right style="thin">
        <color theme="0"/>
      </right>
      <top style="thin">
        <color theme="0"/>
      </top>
      <bottom style="double">
        <color indexed="64"/>
      </bottom>
      <diagonal/>
    </border>
    <border>
      <left/>
      <right style="thin">
        <color theme="0"/>
      </right>
      <top style="thin">
        <color theme="0"/>
      </top>
      <bottom style="double">
        <color indexed="64"/>
      </bottom>
      <diagonal/>
    </border>
    <border>
      <left style="thin">
        <color theme="0"/>
      </left>
      <right style="medium">
        <color theme="1"/>
      </right>
      <top style="thin">
        <color theme="0"/>
      </top>
      <bottom style="double">
        <color indexed="64"/>
      </bottom>
      <diagonal/>
    </border>
    <border>
      <left style="medium">
        <color theme="1"/>
      </left>
      <right style="thin">
        <color theme="0"/>
      </right>
      <top style="thin">
        <color theme="0"/>
      </top>
      <bottom style="double">
        <color indexed="64"/>
      </bottom>
      <diagonal/>
    </border>
    <border>
      <left style="thin">
        <color theme="0"/>
      </left>
      <right style="thin">
        <color theme="0"/>
      </right>
      <top style="thin">
        <color theme="0"/>
      </top>
      <bottom style="double">
        <color indexed="64"/>
      </bottom>
      <diagonal/>
    </border>
    <border>
      <left style="thin">
        <color theme="0"/>
      </left>
      <right/>
      <top style="thin">
        <color theme="0"/>
      </top>
      <bottom style="double">
        <color indexed="64"/>
      </bottom>
      <diagonal/>
    </border>
    <border>
      <left/>
      <right/>
      <top style="double">
        <color indexed="64"/>
      </top>
      <bottom style="medium">
        <color indexed="64"/>
      </bottom>
      <diagonal/>
    </border>
    <border>
      <left style="thin">
        <color theme="0"/>
      </left>
      <right style="medium">
        <color theme="1"/>
      </right>
      <top style="double">
        <color indexed="64"/>
      </top>
      <bottom style="medium">
        <color indexed="64"/>
      </bottom>
      <diagonal/>
    </border>
    <border>
      <left style="medium">
        <color theme="1"/>
      </left>
      <right/>
      <top style="double">
        <color indexed="64"/>
      </top>
      <bottom style="medium">
        <color indexed="64"/>
      </bottom>
      <diagonal/>
    </border>
    <border>
      <left style="thin">
        <color theme="0"/>
      </left>
      <right style="thin">
        <color theme="0"/>
      </right>
      <top style="double">
        <color indexed="64"/>
      </top>
      <bottom style="medium">
        <color indexed="64"/>
      </bottom>
      <diagonal/>
    </border>
    <border>
      <left style="thin">
        <color theme="0"/>
      </left>
      <right/>
      <top style="double">
        <color indexed="64"/>
      </top>
      <bottom style="medium">
        <color indexed="64"/>
      </bottom>
      <diagonal/>
    </border>
    <border>
      <left style="medium">
        <color indexed="64"/>
      </left>
      <right/>
      <top style="double">
        <color indexed="64"/>
      </top>
      <bottom style="medium">
        <color indexed="64"/>
      </bottom>
      <diagonal/>
    </border>
    <border>
      <left/>
      <right style="thin">
        <color theme="0"/>
      </right>
      <top/>
      <bottom style="medium">
        <color theme="1"/>
      </bottom>
      <diagonal/>
    </border>
    <border>
      <left style="thin">
        <color theme="0"/>
      </left>
      <right style="medium">
        <color theme="1"/>
      </right>
      <top/>
      <bottom style="medium">
        <color theme="1"/>
      </bottom>
      <diagonal/>
    </border>
    <border>
      <left style="medium">
        <color theme="1"/>
      </left>
      <right style="thin">
        <color theme="0"/>
      </right>
      <top/>
      <bottom style="medium">
        <color theme="1"/>
      </bottom>
      <diagonal/>
    </border>
    <border>
      <left style="thin">
        <color theme="0"/>
      </left>
      <right style="thin">
        <color theme="0"/>
      </right>
      <top/>
      <bottom style="medium">
        <color theme="1"/>
      </bottom>
      <diagonal/>
    </border>
    <border>
      <left style="thin">
        <color theme="0"/>
      </left>
      <right/>
      <top/>
      <bottom style="medium">
        <color theme="1"/>
      </bottom>
      <diagonal/>
    </border>
    <border>
      <left style="medium">
        <color indexed="64"/>
      </left>
      <right/>
      <top style="thin">
        <color theme="0"/>
      </top>
      <bottom style="double">
        <color indexed="64"/>
      </bottom>
      <diagonal/>
    </border>
    <border>
      <left style="thin">
        <color theme="0"/>
      </left>
      <right style="medium">
        <color indexed="64"/>
      </right>
      <top style="thin">
        <color theme="0"/>
      </top>
      <bottom style="double">
        <color indexed="64"/>
      </bottom>
      <diagonal/>
    </border>
    <border>
      <left style="thin">
        <color theme="0"/>
      </left>
      <right style="medium">
        <color indexed="64"/>
      </right>
      <top style="double">
        <color indexed="64"/>
      </top>
      <bottom style="medium">
        <color indexed="64"/>
      </bottom>
      <diagonal/>
    </border>
    <border>
      <left style="thin">
        <color indexed="64"/>
      </left>
      <right/>
      <top/>
      <bottom style="double">
        <color indexed="64"/>
      </bottom>
      <diagonal/>
    </border>
    <border>
      <left style="medium">
        <color indexed="64"/>
      </left>
      <right style="medium">
        <color indexed="64"/>
      </right>
      <top/>
      <bottom style="double">
        <color indexed="64"/>
      </bottom>
      <diagonal/>
    </border>
    <border>
      <left/>
      <right style="thin">
        <color auto="1"/>
      </right>
      <top/>
      <bottom style="double">
        <color indexed="64"/>
      </bottom>
      <diagonal/>
    </border>
    <border>
      <left style="medium">
        <color indexed="64"/>
      </left>
      <right style="thin">
        <color indexed="64"/>
      </right>
      <top/>
      <bottom style="double">
        <color indexed="64"/>
      </bottom>
      <diagonal/>
    </border>
    <border>
      <left style="medium">
        <color indexed="64"/>
      </left>
      <right style="medium">
        <color theme="1"/>
      </right>
      <top/>
      <bottom style="thin">
        <color indexed="64"/>
      </bottom>
      <diagonal/>
    </border>
    <border>
      <left style="medium">
        <color indexed="64"/>
      </left>
      <right style="medium">
        <color theme="1"/>
      </right>
      <top style="thin">
        <color indexed="64"/>
      </top>
      <bottom style="thin">
        <color indexed="64"/>
      </bottom>
      <diagonal/>
    </border>
    <border>
      <left style="medium">
        <color indexed="64"/>
      </left>
      <right style="medium">
        <color theme="1"/>
      </right>
      <top style="thin">
        <color indexed="64"/>
      </top>
      <bottom style="double">
        <color indexed="64"/>
      </bottom>
      <diagonal/>
    </border>
    <border>
      <left/>
      <right style="medium">
        <color indexed="64"/>
      </right>
      <top/>
      <bottom style="double">
        <color theme="1"/>
      </bottom>
      <diagonal/>
    </border>
    <border>
      <left style="medium">
        <color indexed="64"/>
      </left>
      <right style="medium">
        <color theme="1"/>
      </right>
      <top/>
      <bottom style="medium">
        <color indexed="64"/>
      </bottom>
      <diagonal/>
    </border>
    <border>
      <left style="medium">
        <color indexed="64"/>
      </left>
      <right/>
      <top/>
      <bottom style="double">
        <color theme="1"/>
      </bottom>
      <diagonal/>
    </border>
    <border>
      <left style="medium">
        <color indexed="64"/>
      </left>
      <right style="medium">
        <color indexed="64"/>
      </right>
      <top style="thin">
        <color theme="1"/>
      </top>
      <bottom style="thin">
        <color indexed="64"/>
      </bottom>
      <diagonal/>
    </border>
    <border>
      <left/>
      <right/>
      <top style="thin">
        <color theme="1"/>
      </top>
      <bottom style="thin">
        <color indexed="64"/>
      </bottom>
      <diagonal/>
    </border>
    <border>
      <left/>
      <right style="medium">
        <color theme="1"/>
      </right>
      <top style="thin">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rgb="FFFFFFFF"/>
      </right>
      <top style="medium">
        <color indexed="64"/>
      </top>
      <bottom style="medium">
        <color indexed="64"/>
      </bottom>
      <diagonal/>
    </border>
    <border>
      <left style="medium">
        <color theme="1"/>
      </left>
      <right/>
      <top style="thin">
        <color theme="0"/>
      </top>
      <bottom style="double">
        <color theme="0" tint="-0.14996795556505021"/>
      </bottom>
      <diagonal/>
    </border>
    <border>
      <left style="thin">
        <color auto="1"/>
      </left>
      <right/>
      <top/>
      <bottom style="thin">
        <color theme="1"/>
      </bottom>
      <diagonal/>
    </border>
    <border>
      <left/>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double">
        <color indexed="64"/>
      </top>
      <bottom style="thin">
        <color indexed="64"/>
      </bottom>
      <diagonal/>
    </border>
    <border>
      <left/>
      <right style="thin">
        <color indexed="22"/>
      </right>
      <top/>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thin">
        <color indexed="64"/>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style="thin">
        <color auto="1"/>
      </left>
      <right style="medium">
        <color indexed="64"/>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theme="1"/>
      </right>
      <top style="thin">
        <color indexed="64"/>
      </top>
      <bottom/>
      <diagonal/>
    </border>
    <border>
      <left/>
      <right style="medium">
        <color indexed="64"/>
      </right>
      <top style="thin">
        <color auto="1"/>
      </top>
      <bottom/>
      <diagonal/>
    </border>
    <border>
      <left style="thin">
        <color indexed="64"/>
      </left>
      <right style="medium">
        <color theme="1"/>
      </right>
      <top style="thin">
        <color indexed="64"/>
      </top>
      <bottom style="thin">
        <color indexed="64"/>
      </bottom>
      <diagonal/>
    </border>
    <border>
      <left style="thin">
        <color indexed="64"/>
      </left>
      <right style="medium">
        <color theme="1"/>
      </right>
      <top style="thin">
        <color indexed="64"/>
      </top>
      <bottom/>
      <diagonal/>
    </border>
    <border>
      <left style="medium">
        <color theme="1"/>
      </left>
      <right style="thin">
        <color indexed="64"/>
      </right>
      <top style="thin">
        <color indexed="64"/>
      </top>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64"/>
      </top>
      <bottom/>
      <diagonal/>
    </border>
    <border>
      <left/>
      <right style="thin">
        <color indexed="64"/>
      </right>
      <top style="thin">
        <color indexed="64"/>
      </top>
      <bottom/>
      <diagonal/>
    </border>
  </borders>
  <cellStyleXfs count="17">
    <xf numFmtId="0" fontId="0" fillId="0" borderId="0"/>
    <xf numFmtId="9" fontId="2" fillId="0" borderId="0" applyFont="0" applyFill="0" applyBorder="0" applyAlignment="0" applyProtection="0"/>
    <xf numFmtId="43" fontId="2" fillId="0" borderId="0" applyFont="0" applyFill="0" applyBorder="0" applyAlignment="0" applyProtection="0"/>
    <xf numFmtId="0" fontId="4" fillId="0" borderId="0" applyNumberFormat="0" applyFill="0" applyBorder="0" applyAlignment="0" applyProtection="0"/>
    <xf numFmtId="0" fontId="2" fillId="0" borderId="0"/>
    <xf numFmtId="9" fontId="2" fillId="0" borderId="0" applyFont="0" applyFill="0" applyBorder="0" applyAlignment="0" applyProtection="0"/>
    <xf numFmtId="0" fontId="9" fillId="0" borderId="0"/>
    <xf numFmtId="0" fontId="18" fillId="0" borderId="0" applyNumberFormat="0" applyFill="0" applyBorder="0" applyAlignment="0" applyProtection="0"/>
    <xf numFmtId="0" fontId="19" fillId="0" borderId="69" applyNumberFormat="0" applyFill="0" applyAlignment="0" applyProtection="0"/>
    <xf numFmtId="0" fontId="20" fillId="0" borderId="70" applyNumberFormat="0" applyFill="0" applyAlignment="0" applyProtection="0"/>
    <xf numFmtId="0" fontId="23" fillId="0" borderId="0"/>
    <xf numFmtId="43" fontId="23" fillId="0" borderId="0" applyFont="0" applyFill="0" applyBorder="0" applyAlignment="0" applyProtection="0"/>
    <xf numFmtId="44" fontId="2" fillId="0" borderId="0" applyFont="0" applyFill="0" applyBorder="0" applyAlignment="0" applyProtection="0"/>
    <xf numFmtId="165" fontId="23" fillId="0" borderId="0" applyFont="0" applyFill="0" applyBorder="0" applyAlignment="0" applyProtection="0"/>
    <xf numFmtId="0" fontId="23" fillId="0" borderId="0"/>
    <xf numFmtId="0" fontId="2" fillId="0" borderId="0"/>
    <xf numFmtId="0" fontId="4" fillId="0" borderId="0" applyNumberFormat="0" applyFill="0" applyBorder="0" applyAlignment="0" applyProtection="0"/>
  </cellStyleXfs>
  <cellXfs count="2087">
    <xf numFmtId="0" fontId="0" fillId="0" borderId="0" xfId="0"/>
    <xf numFmtId="0" fontId="0" fillId="0" borderId="1" xfId="0" applyBorder="1"/>
    <xf numFmtId="0" fontId="0" fillId="0" borderId="3" xfId="0" applyBorder="1"/>
    <xf numFmtId="0" fontId="0" fillId="0" borderId="4" xfId="0" applyBorder="1"/>
    <xf numFmtId="0" fontId="0" fillId="0" borderId="9" xfId="0" applyBorder="1"/>
    <xf numFmtId="0" fontId="0" fillId="0" borderId="10" xfId="0" applyBorder="1"/>
    <xf numFmtId="0" fontId="0" fillId="0" borderId="15" xfId="0" applyBorder="1"/>
    <xf numFmtId="0" fontId="0" fillId="0" borderId="6" xfId="0" applyBorder="1"/>
    <xf numFmtId="0" fontId="0" fillId="0" borderId="7" xfId="0" applyBorder="1"/>
    <xf numFmtId="0" fontId="0" fillId="0" borderId="8"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1" fillId="0" borderId="26" xfId="0" applyFont="1" applyBorder="1"/>
    <xf numFmtId="0" fontId="1" fillId="0" borderId="27" xfId="0" applyFont="1" applyBorder="1"/>
    <xf numFmtId="0" fontId="1" fillId="0" borderId="28" xfId="0" applyFont="1" applyBorder="1"/>
    <xf numFmtId="10" fontId="0" fillId="0" borderId="1" xfId="1" applyNumberFormat="1" applyFont="1" applyBorder="1"/>
    <xf numFmtId="0" fontId="0" fillId="0" borderId="24" xfId="0" applyBorder="1" applyAlignment="1">
      <alignment horizontal="center"/>
    </xf>
    <xf numFmtId="0" fontId="0" fillId="0" borderId="25" xfId="0" applyBorder="1" applyAlignment="1">
      <alignment horizontal="center"/>
    </xf>
    <xf numFmtId="0" fontId="4" fillId="0" borderId="2" xfId="3" applyBorder="1" applyAlignment="1">
      <alignment horizontal="center"/>
    </xf>
    <xf numFmtId="0" fontId="0" fillId="0" borderId="23" xfId="0" applyBorder="1" applyAlignment="1">
      <alignment horizontal="center"/>
    </xf>
    <xf numFmtId="0" fontId="0" fillId="0" borderId="11" xfId="0" applyBorder="1" applyAlignment="1">
      <alignment horizontal="center"/>
    </xf>
    <xf numFmtId="0" fontId="1" fillId="0" borderId="0" xfId="0" applyFont="1"/>
    <xf numFmtId="0" fontId="0" fillId="0" borderId="1" xfId="0" applyBorder="1" applyAlignment="1">
      <alignment horizontal="center"/>
    </xf>
    <xf numFmtId="0" fontId="4" fillId="0" borderId="16" xfId="3" applyBorder="1" applyAlignment="1">
      <alignment horizontal="center"/>
    </xf>
    <xf numFmtId="10" fontId="0" fillId="0" borderId="3" xfId="1" applyNumberFormat="1" applyFont="1" applyBorder="1"/>
    <xf numFmtId="10" fontId="0" fillId="0" borderId="4" xfId="1" applyNumberFormat="1" applyFont="1" applyBorder="1"/>
    <xf numFmtId="10" fontId="0" fillId="0" borderId="14" xfId="1" applyNumberFormat="1" applyFont="1" applyBorder="1"/>
    <xf numFmtId="10" fontId="0" fillId="0" borderId="12" xfId="1" applyNumberFormat="1" applyFont="1" applyBorder="1"/>
    <xf numFmtId="10" fontId="0" fillId="0" borderId="15" xfId="1" applyNumberFormat="1" applyFont="1" applyBorder="1"/>
    <xf numFmtId="43" fontId="0" fillId="0" borderId="3" xfId="2" applyFont="1" applyBorder="1"/>
    <xf numFmtId="43" fontId="0" fillId="0" borderId="1" xfId="2" applyFont="1" applyBorder="1"/>
    <xf numFmtId="43" fontId="0" fillId="0" borderId="15" xfId="2" applyFont="1" applyBorder="1"/>
    <xf numFmtId="43" fontId="0" fillId="0" borderId="2" xfId="2" applyFont="1" applyBorder="1"/>
    <xf numFmtId="43" fontId="0" fillId="0" borderId="0" xfId="2" applyFont="1"/>
    <xf numFmtId="0" fontId="0" fillId="0" borderId="2" xfId="0" applyBorder="1" applyAlignment="1">
      <alignment horizontal="center"/>
    </xf>
    <xf numFmtId="10" fontId="0" fillId="0" borderId="1" xfId="1" applyNumberFormat="1" applyFont="1" applyBorder="1" applyAlignment="1">
      <alignment horizontal="center"/>
    </xf>
    <xf numFmtId="0" fontId="0" fillId="0" borderId="45" xfId="0" applyBorder="1"/>
    <xf numFmtId="0" fontId="0" fillId="0" borderId="47" xfId="0" applyBorder="1"/>
    <xf numFmtId="0" fontId="0" fillId="0" borderId="49" xfId="0" applyBorder="1"/>
    <xf numFmtId="10" fontId="0" fillId="0" borderId="47" xfId="1" applyNumberFormat="1" applyFont="1" applyBorder="1"/>
    <xf numFmtId="166" fontId="0" fillId="0" borderId="45" xfId="0" applyNumberFormat="1" applyBorder="1"/>
    <xf numFmtId="10" fontId="0" fillId="0" borderId="47" xfId="0" applyNumberFormat="1" applyBorder="1"/>
    <xf numFmtId="0" fontId="0" fillId="0" borderId="47" xfId="0" applyBorder="1" applyAlignment="1">
      <alignment horizontal="center"/>
    </xf>
    <xf numFmtId="43" fontId="0" fillId="0" borderId="16" xfId="2" applyFont="1" applyBorder="1"/>
    <xf numFmtId="43" fontId="0" fillId="0" borderId="43" xfId="2" applyFont="1" applyBorder="1"/>
    <xf numFmtId="43" fontId="0" fillId="0" borderId="23" xfId="2" applyFont="1" applyBorder="1"/>
    <xf numFmtId="43" fontId="0" fillId="0" borderId="56" xfId="2" applyFont="1" applyBorder="1"/>
    <xf numFmtId="43" fontId="0" fillId="0" borderId="24" xfId="2" applyFont="1" applyBorder="1"/>
    <xf numFmtId="0" fontId="0" fillId="0" borderId="57" xfId="0" applyBorder="1"/>
    <xf numFmtId="10" fontId="0" fillId="0" borderId="46" xfId="1" applyNumberFormat="1" applyFont="1" applyBorder="1"/>
    <xf numFmtId="10" fontId="0" fillId="0" borderId="48" xfId="1" applyNumberFormat="1" applyFont="1" applyBorder="1"/>
    <xf numFmtId="10" fontId="0" fillId="0" borderId="50" xfId="1" applyNumberFormat="1" applyFont="1" applyBorder="1"/>
    <xf numFmtId="10" fontId="0" fillId="0" borderId="48" xfId="1" applyNumberFormat="1" applyFont="1" applyBorder="1" applyAlignment="1">
      <alignment horizontal="center"/>
    </xf>
    <xf numFmtId="0" fontId="0" fillId="5" borderId="21" xfId="0" applyFill="1" applyBorder="1"/>
    <xf numFmtId="10" fontId="0" fillId="5" borderId="3" xfId="0" applyNumberFormat="1" applyFill="1" applyBorder="1"/>
    <xf numFmtId="0" fontId="0" fillId="5" borderId="9" xfId="0" applyFill="1" applyBorder="1"/>
    <xf numFmtId="10" fontId="0" fillId="5" borderId="1" xfId="1" applyNumberFormat="1" applyFont="1" applyFill="1" applyBorder="1"/>
    <xf numFmtId="0" fontId="0" fillId="6" borderId="32" xfId="0" applyFill="1" applyBorder="1" applyAlignment="1">
      <alignment horizontal="left"/>
    </xf>
    <xf numFmtId="0" fontId="0" fillId="6" borderId="25" xfId="0" applyFill="1" applyBorder="1" applyAlignment="1">
      <alignment horizontal="left"/>
    </xf>
    <xf numFmtId="0" fontId="0" fillId="6" borderId="21" xfId="0" applyFill="1" applyBorder="1" applyAlignment="1">
      <alignment horizontal="left"/>
    </xf>
    <xf numFmtId="0" fontId="0" fillId="6" borderId="22" xfId="0" applyFill="1" applyBorder="1" applyAlignment="1">
      <alignment horizontal="left"/>
    </xf>
    <xf numFmtId="0" fontId="0" fillId="6" borderId="31" xfId="0" applyFill="1" applyBorder="1" applyAlignment="1">
      <alignment horizontal="left"/>
    </xf>
    <xf numFmtId="0" fontId="0" fillId="6" borderId="11" xfId="0" applyFill="1" applyBorder="1" applyAlignment="1">
      <alignment horizontal="left"/>
    </xf>
    <xf numFmtId="0" fontId="0" fillId="6" borderId="9" xfId="0" applyFill="1" applyBorder="1" applyAlignment="1">
      <alignment horizontal="left"/>
    </xf>
    <xf numFmtId="0" fontId="0" fillId="6" borderId="10" xfId="0" applyFill="1" applyBorder="1" applyAlignment="1">
      <alignment horizontal="left"/>
    </xf>
    <xf numFmtId="10" fontId="0" fillId="6" borderId="4" xfId="1" applyNumberFormat="1" applyFont="1" applyFill="1" applyBorder="1"/>
    <xf numFmtId="167" fontId="5" fillId="6" borderId="13" xfId="1" applyNumberFormat="1" applyFont="1" applyFill="1" applyBorder="1" applyAlignment="1">
      <alignment horizontal="left"/>
    </xf>
    <xf numFmtId="0" fontId="0" fillId="6" borderId="18" xfId="0" applyFill="1" applyBorder="1" applyAlignment="1">
      <alignment horizontal="left"/>
    </xf>
    <xf numFmtId="166" fontId="0" fillId="6" borderId="12" xfId="0" applyNumberFormat="1" applyFill="1" applyBorder="1"/>
    <xf numFmtId="169" fontId="5" fillId="6" borderId="20" xfId="0" applyNumberFormat="1" applyFont="1" applyFill="1" applyBorder="1" applyAlignment="1">
      <alignment horizontal="left"/>
    </xf>
    <xf numFmtId="169" fontId="0" fillId="6" borderId="10" xfId="0" applyNumberFormat="1" applyFill="1" applyBorder="1" applyAlignment="1">
      <alignment horizontal="left"/>
    </xf>
    <xf numFmtId="169" fontId="0" fillId="6" borderId="22" xfId="0" applyNumberFormat="1" applyFill="1" applyBorder="1" applyAlignment="1">
      <alignment horizontal="left"/>
    </xf>
    <xf numFmtId="0" fontId="0" fillId="6" borderId="21" xfId="0" applyFill="1" applyBorder="1"/>
    <xf numFmtId="0" fontId="0" fillId="6" borderId="22" xfId="0" applyFill="1" applyBorder="1"/>
    <xf numFmtId="0" fontId="0" fillId="6" borderId="9" xfId="0" applyFill="1" applyBorder="1"/>
    <xf numFmtId="0" fontId="0" fillId="6" borderId="10" xfId="0" applyFill="1" applyBorder="1"/>
    <xf numFmtId="0" fontId="0" fillId="7" borderId="32" xfId="0" applyFill="1" applyBorder="1" applyAlignment="1">
      <alignment horizontal="left"/>
    </xf>
    <xf numFmtId="0" fontId="0" fillId="7" borderId="25" xfId="0" applyFill="1" applyBorder="1" applyAlignment="1">
      <alignment horizontal="left"/>
    </xf>
    <xf numFmtId="0" fontId="0" fillId="7" borderId="31" xfId="0" applyFill="1" applyBorder="1" applyAlignment="1">
      <alignment horizontal="left"/>
    </xf>
    <xf numFmtId="0" fontId="0" fillId="7" borderId="11" xfId="0" applyFill="1" applyBorder="1" applyAlignment="1">
      <alignment horizontal="left"/>
    </xf>
    <xf numFmtId="10" fontId="0" fillId="7" borderId="4" xfId="1" applyNumberFormat="1" applyFont="1" applyFill="1" applyBorder="1"/>
    <xf numFmtId="167" fontId="5" fillId="7" borderId="13" xfId="1" applyNumberFormat="1" applyFont="1" applyFill="1" applyBorder="1" applyAlignment="1">
      <alignment horizontal="left"/>
    </xf>
    <xf numFmtId="166" fontId="0" fillId="7" borderId="12" xfId="0" applyNumberFormat="1" applyFill="1" applyBorder="1"/>
    <xf numFmtId="169" fontId="5" fillId="7" borderId="20" xfId="0" applyNumberFormat="1" applyFont="1" applyFill="1" applyBorder="1" applyAlignment="1">
      <alignment horizontal="left"/>
    </xf>
    <xf numFmtId="0" fontId="0" fillId="7" borderId="21" xfId="0" applyFill="1" applyBorder="1"/>
    <xf numFmtId="0" fontId="0" fillId="7" borderId="22" xfId="0" applyFill="1" applyBorder="1"/>
    <xf numFmtId="0" fontId="0" fillId="7" borderId="9" xfId="0" applyFill="1" applyBorder="1"/>
    <xf numFmtId="0" fontId="0" fillId="7" borderId="10" xfId="0" applyFill="1" applyBorder="1"/>
    <xf numFmtId="0" fontId="0" fillId="7" borderId="9" xfId="0" applyFill="1" applyBorder="1" applyAlignment="1">
      <alignment horizontal="center"/>
    </xf>
    <xf numFmtId="0" fontId="0" fillId="7" borderId="1" xfId="0" applyFill="1" applyBorder="1" applyAlignment="1">
      <alignment horizontal="center"/>
    </xf>
    <xf numFmtId="0" fontId="0" fillId="7" borderId="21" xfId="0" applyFill="1" applyBorder="1" applyAlignment="1">
      <alignment horizontal="left"/>
    </xf>
    <xf numFmtId="0" fontId="0" fillId="7" borderId="22" xfId="0" applyFill="1" applyBorder="1" applyAlignment="1">
      <alignment horizontal="left"/>
    </xf>
    <xf numFmtId="0" fontId="0" fillId="7" borderId="3" xfId="0" applyFill="1" applyBorder="1"/>
    <xf numFmtId="0" fontId="0" fillId="7" borderId="16" xfId="0" applyFill="1" applyBorder="1"/>
    <xf numFmtId="0" fontId="0" fillId="7" borderId="9" xfId="0" applyFill="1" applyBorder="1" applyAlignment="1">
      <alignment horizontal="left"/>
    </xf>
    <xf numFmtId="0" fontId="0" fillId="7" borderId="10" xfId="0" applyFill="1" applyBorder="1" applyAlignment="1">
      <alignment horizontal="left"/>
    </xf>
    <xf numFmtId="0" fontId="0" fillId="7" borderId="1" xfId="0" applyFill="1" applyBorder="1"/>
    <xf numFmtId="0" fontId="0" fillId="7" borderId="2" xfId="0" applyFill="1" applyBorder="1"/>
    <xf numFmtId="0" fontId="0" fillId="7" borderId="15" xfId="0" applyFill="1" applyBorder="1"/>
    <xf numFmtId="0" fontId="0" fillId="7" borderId="43" xfId="0" applyFill="1" applyBorder="1"/>
    <xf numFmtId="0" fontId="0" fillId="7" borderId="18" xfId="0" applyFill="1" applyBorder="1" applyAlignment="1">
      <alignment horizontal="left"/>
    </xf>
    <xf numFmtId="169" fontId="0" fillId="7" borderId="10" xfId="0" applyNumberFormat="1" applyFill="1" applyBorder="1" applyAlignment="1">
      <alignment horizontal="left"/>
    </xf>
    <xf numFmtId="169" fontId="0" fillId="7" borderId="22" xfId="0" applyNumberFormat="1" applyFill="1" applyBorder="1" applyAlignment="1">
      <alignment horizontal="left"/>
    </xf>
    <xf numFmtId="10" fontId="0" fillId="7" borderId="9" xfId="0" applyNumberFormat="1" applyFill="1" applyBorder="1"/>
    <xf numFmtId="0" fontId="0" fillId="7" borderId="2" xfId="0" applyFill="1" applyBorder="1" applyAlignment="1">
      <alignment horizontal="center"/>
    </xf>
    <xf numFmtId="0" fontId="0" fillId="6" borderId="9" xfId="0" applyFill="1" applyBorder="1" applyAlignment="1">
      <alignment horizontal="center"/>
    </xf>
    <xf numFmtId="0" fontId="0" fillId="6" borderId="1" xfId="0" applyFill="1" applyBorder="1" applyAlignment="1">
      <alignment horizontal="center"/>
    </xf>
    <xf numFmtId="0" fontId="0" fillId="7" borderId="24" xfId="0" applyFill="1" applyBorder="1" applyAlignment="1">
      <alignment horizontal="left"/>
    </xf>
    <xf numFmtId="0" fontId="0" fillId="7" borderId="23" xfId="0" applyFill="1" applyBorder="1" applyAlignment="1">
      <alignment horizontal="left"/>
    </xf>
    <xf numFmtId="0" fontId="0" fillId="7" borderId="12" xfId="0" applyFill="1" applyBorder="1"/>
    <xf numFmtId="0" fontId="0" fillId="7" borderId="4" xfId="0" applyFill="1" applyBorder="1"/>
    <xf numFmtId="0" fontId="0" fillId="7" borderId="4" xfId="0" applyFill="1" applyBorder="1" applyAlignment="1">
      <alignment horizontal="center"/>
    </xf>
    <xf numFmtId="0" fontId="8" fillId="0" borderId="37" xfId="0" applyFont="1" applyBorder="1"/>
    <xf numFmtId="0" fontId="0" fillId="0" borderId="58" xfId="0" applyBorder="1"/>
    <xf numFmtId="0" fontId="0" fillId="0" borderId="59" xfId="0" applyBorder="1"/>
    <xf numFmtId="0" fontId="0" fillId="0" borderId="60" xfId="0" applyBorder="1"/>
    <xf numFmtId="0" fontId="0" fillId="0" borderId="61" xfId="0" applyBorder="1"/>
    <xf numFmtId="0" fontId="0" fillId="0" borderId="62" xfId="0" applyBorder="1"/>
    <xf numFmtId="0" fontId="3" fillId="0" borderId="62" xfId="0" applyFont="1" applyBorder="1"/>
    <xf numFmtId="0" fontId="0" fillId="0" borderId="63" xfId="0" applyBorder="1"/>
    <xf numFmtId="0" fontId="9" fillId="0" borderId="0" xfId="6"/>
    <xf numFmtId="0" fontId="9" fillId="0" borderId="0" xfId="6" applyAlignment="1">
      <alignment vertical="center"/>
    </xf>
    <xf numFmtId="17" fontId="13" fillId="0" borderId="0" xfId="0" applyNumberFormat="1" applyFont="1"/>
    <xf numFmtId="17" fontId="14" fillId="0" borderId="0" xfId="0" applyNumberFormat="1" applyFont="1"/>
    <xf numFmtId="0" fontId="14" fillId="0" borderId="0" xfId="0" applyFont="1"/>
    <xf numFmtId="0" fontId="16" fillId="0" borderId="0" xfId="0" applyFont="1"/>
    <xf numFmtId="0" fontId="13" fillId="0" borderId="0" xfId="0" applyFont="1"/>
    <xf numFmtId="0" fontId="0" fillId="14" borderId="0" xfId="0" applyFill="1"/>
    <xf numFmtId="0" fontId="22" fillId="15" borderId="0" xfId="7" applyFont="1" applyFill="1"/>
    <xf numFmtId="0" fontId="19" fillId="0" borderId="69" xfId="8"/>
    <xf numFmtId="0" fontId="23" fillId="0" borderId="0" xfId="0" applyFont="1"/>
    <xf numFmtId="0" fontId="0" fillId="0" borderId="0" xfId="0" applyAlignment="1">
      <alignment horizontal="left" vertical="center" wrapText="1"/>
    </xf>
    <xf numFmtId="0" fontId="24" fillId="0" borderId="69" xfId="8" applyFont="1" applyAlignment="1">
      <alignment horizontal="left"/>
    </xf>
    <xf numFmtId="0" fontId="24" fillId="0" borderId="69" xfId="8" applyFont="1"/>
    <xf numFmtId="0" fontId="21" fillId="0" borderId="70" xfId="9" applyFont="1" applyAlignment="1">
      <alignment horizontal="left"/>
    </xf>
    <xf numFmtId="0" fontId="21" fillId="0" borderId="70" xfId="9" applyFont="1"/>
    <xf numFmtId="0" fontId="0" fillId="0" borderId="0" xfId="0" applyAlignment="1">
      <alignment horizontal="left"/>
    </xf>
    <xf numFmtId="0" fontId="0" fillId="0" borderId="65" xfId="0" applyBorder="1"/>
    <xf numFmtId="10" fontId="0" fillId="0" borderId="0" xfId="1" applyNumberFormat="1" applyFont="1"/>
    <xf numFmtId="171" fontId="9" fillId="0" borderId="0" xfId="6" applyNumberFormat="1"/>
    <xf numFmtId="0" fontId="0" fillId="0" borderId="74" xfId="0" applyBorder="1"/>
    <xf numFmtId="0" fontId="2" fillId="0" borderId="57" xfId="10" applyFont="1" applyBorder="1"/>
    <xf numFmtId="177" fontId="2" fillId="0" borderId="74" xfId="10" applyNumberFormat="1" applyFont="1" applyBorder="1"/>
    <xf numFmtId="0" fontId="2" fillId="0" borderId="74" xfId="10" applyFont="1" applyBorder="1"/>
    <xf numFmtId="174" fontId="2" fillId="0" borderId="74" xfId="10" applyNumberFormat="1" applyFont="1" applyBorder="1"/>
    <xf numFmtId="174" fontId="2" fillId="0" borderId="41" xfId="10" applyNumberFormat="1" applyFont="1" applyBorder="1"/>
    <xf numFmtId="178" fontId="27" fillId="18" borderId="41" xfId="10" applyNumberFormat="1" applyFont="1" applyFill="1" applyBorder="1"/>
    <xf numFmtId="0" fontId="28" fillId="0" borderId="0" xfId="0" applyFont="1"/>
    <xf numFmtId="0" fontId="0" fillId="0" borderId="72" xfId="0" applyBorder="1"/>
    <xf numFmtId="174" fontId="2" fillId="0" borderId="0" xfId="10" applyNumberFormat="1" applyFont="1"/>
    <xf numFmtId="0" fontId="0" fillId="0" borderId="73" xfId="0" applyBorder="1"/>
    <xf numFmtId="0" fontId="2" fillId="0" borderId="0" xfId="10" applyFont="1" applyAlignment="1">
      <alignment horizontal="center" vertical="center"/>
    </xf>
    <xf numFmtId="177" fontId="2" fillId="0" borderId="0" xfId="10" applyNumberFormat="1" applyFont="1"/>
    <xf numFmtId="0" fontId="2" fillId="0" borderId="0" xfId="10" applyFont="1"/>
    <xf numFmtId="179" fontId="0" fillId="0" borderId="0" xfId="0" applyNumberFormat="1"/>
    <xf numFmtId="10" fontId="29" fillId="0" borderId="94" xfId="0" applyNumberFormat="1" applyFont="1" applyBorder="1"/>
    <xf numFmtId="0" fontId="0" fillId="0" borderId="97" xfId="0" applyBorder="1" applyAlignment="1">
      <alignment horizontal="center"/>
    </xf>
    <xf numFmtId="0" fontId="0" fillId="0" borderId="98" xfId="0" applyBorder="1" applyAlignment="1">
      <alignment horizontal="center"/>
    </xf>
    <xf numFmtId="0" fontId="32" fillId="0" borderId="0" xfId="0" applyFont="1"/>
    <xf numFmtId="180" fontId="0" fillId="0" borderId="0" xfId="0" applyNumberFormat="1"/>
    <xf numFmtId="0" fontId="0" fillId="0" borderId="99" xfId="0" applyBorder="1"/>
    <xf numFmtId="177" fontId="0" fillId="0" borderId="0" xfId="10" applyNumberFormat="1" applyFont="1"/>
    <xf numFmtId="177" fontId="0" fillId="0" borderId="74" xfId="0" applyNumberFormat="1" applyBorder="1"/>
    <xf numFmtId="177" fontId="0" fillId="0" borderId="0" xfId="0" applyNumberFormat="1"/>
    <xf numFmtId="174" fontId="0" fillId="0" borderId="0" xfId="10" applyNumberFormat="1" applyFont="1"/>
    <xf numFmtId="180" fontId="0" fillId="0" borderId="74" xfId="0" applyNumberFormat="1" applyBorder="1"/>
    <xf numFmtId="178" fontId="0" fillId="0" borderId="0" xfId="0" applyNumberFormat="1"/>
    <xf numFmtId="0" fontId="0" fillId="0" borderId="0" xfId="0" applyAlignment="1">
      <alignment horizontal="center"/>
    </xf>
    <xf numFmtId="174" fontId="0" fillId="0" borderId="77" xfId="10" applyNumberFormat="1" applyFont="1" applyBorder="1"/>
    <xf numFmtId="0" fontId="0" fillId="15" borderId="104" xfId="0" applyFill="1" applyBorder="1"/>
    <xf numFmtId="0" fontId="7" fillId="20" borderId="0" xfId="0" applyFont="1" applyFill="1"/>
    <xf numFmtId="0" fontId="33" fillId="20" borderId="0" xfId="0" applyFont="1" applyFill="1"/>
    <xf numFmtId="0" fontId="34" fillId="6" borderId="104" xfId="13" applyNumberFormat="1" applyFont="1" applyFill="1" applyBorder="1" applyAlignment="1">
      <alignment horizontal="center" vertical="center"/>
    </xf>
    <xf numFmtId="0" fontId="33" fillId="6" borderId="0" xfId="0" applyFont="1" applyFill="1"/>
    <xf numFmtId="0" fontId="34" fillId="13" borderId="104" xfId="13" applyNumberFormat="1" applyFont="1" applyFill="1" applyBorder="1" applyAlignment="1">
      <alignment horizontal="center" vertical="center"/>
    </xf>
    <xf numFmtId="10" fontId="0" fillId="0" borderId="0" xfId="1" applyNumberFormat="1" applyFont="1" applyFill="1" applyBorder="1"/>
    <xf numFmtId="167" fontId="0" fillId="0" borderId="0" xfId="1" applyNumberFormat="1" applyFont="1"/>
    <xf numFmtId="182" fontId="0" fillId="6" borderId="4" xfId="2" applyNumberFormat="1" applyFont="1" applyFill="1" applyBorder="1"/>
    <xf numFmtId="166" fontId="0" fillId="0" borderId="0" xfId="0" applyNumberFormat="1"/>
    <xf numFmtId="184" fontId="0" fillId="0" borderId="0" xfId="2" applyNumberFormat="1" applyFont="1"/>
    <xf numFmtId="0" fontId="2" fillId="0" borderId="75" xfId="10" applyFont="1" applyBorder="1"/>
    <xf numFmtId="174" fontId="2" fillId="0" borderId="76" xfId="10" applyNumberFormat="1" applyFont="1" applyBorder="1"/>
    <xf numFmtId="43" fontId="0" fillId="7" borderId="10" xfId="0" applyNumberFormat="1" applyFill="1" applyBorder="1"/>
    <xf numFmtId="167" fontId="1" fillId="0" borderId="0" xfId="0" applyNumberFormat="1" applyFont="1"/>
    <xf numFmtId="9" fontId="1" fillId="0" borderId="0" xfId="0" applyNumberFormat="1" applyFont="1"/>
    <xf numFmtId="10" fontId="0" fillId="0" borderId="0" xfId="0" applyNumberFormat="1"/>
    <xf numFmtId="167" fontId="27" fillId="0" borderId="0" xfId="0" applyNumberFormat="1" applyFont="1"/>
    <xf numFmtId="165" fontId="0" fillId="0" borderId="0" xfId="0" applyNumberFormat="1"/>
    <xf numFmtId="167" fontId="0" fillId="0" borderId="0" xfId="0" applyNumberFormat="1"/>
    <xf numFmtId="43" fontId="0" fillId="0" borderId="0" xfId="2" applyFont="1" applyFill="1" applyBorder="1"/>
    <xf numFmtId="169" fontId="0" fillId="0" borderId="0" xfId="0" applyNumberFormat="1" applyAlignment="1">
      <alignment horizontal="left"/>
    </xf>
    <xf numFmtId="10" fontId="0" fillId="0" borderId="0" xfId="1" applyNumberFormat="1" applyFont="1" applyFill="1" applyBorder="1" applyAlignment="1">
      <alignment horizontal="center"/>
    </xf>
    <xf numFmtId="9" fontId="0" fillId="0" borderId="0" xfId="1" applyFont="1" applyFill="1" applyBorder="1"/>
    <xf numFmtId="9" fontId="0" fillId="0" borderId="0" xfId="1" applyFont="1" applyFill="1" applyBorder="1" applyAlignment="1">
      <alignment horizontal="center"/>
    </xf>
    <xf numFmtId="9" fontId="0" fillId="0" borderId="0" xfId="0" applyNumberFormat="1"/>
    <xf numFmtId="10" fontId="0" fillId="0" borderId="0" xfId="0" applyNumberFormat="1" applyAlignment="1">
      <alignment horizontal="center"/>
    </xf>
    <xf numFmtId="182" fontId="0" fillId="0" borderId="0" xfId="0" applyNumberFormat="1" applyAlignment="1">
      <alignment horizontal="center"/>
    </xf>
    <xf numFmtId="167" fontId="0" fillId="0" borderId="0" xfId="0" applyNumberFormat="1" applyAlignment="1">
      <alignment horizontal="right"/>
    </xf>
    <xf numFmtId="9" fontId="0" fillId="0" borderId="0" xfId="1" applyFont="1" applyFill="1" applyBorder="1" applyAlignment="1">
      <alignment horizontal="right"/>
    </xf>
    <xf numFmtId="9" fontId="0" fillId="0" borderId="0" xfId="0" applyNumberFormat="1" applyAlignment="1">
      <alignment horizontal="right"/>
    </xf>
    <xf numFmtId="3" fontId="0" fillId="0" borderId="0" xfId="0" applyNumberFormat="1"/>
    <xf numFmtId="178" fontId="35" fillId="0" borderId="0" xfId="0" applyNumberFormat="1" applyFont="1"/>
    <xf numFmtId="0" fontId="37" fillId="0" borderId="3" xfId="0" applyFont="1" applyBorder="1"/>
    <xf numFmtId="0" fontId="37" fillId="0" borderId="0" xfId="0" applyFont="1"/>
    <xf numFmtId="0" fontId="38" fillId="0" borderId="1" xfId="0" applyFont="1" applyBorder="1"/>
    <xf numFmtId="0" fontId="38" fillId="0" borderId="12" xfId="0" applyFont="1" applyBorder="1"/>
    <xf numFmtId="0" fontId="38" fillId="0" borderId="3" xfId="0" applyFont="1" applyBorder="1"/>
    <xf numFmtId="0" fontId="37" fillId="0" borderId="4" xfId="0" applyFont="1" applyBorder="1"/>
    <xf numFmtId="0" fontId="37" fillId="0" borderId="1" xfId="0" applyFont="1" applyBorder="1"/>
    <xf numFmtId="0" fontId="37" fillId="0" borderId="14" xfId="0" applyFont="1" applyBorder="1"/>
    <xf numFmtId="0" fontId="37" fillId="0" borderId="15" xfId="0" applyFont="1" applyBorder="1"/>
    <xf numFmtId="0" fontId="37" fillId="0" borderId="12" xfId="0" applyFont="1" applyBorder="1"/>
    <xf numFmtId="0" fontId="37" fillId="0" borderId="1" xfId="0" applyFont="1" applyBorder="1" applyAlignment="1">
      <alignment horizontal="center"/>
    </xf>
    <xf numFmtId="168" fontId="37" fillId="0" borderId="1" xfId="1" applyNumberFormat="1" applyFont="1" applyFill="1" applyBorder="1"/>
    <xf numFmtId="0" fontId="39" fillId="0" borderId="1" xfId="0" applyFont="1" applyBorder="1"/>
    <xf numFmtId="10" fontId="37" fillId="0" borderId="1" xfId="0" applyNumberFormat="1" applyFont="1" applyBorder="1"/>
    <xf numFmtId="0" fontId="40" fillId="0" borderId="1" xfId="3" applyFont="1" applyFill="1" applyBorder="1" applyAlignment="1">
      <alignment horizontal="center"/>
    </xf>
    <xf numFmtId="10" fontId="37" fillId="0" borderId="1" xfId="1" applyNumberFormat="1" applyFont="1" applyFill="1" applyBorder="1"/>
    <xf numFmtId="0" fontId="42" fillId="0" borderId="0" xfId="0" applyFont="1"/>
    <xf numFmtId="0" fontId="43" fillId="17" borderId="0" xfId="10" applyFont="1" applyFill="1" applyAlignment="1">
      <alignment horizontal="center"/>
    </xf>
    <xf numFmtId="0" fontId="43" fillId="17" borderId="74" xfId="10" applyFont="1" applyFill="1" applyBorder="1" applyAlignment="1">
      <alignment horizontal="center"/>
    </xf>
    <xf numFmtId="166" fontId="42" fillId="0" borderId="0" xfId="0" applyNumberFormat="1" applyFont="1"/>
    <xf numFmtId="178" fontId="42" fillId="0" borderId="0" xfId="0" applyNumberFormat="1" applyFont="1"/>
    <xf numFmtId="0" fontId="43" fillId="16" borderId="71" xfId="10" applyFont="1" applyFill="1" applyBorder="1" applyAlignment="1">
      <alignment horizontal="center"/>
    </xf>
    <xf numFmtId="0" fontId="43" fillId="16" borderId="72" xfId="10" applyFont="1" applyFill="1" applyBorder="1" applyAlignment="1">
      <alignment horizontal="center"/>
    </xf>
    <xf numFmtId="0" fontId="43" fillId="16" borderId="73" xfId="10" applyFont="1" applyFill="1" applyBorder="1" applyAlignment="1">
      <alignment horizontal="center"/>
    </xf>
    <xf numFmtId="0" fontId="46" fillId="0" borderId="95" xfId="0" applyFont="1" applyBorder="1" applyAlignment="1">
      <alignment horizontal="center" vertical="center"/>
    </xf>
    <xf numFmtId="0" fontId="46" fillId="0" borderId="96" xfId="0" applyFont="1" applyBorder="1" applyAlignment="1">
      <alignment horizontal="center" vertical="center"/>
    </xf>
    <xf numFmtId="0" fontId="43" fillId="17" borderId="57" xfId="10" applyFont="1" applyFill="1" applyBorder="1" applyAlignment="1">
      <alignment horizontal="center" vertical="top"/>
    </xf>
    <xf numFmtId="0" fontId="42" fillId="0" borderId="97" xfId="0" applyFont="1" applyBorder="1" applyAlignment="1">
      <alignment horizontal="center"/>
    </xf>
    <xf numFmtId="0" fontId="42" fillId="0" borderId="98" xfId="0" applyFont="1" applyBorder="1" applyAlignment="1">
      <alignment horizontal="center"/>
    </xf>
    <xf numFmtId="2" fontId="42" fillId="0" borderId="97" xfId="0" applyNumberFormat="1" applyFont="1" applyBorder="1"/>
    <xf numFmtId="2" fontId="42" fillId="0" borderId="98" xfId="0" applyNumberFormat="1" applyFont="1" applyBorder="1"/>
    <xf numFmtId="2" fontId="42" fillId="0" borderId="97" xfId="0" applyNumberFormat="1" applyFont="1" applyBorder="1" applyAlignment="1">
      <alignment horizontal="center"/>
    </xf>
    <xf numFmtId="0" fontId="42" fillId="0" borderId="57" xfId="10" applyFont="1" applyBorder="1"/>
    <xf numFmtId="177" fontId="47" fillId="0" borderId="0" xfId="11" applyNumberFormat="1" applyFont="1" applyBorder="1"/>
    <xf numFmtId="177" fontId="42" fillId="0" borderId="0" xfId="10" applyNumberFormat="1" applyFont="1"/>
    <xf numFmtId="177" fontId="42" fillId="0" borderId="74" xfId="10" applyNumberFormat="1" applyFont="1" applyBorder="1"/>
    <xf numFmtId="177" fontId="47" fillId="0" borderId="0" xfId="11" applyNumberFormat="1" applyFont="1"/>
    <xf numFmtId="180" fontId="42" fillId="0" borderId="0" xfId="12" applyNumberFormat="1" applyFont="1" applyBorder="1"/>
    <xf numFmtId="180" fontId="42" fillId="0" borderId="74" xfId="0" applyNumberFormat="1" applyFont="1" applyBorder="1"/>
    <xf numFmtId="0" fontId="43" fillId="23" borderId="57" xfId="10" applyFont="1" applyFill="1" applyBorder="1" applyAlignment="1">
      <alignment horizontal="center" vertical="top"/>
    </xf>
    <xf numFmtId="0" fontId="43" fillId="23" borderId="0" xfId="10" applyFont="1" applyFill="1" applyAlignment="1">
      <alignment horizontal="center"/>
    </xf>
    <xf numFmtId="0" fontId="43" fillId="23" borderId="74" xfId="10" applyFont="1" applyFill="1" applyBorder="1" applyAlignment="1">
      <alignment horizontal="center"/>
    </xf>
    <xf numFmtId="0" fontId="42" fillId="0" borderId="74" xfId="10" applyFont="1" applyBorder="1"/>
    <xf numFmtId="180" fontId="42" fillId="0" borderId="0" xfId="0" applyNumberFormat="1" applyFont="1"/>
    <xf numFmtId="0" fontId="42" fillId="0" borderId="74" xfId="0" applyFont="1" applyBorder="1"/>
    <xf numFmtId="177" fontId="42" fillId="0" borderId="74" xfId="0" applyNumberFormat="1" applyFont="1" applyBorder="1"/>
    <xf numFmtId="177" fontId="42" fillId="0" borderId="0" xfId="0" applyNumberFormat="1" applyFont="1"/>
    <xf numFmtId="0" fontId="42" fillId="0" borderId="0" xfId="10" applyFont="1"/>
    <xf numFmtId="174" fontId="42" fillId="0" borderId="0" xfId="10" applyNumberFormat="1" applyFont="1"/>
    <xf numFmtId="0" fontId="43" fillId="0" borderId="0" xfId="10" applyFont="1"/>
    <xf numFmtId="178" fontId="48" fillId="0" borderId="0" xfId="10" applyNumberFormat="1" applyFont="1"/>
    <xf numFmtId="178" fontId="43" fillId="0" borderId="0" xfId="10" applyNumberFormat="1" applyFont="1"/>
    <xf numFmtId="174" fontId="42" fillId="0" borderId="74" xfId="10" applyNumberFormat="1" applyFont="1" applyBorder="1"/>
    <xf numFmtId="177" fontId="47" fillId="0" borderId="0" xfId="11" applyNumberFormat="1" applyFont="1" applyFill="1" applyBorder="1"/>
    <xf numFmtId="0" fontId="49" fillId="0" borderId="0" xfId="0" applyFont="1"/>
    <xf numFmtId="0" fontId="42" fillId="0" borderId="86" xfId="10" applyFont="1" applyBorder="1"/>
    <xf numFmtId="177" fontId="47" fillId="0" borderId="87" xfId="11" applyNumberFormat="1" applyFont="1" applyBorder="1"/>
    <xf numFmtId="180" fontId="42" fillId="0" borderId="0" xfId="12" applyNumberFormat="1" applyFont="1"/>
    <xf numFmtId="0" fontId="42" fillId="0" borderId="72" xfId="0" applyFont="1" applyBorder="1"/>
    <xf numFmtId="0" fontId="42" fillId="0" borderId="73" xfId="0" applyFont="1" applyBorder="1"/>
    <xf numFmtId="0" fontId="46" fillId="0" borderId="0" xfId="0" applyFont="1" applyAlignment="1">
      <alignment horizontal="center" vertical="center"/>
    </xf>
    <xf numFmtId="0" fontId="42" fillId="0" borderId="0" xfId="0" applyFont="1" applyAlignment="1">
      <alignment horizontal="center"/>
    </xf>
    <xf numFmtId="0" fontId="42" fillId="0" borderId="75" xfId="10" applyFont="1" applyBorder="1"/>
    <xf numFmtId="174" fontId="42" fillId="0" borderId="76" xfId="10" applyNumberFormat="1" applyFont="1" applyBorder="1"/>
    <xf numFmtId="174" fontId="42" fillId="0" borderId="77" xfId="10" applyNumberFormat="1" applyFont="1" applyBorder="1"/>
    <xf numFmtId="179" fontId="42" fillId="0" borderId="0" xfId="0" applyNumberFormat="1" applyFont="1"/>
    <xf numFmtId="166" fontId="50" fillId="5" borderId="38" xfId="2" applyNumberFormat="1" applyFont="1" applyFill="1" applyBorder="1"/>
    <xf numFmtId="166" fontId="51" fillId="5" borderId="41" xfId="2" applyNumberFormat="1" applyFont="1" applyFill="1" applyBorder="1"/>
    <xf numFmtId="166" fontId="50" fillId="5" borderId="41" xfId="2" applyNumberFormat="1" applyFont="1" applyFill="1" applyBorder="1"/>
    <xf numFmtId="166" fontId="50" fillId="5" borderId="42" xfId="2" applyNumberFormat="1" applyFont="1" applyFill="1" applyBorder="1"/>
    <xf numFmtId="166" fontId="43" fillId="5" borderId="38" xfId="2" applyNumberFormat="1" applyFont="1" applyFill="1" applyBorder="1"/>
    <xf numFmtId="166" fontId="42" fillId="5" borderId="41" xfId="2" applyNumberFormat="1" applyFont="1" applyFill="1" applyBorder="1"/>
    <xf numFmtId="166" fontId="43" fillId="5" borderId="41" xfId="2" applyNumberFormat="1" applyFont="1" applyFill="1" applyBorder="1"/>
    <xf numFmtId="166" fontId="43" fillId="5" borderId="42" xfId="2" applyNumberFormat="1" applyFont="1" applyFill="1" applyBorder="1"/>
    <xf numFmtId="0" fontId="42" fillId="0" borderId="130" xfId="0" applyFont="1" applyBorder="1"/>
    <xf numFmtId="0" fontId="42" fillId="0" borderId="67" xfId="0" applyFont="1" applyBorder="1"/>
    <xf numFmtId="0" fontId="42" fillId="0" borderId="88" xfId="0" applyFont="1" applyBorder="1"/>
    <xf numFmtId="0" fontId="42" fillId="0" borderId="89" xfId="0" applyFont="1" applyBorder="1"/>
    <xf numFmtId="0" fontId="42" fillId="0" borderId="57" xfId="0" applyFont="1" applyBorder="1"/>
    <xf numFmtId="0" fontId="42" fillId="0" borderId="131" xfId="0" applyFont="1" applyBorder="1"/>
    <xf numFmtId="0" fontId="42" fillId="0" borderId="132" xfId="0" applyFont="1" applyBorder="1"/>
    <xf numFmtId="0" fontId="52" fillId="24" borderId="76" xfId="0" applyFont="1" applyFill="1" applyBorder="1"/>
    <xf numFmtId="0" fontId="52" fillId="24" borderId="77" xfId="0" applyFont="1" applyFill="1" applyBorder="1"/>
    <xf numFmtId="166" fontId="52" fillId="24" borderId="63" xfId="0" applyNumberFormat="1" applyFont="1" applyFill="1" applyBorder="1"/>
    <xf numFmtId="178" fontId="42" fillId="0" borderId="67" xfId="0" applyNumberFormat="1" applyFont="1" applyBorder="1"/>
    <xf numFmtId="166" fontId="42" fillId="0" borderId="67" xfId="0" applyNumberFormat="1" applyFont="1" applyBorder="1"/>
    <xf numFmtId="166" fontId="43" fillId="23" borderId="62" xfId="0" applyNumberFormat="1" applyFont="1" applyFill="1" applyBorder="1"/>
    <xf numFmtId="166" fontId="43" fillId="23" borderId="133" xfId="0" applyNumberFormat="1" applyFont="1" applyFill="1" applyBorder="1"/>
    <xf numFmtId="178" fontId="43" fillId="23" borderId="62" xfId="0" applyNumberFormat="1" applyFont="1" applyFill="1" applyBorder="1"/>
    <xf numFmtId="0" fontId="53" fillId="0" borderId="0" xfId="0" applyFont="1"/>
    <xf numFmtId="0" fontId="55" fillId="0" borderId="0" xfId="0" applyFont="1" applyAlignment="1">
      <alignment horizontal="left" vertical="center"/>
    </xf>
    <xf numFmtId="0" fontId="54" fillId="0" borderId="84" xfId="0" applyFont="1" applyBorder="1" applyAlignment="1">
      <alignment horizontal="left" vertical="center" wrapText="1"/>
    </xf>
    <xf numFmtId="0" fontId="53" fillId="0" borderId="66" xfId="0" applyFont="1" applyBorder="1" applyAlignment="1">
      <alignment vertical="center"/>
    </xf>
    <xf numFmtId="0" fontId="53" fillId="0" borderId="65" xfId="0" applyFont="1" applyBorder="1" applyAlignment="1">
      <alignment vertical="center"/>
    </xf>
    <xf numFmtId="0" fontId="53" fillId="0" borderId="65" xfId="0" applyFont="1" applyBorder="1" applyAlignment="1">
      <alignment horizontal="left" vertical="center"/>
    </xf>
    <xf numFmtId="0" fontId="53" fillId="0" borderId="91" xfId="0" applyFont="1" applyBorder="1" applyAlignment="1">
      <alignment vertical="center"/>
    </xf>
    <xf numFmtId="181" fontId="53" fillId="0" borderId="100" xfId="0" applyNumberFormat="1" applyFont="1" applyBorder="1" applyAlignment="1">
      <alignment vertical="center"/>
    </xf>
    <xf numFmtId="181" fontId="53" fillId="0" borderId="77" xfId="0" applyNumberFormat="1" applyFont="1" applyBorder="1" applyAlignment="1">
      <alignment vertical="center"/>
    </xf>
    <xf numFmtId="181" fontId="42" fillId="0" borderId="63" xfId="0" applyNumberFormat="1" applyFont="1" applyBorder="1"/>
    <xf numFmtId="181" fontId="42" fillId="0" borderId="0" xfId="0" applyNumberFormat="1" applyFont="1"/>
    <xf numFmtId="0" fontId="56" fillId="0" borderId="0" xfId="0" applyFont="1" applyAlignment="1">
      <alignment horizontal="center" vertical="center"/>
    </xf>
    <xf numFmtId="0" fontId="56" fillId="0" borderId="0" xfId="0" applyFont="1" applyAlignment="1">
      <alignment vertical="center"/>
    </xf>
    <xf numFmtId="0" fontId="54" fillId="0" borderId="37" xfId="0" applyFont="1" applyBorder="1" applyAlignment="1">
      <alignment horizontal="center" vertical="center"/>
    </xf>
    <xf numFmtId="0" fontId="57" fillId="0" borderId="0" xfId="0" applyFont="1"/>
    <xf numFmtId="0" fontId="57" fillId="0" borderId="101" xfId="0" applyFont="1" applyBorder="1"/>
    <xf numFmtId="0" fontId="57" fillId="0" borderId="102" xfId="0" applyFont="1" applyBorder="1"/>
    <xf numFmtId="0" fontId="57" fillId="0" borderId="103" xfId="0" applyFont="1" applyBorder="1"/>
    <xf numFmtId="0" fontId="57" fillId="0" borderId="71" xfId="0" applyFont="1" applyBorder="1"/>
    <xf numFmtId="0" fontId="57" fillId="0" borderId="124" xfId="0" applyFont="1" applyBorder="1"/>
    <xf numFmtId="0" fontId="57" fillId="0" borderId="126" xfId="0" applyFont="1" applyBorder="1"/>
    <xf numFmtId="0" fontId="54" fillId="0" borderId="84" xfId="0" applyFont="1" applyBorder="1" applyAlignment="1">
      <alignment horizontal="center" vertical="center"/>
    </xf>
    <xf numFmtId="181" fontId="53" fillId="0" borderId="95" xfId="0" applyNumberFormat="1" applyFont="1" applyBorder="1" applyAlignment="1">
      <alignment vertical="center"/>
    </xf>
    <xf numFmtId="181" fontId="53" fillId="0" borderId="125" xfId="0" applyNumberFormat="1" applyFont="1" applyBorder="1" applyAlignment="1">
      <alignment vertical="center"/>
    </xf>
    <xf numFmtId="0" fontId="42" fillId="0" borderId="79" xfId="0" applyFont="1" applyBorder="1"/>
    <xf numFmtId="0" fontId="42" fillId="0" borderId="125" xfId="0" applyFont="1" applyBorder="1"/>
    <xf numFmtId="0" fontId="53" fillId="0" borderId="81" xfId="0" applyFont="1" applyBorder="1" applyAlignment="1">
      <alignment vertical="center"/>
    </xf>
    <xf numFmtId="0" fontId="53" fillId="0" borderId="105" xfId="0" applyFont="1" applyBorder="1" applyAlignment="1">
      <alignment vertical="center"/>
    </xf>
    <xf numFmtId="0" fontId="53" fillId="0" borderId="125" xfId="0" applyFont="1" applyBorder="1" applyAlignment="1">
      <alignment vertical="center"/>
    </xf>
    <xf numFmtId="0" fontId="53" fillId="0" borderId="84" xfId="0" applyFont="1" applyBorder="1" applyAlignment="1">
      <alignment vertical="center"/>
    </xf>
    <xf numFmtId="178" fontId="53" fillId="0" borderId="125" xfId="0" applyNumberFormat="1" applyFont="1" applyBorder="1" applyAlignment="1">
      <alignment vertical="center"/>
    </xf>
    <xf numFmtId="178" fontId="53" fillId="22" borderId="125" xfId="0" applyNumberFormat="1" applyFont="1" applyFill="1" applyBorder="1" applyAlignment="1">
      <alignment vertical="center"/>
    </xf>
    <xf numFmtId="181" fontId="53" fillId="0" borderId="125" xfId="0" applyNumberFormat="1" applyFont="1" applyBorder="1" applyAlignment="1">
      <alignment horizontal="center" vertical="center"/>
    </xf>
    <xf numFmtId="0" fontId="42" fillId="0" borderId="96" xfId="0" applyFont="1" applyBorder="1"/>
    <xf numFmtId="181" fontId="53" fillId="0" borderId="0" xfId="0" applyNumberFormat="1" applyFont="1" applyAlignment="1">
      <alignment vertical="center"/>
    </xf>
    <xf numFmtId="0" fontId="54" fillId="0" borderId="88" xfId="0" applyFont="1" applyBorder="1" applyAlignment="1">
      <alignment horizontal="center" vertical="center"/>
    </xf>
    <xf numFmtId="181" fontId="53" fillId="0" borderId="65" xfId="0" applyNumberFormat="1" applyFont="1" applyBorder="1" applyAlignment="1">
      <alignment horizontal="center" vertical="center"/>
    </xf>
    <xf numFmtId="178" fontId="53" fillId="0" borderId="0" xfId="0" applyNumberFormat="1" applyFont="1" applyAlignment="1">
      <alignment vertical="center"/>
    </xf>
    <xf numFmtId="0" fontId="53" fillId="0" borderId="0" xfId="0" applyFont="1" applyAlignment="1">
      <alignment vertical="center"/>
    </xf>
    <xf numFmtId="181" fontId="54" fillId="0" borderId="106" xfId="0" applyNumberFormat="1" applyFont="1" applyBorder="1" applyAlignment="1">
      <alignment vertical="center"/>
    </xf>
    <xf numFmtId="181" fontId="54" fillId="0" borderId="107" xfId="0" applyNumberFormat="1" applyFont="1" applyBorder="1" applyAlignment="1">
      <alignment vertical="center"/>
    </xf>
    <xf numFmtId="181" fontId="54" fillId="0" borderId="109" xfId="0" applyNumberFormat="1" applyFont="1" applyBorder="1" applyAlignment="1">
      <alignment vertical="center"/>
    </xf>
    <xf numFmtId="181" fontId="54" fillId="0" borderId="75" xfId="0" applyNumberFormat="1" applyFont="1" applyBorder="1" applyAlignment="1">
      <alignment vertical="center"/>
    </xf>
    <xf numFmtId="181" fontId="54" fillId="0" borderId="76" xfId="0" applyNumberFormat="1" applyFont="1" applyBorder="1" applyAlignment="1">
      <alignment vertical="center"/>
    </xf>
    <xf numFmtId="181" fontId="54" fillId="0" borderId="0" xfId="0" applyNumberFormat="1" applyFont="1" applyAlignment="1">
      <alignment vertical="center"/>
    </xf>
    <xf numFmtId="181" fontId="54" fillId="0" borderId="37" xfId="0" applyNumberFormat="1" applyFont="1" applyBorder="1" applyAlignment="1">
      <alignment vertical="center"/>
    </xf>
    <xf numFmtId="181" fontId="54" fillId="0" borderId="63" xfId="0" applyNumberFormat="1" applyFont="1" applyBorder="1" applyAlignment="1">
      <alignment vertical="center"/>
    </xf>
    <xf numFmtId="10" fontId="54" fillId="0" borderId="37" xfId="1" applyNumberFormat="1" applyFont="1" applyBorder="1" applyAlignment="1">
      <alignment vertical="center"/>
    </xf>
    <xf numFmtId="0" fontId="54" fillId="0" borderId="0" xfId="0" applyFont="1" applyAlignment="1">
      <alignment horizontal="left" vertical="center" wrapText="1"/>
    </xf>
    <xf numFmtId="0" fontId="61" fillId="0" borderId="0" xfId="0" applyFont="1" applyAlignment="1">
      <alignment horizontal="center" vertical="center"/>
    </xf>
    <xf numFmtId="0" fontId="53" fillId="0" borderId="0" xfId="0" applyFont="1" applyAlignment="1">
      <alignment horizontal="left" vertical="center"/>
    </xf>
    <xf numFmtId="0" fontId="51" fillId="0" borderId="0" xfId="0" applyFont="1" applyAlignment="1">
      <alignment horizontal="center" vertical="center"/>
    </xf>
    <xf numFmtId="0" fontId="54" fillId="0" borderId="0" xfId="0" applyFont="1" applyAlignment="1">
      <alignment horizontal="left" vertical="center"/>
    </xf>
    <xf numFmtId="0" fontId="59" fillId="0" borderId="0" xfId="0" applyFont="1" applyAlignment="1">
      <alignment horizontal="left" vertical="center"/>
    </xf>
    <xf numFmtId="181" fontId="60" fillId="0" borderId="0" xfId="0" applyNumberFormat="1" applyFont="1" applyAlignment="1">
      <alignment horizontal="center" vertical="center"/>
    </xf>
    <xf numFmtId="0" fontId="57" fillId="0" borderId="0" xfId="0" applyFont="1" applyAlignment="1">
      <alignment horizontal="center"/>
    </xf>
    <xf numFmtId="0" fontId="54" fillId="0" borderId="0" xfId="0" applyFont="1" applyAlignment="1">
      <alignment horizontal="center" vertical="center"/>
    </xf>
    <xf numFmtId="0" fontId="54" fillId="0" borderId="108" xfId="0" applyFont="1" applyBorder="1" applyAlignment="1">
      <alignment horizontal="left" vertical="center" wrapText="1"/>
    </xf>
    <xf numFmtId="0" fontId="55" fillId="0" borderId="63" xfId="0" applyFont="1" applyBorder="1" applyAlignment="1">
      <alignment horizontal="left" vertical="center"/>
    </xf>
    <xf numFmtId="181" fontId="60" fillId="0" borderId="75" xfId="0" applyNumberFormat="1" applyFont="1" applyBorder="1" applyAlignment="1">
      <alignment horizontal="center" vertical="center"/>
    </xf>
    <xf numFmtId="181" fontId="54" fillId="0" borderId="92" xfId="0" applyNumberFormat="1" applyFont="1" applyBorder="1" applyAlignment="1">
      <alignment vertical="center"/>
    </xf>
    <xf numFmtId="0" fontId="59" fillId="0" borderId="134" xfId="0" applyFont="1" applyBorder="1" applyAlignment="1">
      <alignment horizontal="left" vertical="center"/>
    </xf>
    <xf numFmtId="0" fontId="54" fillId="0" borderId="131" xfId="0" applyFont="1" applyBorder="1" applyAlignment="1">
      <alignment horizontal="center" vertical="center"/>
    </xf>
    <xf numFmtId="0" fontId="53" fillId="0" borderId="136" xfId="0" applyFont="1" applyBorder="1" applyAlignment="1">
      <alignment vertical="center"/>
    </xf>
    <xf numFmtId="0" fontId="53" fillId="0" borderId="78" xfId="0" applyFont="1" applyBorder="1" applyAlignment="1">
      <alignment vertical="center"/>
    </xf>
    <xf numFmtId="0" fontId="53" fillId="0" borderId="137" xfId="0" applyFont="1" applyBorder="1" applyAlignment="1">
      <alignment vertical="center"/>
    </xf>
    <xf numFmtId="181" fontId="53" fillId="0" borderId="78" xfId="0" applyNumberFormat="1" applyFont="1" applyBorder="1" applyAlignment="1">
      <alignment vertical="center"/>
    </xf>
    <xf numFmtId="181" fontId="53" fillId="0" borderId="135" xfId="0" applyNumberFormat="1" applyFont="1" applyBorder="1" applyAlignment="1">
      <alignment vertical="center"/>
    </xf>
    <xf numFmtId="0" fontId="53" fillId="0" borderId="131" xfId="0" applyFont="1" applyBorder="1" applyAlignment="1">
      <alignment vertical="center"/>
    </xf>
    <xf numFmtId="181" fontId="53" fillId="0" borderId="138" xfId="0" applyNumberFormat="1" applyFont="1" applyBorder="1" applyAlignment="1">
      <alignment vertical="center"/>
    </xf>
    <xf numFmtId="0" fontId="55" fillId="0" borderId="75" xfId="0" applyFont="1" applyBorder="1" applyAlignment="1">
      <alignment horizontal="left" vertical="center"/>
    </xf>
    <xf numFmtId="0" fontId="42" fillId="0" borderId="139" xfId="0" applyFont="1" applyBorder="1"/>
    <xf numFmtId="0" fontId="42" fillId="0" borderId="19" xfId="0" applyFont="1" applyBorder="1"/>
    <xf numFmtId="181" fontId="43" fillId="0" borderId="63" xfId="0" applyNumberFormat="1" applyFont="1" applyBorder="1"/>
    <xf numFmtId="0" fontId="53" fillId="0" borderId="71" xfId="0" applyFont="1" applyBorder="1"/>
    <xf numFmtId="0" fontId="58" fillId="0" borderId="84" xfId="0" applyFont="1" applyBorder="1" applyAlignment="1">
      <alignment horizontal="center" vertical="center"/>
    </xf>
    <xf numFmtId="0" fontId="53" fillId="0" borderId="142" xfId="0" applyFont="1" applyBorder="1" applyAlignment="1">
      <alignment vertical="center"/>
    </xf>
    <xf numFmtId="0" fontId="53" fillId="0" borderId="143" xfId="0" applyFont="1" applyBorder="1" applyAlignment="1">
      <alignment vertical="center"/>
    </xf>
    <xf numFmtId="181" fontId="53" fillId="0" borderId="145" xfId="0" applyNumberFormat="1" applyFont="1" applyBorder="1" applyAlignment="1">
      <alignment vertical="center"/>
    </xf>
    <xf numFmtId="181" fontId="53" fillId="0" borderId="146" xfId="0" applyNumberFormat="1" applyFont="1" applyBorder="1" applyAlignment="1">
      <alignment vertical="center"/>
    </xf>
    <xf numFmtId="181" fontId="53" fillId="0" borderId="141" xfId="0" applyNumberFormat="1" applyFont="1" applyBorder="1" applyAlignment="1">
      <alignment vertical="center"/>
    </xf>
    <xf numFmtId="171" fontId="9" fillId="9" borderId="64" xfId="0" applyNumberFormat="1" applyFont="1" applyFill="1" applyBorder="1"/>
    <xf numFmtId="171" fontId="9" fillId="10" borderId="64" xfId="0" applyNumberFormat="1" applyFont="1" applyFill="1" applyBorder="1"/>
    <xf numFmtId="171" fontId="10" fillId="9" borderId="64" xfId="0" applyNumberFormat="1" applyFont="1" applyFill="1" applyBorder="1"/>
    <xf numFmtId="171" fontId="10" fillId="10" borderId="64" xfId="0" applyNumberFormat="1" applyFont="1" applyFill="1" applyBorder="1"/>
    <xf numFmtId="0" fontId="10" fillId="0" borderId="0" xfId="6" applyFont="1" applyAlignment="1">
      <alignment horizontal="right"/>
    </xf>
    <xf numFmtId="170" fontId="9" fillId="0" borderId="0" xfId="6" applyNumberFormat="1"/>
    <xf numFmtId="172" fontId="9" fillId="0" borderId="0" xfId="6" applyNumberFormat="1"/>
    <xf numFmtId="0" fontId="11" fillId="0" borderId="0" xfId="6" applyFont="1" applyAlignment="1">
      <alignment horizontal="right"/>
    </xf>
    <xf numFmtId="171" fontId="11" fillId="0" borderId="0" xfId="6" applyNumberFormat="1" applyFont="1" applyAlignment="1">
      <alignment horizontal="right"/>
    </xf>
    <xf numFmtId="170" fontId="11" fillId="0" borderId="0" xfId="6" applyNumberFormat="1" applyFont="1" applyAlignment="1">
      <alignment horizontal="right"/>
    </xf>
    <xf numFmtId="172" fontId="11" fillId="0" borderId="0" xfId="6" applyNumberFormat="1" applyFont="1" applyAlignment="1">
      <alignment horizontal="right"/>
    </xf>
    <xf numFmtId="0" fontId="65" fillId="0" borderId="0" xfId="0" applyFont="1"/>
    <xf numFmtId="0" fontId="9" fillId="0" borderId="0" xfId="0" applyFont="1"/>
    <xf numFmtId="0" fontId="10" fillId="9" borderId="64" xfId="0" applyFont="1" applyFill="1" applyBorder="1" applyAlignment="1">
      <alignment horizontal="right"/>
    </xf>
    <xf numFmtId="171" fontId="9" fillId="9" borderId="0" xfId="0" applyNumberFormat="1" applyFont="1" applyFill="1"/>
    <xf numFmtId="0" fontId="10" fillId="10" borderId="64" xfId="0" applyFont="1" applyFill="1" applyBorder="1" applyAlignment="1">
      <alignment horizontal="right"/>
    </xf>
    <xf numFmtId="171" fontId="9" fillId="10" borderId="0" xfId="0" applyNumberFormat="1" applyFont="1" applyFill="1"/>
    <xf numFmtId="10" fontId="9" fillId="0" borderId="0" xfId="1" applyNumberFormat="1" applyFont="1" applyFill="1" applyAlignment="1" applyProtection="1"/>
    <xf numFmtId="176" fontId="9" fillId="0" borderId="0" xfId="0" applyNumberFormat="1" applyFont="1"/>
    <xf numFmtId="170" fontId="9" fillId="9" borderId="0" xfId="0" applyNumberFormat="1" applyFont="1" applyFill="1"/>
    <xf numFmtId="170" fontId="9" fillId="9" borderId="64" xfId="0" applyNumberFormat="1" applyFont="1" applyFill="1" applyBorder="1"/>
    <xf numFmtId="170" fontId="9" fillId="10" borderId="0" xfId="0" applyNumberFormat="1" applyFont="1" applyFill="1"/>
    <xf numFmtId="170" fontId="9" fillId="10" borderId="64" xfId="0" applyNumberFormat="1" applyFont="1" applyFill="1" applyBorder="1"/>
    <xf numFmtId="0" fontId="68" fillId="25" borderId="0" xfId="0" applyFont="1" applyFill="1" applyAlignment="1">
      <alignment vertical="top"/>
    </xf>
    <xf numFmtId="0" fontId="69" fillId="25" borderId="0" xfId="0" applyFont="1" applyFill="1"/>
    <xf numFmtId="0" fontId="71" fillId="25" borderId="0" xfId="0" applyFont="1" applyFill="1" applyAlignment="1">
      <alignment vertical="center"/>
    </xf>
    <xf numFmtId="0" fontId="70" fillId="27" borderId="0" xfId="0" applyFont="1" applyFill="1"/>
    <xf numFmtId="0" fontId="72" fillId="27" borderId="0" xfId="0" applyFont="1" applyFill="1" applyAlignment="1">
      <alignment horizontal="right"/>
    </xf>
    <xf numFmtId="0" fontId="71" fillId="25" borderId="0" xfId="0" applyFont="1" applyFill="1" applyAlignment="1">
      <alignment horizontal="center" vertical="center"/>
    </xf>
    <xf numFmtId="167" fontId="5" fillId="19" borderId="0" xfId="1" applyNumberFormat="1" applyFont="1" applyFill="1" applyBorder="1" applyAlignment="1">
      <alignment horizontal="center"/>
    </xf>
    <xf numFmtId="0" fontId="69" fillId="27" borderId="0" xfId="0" applyFont="1" applyFill="1"/>
    <xf numFmtId="0" fontId="71" fillId="25" borderId="0" xfId="0" applyFont="1" applyFill="1"/>
    <xf numFmtId="186" fontId="5" fillId="19" borderId="0" xfId="0" applyNumberFormat="1" applyFont="1" applyFill="1" applyAlignment="1">
      <alignment horizontal="center"/>
    </xf>
    <xf numFmtId="0" fontId="72" fillId="25" borderId="0" xfId="0" applyFont="1" applyFill="1" applyAlignment="1">
      <alignment horizontal="center"/>
    </xf>
    <xf numFmtId="0" fontId="70" fillId="26" borderId="0" xfId="0" applyFont="1" applyFill="1"/>
    <xf numFmtId="0" fontId="65" fillId="25" borderId="0" xfId="0" applyFont="1" applyFill="1" applyAlignment="1">
      <alignment vertical="center"/>
    </xf>
    <xf numFmtId="0" fontId="69" fillId="26" borderId="0" xfId="0" applyFont="1" applyFill="1"/>
    <xf numFmtId="0" fontId="9" fillId="25" borderId="0" xfId="0" applyFont="1" applyFill="1" applyAlignment="1">
      <alignment vertical="center"/>
    </xf>
    <xf numFmtId="0" fontId="69" fillId="27" borderId="67" xfId="0" applyFont="1" applyFill="1" applyBorder="1"/>
    <xf numFmtId="0" fontId="72" fillId="27" borderId="67" xfId="0" applyFont="1" applyFill="1" applyBorder="1" applyAlignment="1">
      <alignment horizontal="right"/>
    </xf>
    <xf numFmtId="187" fontId="72" fillId="27" borderId="66" xfId="0" applyNumberFormat="1" applyFont="1" applyFill="1" applyBorder="1" applyAlignment="1">
      <alignment horizontal="right" vertical="center" wrapText="1"/>
    </xf>
    <xf numFmtId="0" fontId="9" fillId="25" borderId="0" xfId="0" applyFont="1" applyFill="1"/>
    <xf numFmtId="3" fontId="69" fillId="25" borderId="0" xfId="0" applyNumberFormat="1" applyFont="1" applyFill="1"/>
    <xf numFmtId="0" fontId="69" fillId="25" borderId="0" xfId="0" applyFont="1" applyFill="1" applyAlignment="1">
      <alignment horizontal="left"/>
    </xf>
    <xf numFmtId="3" fontId="69" fillId="25" borderId="0" xfId="0" applyNumberFormat="1" applyFont="1" applyFill="1" applyAlignment="1">
      <alignment horizontal="right"/>
    </xf>
    <xf numFmtId="0" fontId="9" fillId="26" borderId="0" xfId="0" applyFont="1" applyFill="1"/>
    <xf numFmtId="0" fontId="74" fillId="29" borderId="0" xfId="0" applyFont="1" applyFill="1"/>
    <xf numFmtId="0" fontId="72" fillId="25" borderId="0" xfId="0" applyFont="1" applyFill="1"/>
    <xf numFmtId="3" fontId="69" fillId="26" borderId="0" xfId="0" applyNumberFormat="1" applyFont="1" applyFill="1"/>
    <xf numFmtId="43" fontId="0" fillId="0" borderId="0" xfId="0" applyNumberFormat="1"/>
    <xf numFmtId="0" fontId="42" fillId="0" borderId="77" xfId="0" applyFont="1" applyBorder="1" applyAlignment="1">
      <alignment horizontal="center"/>
    </xf>
    <xf numFmtId="0" fontId="42" fillId="14" borderId="86" xfId="0" applyFont="1" applyFill="1" applyBorder="1"/>
    <xf numFmtId="0" fontId="42" fillId="14" borderId="149" xfId="0" applyFont="1" applyFill="1" applyBorder="1" applyAlignment="1">
      <alignment horizontal="center" vertical="center"/>
    </xf>
    <xf numFmtId="0" fontId="42" fillId="14" borderId="150" xfId="0" applyFont="1" applyFill="1" applyBorder="1" applyAlignment="1">
      <alignment horizontal="center" vertical="center"/>
    </xf>
    <xf numFmtId="0" fontId="42" fillId="14" borderId="88" xfId="0" applyFont="1" applyFill="1" applyBorder="1"/>
    <xf numFmtId="0" fontId="42" fillId="14" borderId="133" xfId="0" applyFont="1" applyFill="1" applyBorder="1" applyAlignment="1">
      <alignment horizontal="center" vertical="center"/>
    </xf>
    <xf numFmtId="0" fontId="52" fillId="8" borderId="38" xfId="0" applyFont="1" applyFill="1" applyBorder="1"/>
    <xf numFmtId="0" fontId="52" fillId="8" borderId="37" xfId="0" applyFont="1" applyFill="1" applyBorder="1"/>
    <xf numFmtId="0" fontId="52" fillId="8" borderId="42" xfId="0" applyFont="1" applyFill="1" applyBorder="1"/>
    <xf numFmtId="0" fontId="42" fillId="0" borderId="89" xfId="0" applyFont="1" applyBorder="1" applyAlignment="1">
      <alignment horizontal="center"/>
    </xf>
    <xf numFmtId="188" fontId="69" fillId="14" borderId="57" xfId="0" applyNumberFormat="1" applyFont="1" applyFill="1" applyBorder="1" applyAlignment="1">
      <alignment horizontal="right" vertical="center" wrapText="1"/>
    </xf>
    <xf numFmtId="173" fontId="69" fillId="14" borderId="74" xfId="0" applyNumberFormat="1" applyFont="1" applyFill="1" applyBorder="1" applyAlignment="1">
      <alignment horizontal="right" vertical="center" wrapText="1"/>
    </xf>
    <xf numFmtId="0" fontId="69" fillId="14" borderId="0" xfId="0" applyFont="1" applyFill="1" applyAlignment="1">
      <alignment horizontal="left" indent="5"/>
    </xf>
    <xf numFmtId="192" fontId="69" fillId="25" borderId="0" xfId="0" applyNumberFormat="1" applyFont="1" applyFill="1"/>
    <xf numFmtId="0" fontId="69" fillId="14" borderId="67" xfId="0" applyFont="1" applyFill="1" applyBorder="1" applyAlignment="1">
      <alignment horizontal="left" indent="5"/>
    </xf>
    <xf numFmtId="188" fontId="69" fillId="14" borderId="88" xfId="0" applyNumberFormat="1" applyFont="1" applyFill="1" applyBorder="1" applyAlignment="1">
      <alignment horizontal="right" vertical="center" wrapText="1"/>
    </xf>
    <xf numFmtId="173" fontId="69" fillId="14" borderId="89" xfId="0" applyNumberFormat="1" applyFont="1" applyFill="1" applyBorder="1" applyAlignment="1">
      <alignment horizontal="right" vertical="center" wrapText="1"/>
    </xf>
    <xf numFmtId="166" fontId="42" fillId="0" borderId="158" xfId="0" applyNumberFormat="1" applyFont="1" applyBorder="1"/>
    <xf numFmtId="0" fontId="0" fillId="21" borderId="0" xfId="0" applyFill="1"/>
    <xf numFmtId="0" fontId="23" fillId="21" borderId="0" xfId="0" applyFont="1" applyFill="1"/>
    <xf numFmtId="0" fontId="17" fillId="21" borderId="0" xfId="0" applyFont="1" applyFill="1"/>
    <xf numFmtId="0" fontId="25" fillId="21" borderId="0" xfId="0" applyFont="1" applyFill="1"/>
    <xf numFmtId="0" fontId="0" fillId="21" borderId="0" xfId="0" applyFill="1" applyAlignment="1">
      <alignment vertical="center"/>
    </xf>
    <xf numFmtId="0" fontId="69" fillId="14" borderId="72" xfId="0" applyFont="1" applyFill="1" applyBorder="1" applyAlignment="1">
      <alignment horizontal="left" indent="5"/>
    </xf>
    <xf numFmtId="188" fontId="69" fillId="14" borderId="71" xfId="0" applyNumberFormat="1" applyFont="1" applyFill="1" applyBorder="1" applyAlignment="1">
      <alignment horizontal="right" vertical="center" wrapText="1"/>
    </xf>
    <xf numFmtId="173" fontId="69" fillId="14" borderId="73" xfId="0" applyNumberFormat="1" applyFont="1" applyFill="1" applyBorder="1" applyAlignment="1">
      <alignment horizontal="right" vertical="center" wrapText="1"/>
    </xf>
    <xf numFmtId="189" fontId="69" fillId="14" borderId="71" xfId="0" applyNumberFormat="1" applyFont="1" applyFill="1" applyBorder="1" applyAlignment="1">
      <alignment horizontal="right" vertical="center" wrapText="1"/>
    </xf>
    <xf numFmtId="187" fontId="69" fillId="14" borderId="71" xfId="0" applyNumberFormat="1" applyFont="1" applyFill="1" applyBorder="1"/>
    <xf numFmtId="2" fontId="69" fillId="14" borderId="73" xfId="0" applyNumberFormat="1" applyFont="1" applyFill="1" applyBorder="1" applyAlignment="1">
      <alignment horizontal="right"/>
    </xf>
    <xf numFmtId="173" fontId="69" fillId="14" borderId="71" xfId="0" applyNumberFormat="1" applyFont="1" applyFill="1" applyBorder="1" applyAlignment="1">
      <alignment horizontal="right" vertical="center" wrapText="1"/>
    </xf>
    <xf numFmtId="189" fontId="69" fillId="14" borderId="57" xfId="0" applyNumberFormat="1" applyFont="1" applyFill="1" applyBorder="1" applyAlignment="1">
      <alignment horizontal="right" vertical="center" wrapText="1"/>
    </xf>
    <xf numFmtId="187" fontId="69" fillId="14" borderId="57" xfId="0" applyNumberFormat="1" applyFont="1" applyFill="1" applyBorder="1"/>
    <xf numFmtId="2" fontId="69" fillId="14" borderId="74" xfId="0" applyNumberFormat="1" applyFont="1" applyFill="1" applyBorder="1" applyAlignment="1">
      <alignment horizontal="right"/>
    </xf>
    <xf numFmtId="188" fontId="69" fillId="14" borderId="86" xfId="0" applyNumberFormat="1" applyFont="1" applyFill="1" applyBorder="1" applyAlignment="1">
      <alignment horizontal="right" vertical="center" wrapText="1"/>
    </xf>
    <xf numFmtId="173" fontId="69" fillId="14" borderId="87" xfId="0" applyNumberFormat="1" applyFont="1" applyFill="1" applyBorder="1" applyAlignment="1">
      <alignment horizontal="right" vertical="center" wrapText="1"/>
    </xf>
    <xf numFmtId="189" fontId="69" fillId="14" borderId="86" xfId="0" applyNumberFormat="1" applyFont="1" applyFill="1" applyBorder="1" applyAlignment="1">
      <alignment horizontal="right" vertical="center" wrapText="1"/>
    </xf>
    <xf numFmtId="187" fontId="69" fillId="14" borderId="86" xfId="0" applyNumberFormat="1" applyFont="1" applyFill="1" applyBorder="1" applyAlignment="1">
      <alignment horizontal="right"/>
    </xf>
    <xf numFmtId="2" fontId="69" fillId="14" borderId="87" xfId="0" applyNumberFormat="1" applyFont="1" applyFill="1" applyBorder="1" applyAlignment="1">
      <alignment horizontal="right"/>
    </xf>
    <xf numFmtId="173" fontId="69" fillId="14" borderId="86" xfId="0" applyNumberFormat="1" applyFont="1" applyFill="1" applyBorder="1" applyAlignment="1">
      <alignment horizontal="right" vertical="center" wrapText="1"/>
    </xf>
    <xf numFmtId="0" fontId="69" fillId="14" borderId="0" xfId="0" applyFont="1" applyFill="1"/>
    <xf numFmtId="187" fontId="69" fillId="14" borderId="57" xfId="0" applyNumberFormat="1" applyFont="1" applyFill="1" applyBorder="1" applyAlignment="1">
      <alignment horizontal="right"/>
    </xf>
    <xf numFmtId="173" fontId="69" fillId="14" borderId="57" xfId="0" applyNumberFormat="1" applyFont="1" applyFill="1" applyBorder="1" applyAlignment="1">
      <alignment horizontal="right" vertical="center" wrapText="1"/>
    </xf>
    <xf numFmtId="0" fontId="72" fillId="14" borderId="76" xfId="0" applyFont="1" applyFill="1" applyBorder="1"/>
    <xf numFmtId="0" fontId="69" fillId="14" borderId="76" xfId="0" applyFont="1" applyFill="1" applyBorder="1"/>
    <xf numFmtId="187" fontId="69" fillId="14" borderId="71" xfId="0" applyNumberFormat="1" applyFont="1" applyFill="1" applyBorder="1" applyAlignment="1">
      <alignment horizontal="right"/>
    </xf>
    <xf numFmtId="0" fontId="72" fillId="14" borderId="0" xfId="0" applyFont="1" applyFill="1"/>
    <xf numFmtId="188" fontId="69" fillId="14" borderId="75" xfId="0" applyNumberFormat="1" applyFont="1" applyFill="1" applyBorder="1" applyAlignment="1">
      <alignment horizontal="right" vertical="center" wrapText="1"/>
    </xf>
    <xf numFmtId="173" fontId="69" fillId="14" borderId="77" xfId="0" applyNumberFormat="1" applyFont="1" applyFill="1" applyBorder="1" applyAlignment="1">
      <alignment horizontal="right" vertical="center" wrapText="1"/>
    </xf>
    <xf numFmtId="189" fontId="69" fillId="14" borderId="75" xfId="0" applyNumberFormat="1" applyFont="1" applyFill="1" applyBorder="1" applyAlignment="1">
      <alignment horizontal="right" vertical="center" wrapText="1"/>
    </xf>
    <xf numFmtId="187" fontId="69" fillId="14" borderId="75" xfId="0" applyNumberFormat="1" applyFont="1" applyFill="1" applyBorder="1" applyAlignment="1">
      <alignment horizontal="right"/>
    </xf>
    <xf numFmtId="2" fontId="69" fillId="14" borderId="77" xfId="0" applyNumberFormat="1" applyFont="1" applyFill="1" applyBorder="1" applyAlignment="1">
      <alignment horizontal="right"/>
    </xf>
    <xf numFmtId="173" fontId="69" fillId="14" borderId="75" xfId="0" applyNumberFormat="1" applyFont="1" applyFill="1" applyBorder="1" applyAlignment="1">
      <alignment horizontal="right" vertical="center" wrapText="1"/>
    </xf>
    <xf numFmtId="189" fontId="69" fillId="14" borderId="0" xfId="0" applyNumberFormat="1" applyFont="1" applyFill="1" applyAlignment="1">
      <alignment horizontal="right" vertical="center" wrapText="1"/>
    </xf>
    <xf numFmtId="0" fontId="72" fillId="14" borderId="71" xfId="0" applyFont="1" applyFill="1" applyBorder="1"/>
    <xf numFmtId="0" fontId="69" fillId="14" borderId="72" xfId="0" applyFont="1" applyFill="1" applyBorder="1"/>
    <xf numFmtId="189" fontId="69" fillId="14" borderId="88" xfId="0" applyNumberFormat="1" applyFont="1" applyFill="1" applyBorder="1" applyAlignment="1">
      <alignment horizontal="right" vertical="center" wrapText="1"/>
    </xf>
    <xf numFmtId="187" fontId="69" fillId="14" borderId="88" xfId="0" applyNumberFormat="1" applyFont="1" applyFill="1" applyBorder="1"/>
    <xf numFmtId="2" fontId="69" fillId="14" borderId="89" xfId="0" applyNumberFormat="1" applyFont="1" applyFill="1" applyBorder="1" applyAlignment="1">
      <alignment horizontal="right"/>
    </xf>
    <xf numFmtId="0" fontId="72" fillId="14" borderId="0" xfId="0" applyFont="1" applyFill="1" applyAlignment="1">
      <alignment horizontal="left"/>
    </xf>
    <xf numFmtId="0" fontId="69" fillId="14" borderId="73" xfId="0" applyFont="1" applyFill="1" applyBorder="1" applyAlignment="1">
      <alignment horizontal="right"/>
    </xf>
    <xf numFmtId="0" fontId="69" fillId="14" borderId="0" xfId="0" applyFont="1" applyFill="1" applyAlignment="1">
      <alignment horizontal="left"/>
    </xf>
    <xf numFmtId="187" fontId="69" fillId="14" borderId="57" xfId="0" applyNumberFormat="1" applyFont="1" applyFill="1" applyBorder="1" applyAlignment="1">
      <alignment horizontal="right" vertical="center" wrapText="1"/>
    </xf>
    <xf numFmtId="187" fontId="69" fillId="14" borderId="86" xfId="0" applyNumberFormat="1" applyFont="1" applyFill="1" applyBorder="1" applyAlignment="1">
      <alignment horizontal="right" vertical="center" wrapText="1"/>
    </xf>
    <xf numFmtId="173" fontId="69" fillId="14" borderId="0" xfId="0" applyNumberFormat="1" applyFont="1" applyFill="1" applyAlignment="1">
      <alignment horizontal="right" vertical="center" wrapText="1"/>
    </xf>
    <xf numFmtId="3" fontId="69" fillId="14" borderId="0" xfId="0" applyNumberFormat="1" applyFont="1" applyFill="1" applyAlignment="1">
      <alignment horizontal="right" vertical="center" wrapText="1"/>
    </xf>
    <xf numFmtId="3" fontId="69" fillId="14" borderId="0" xfId="0" applyNumberFormat="1" applyFont="1" applyFill="1" applyAlignment="1">
      <alignment horizontal="right"/>
    </xf>
    <xf numFmtId="2" fontId="69" fillId="14" borderId="0" xfId="0" applyNumberFormat="1" applyFont="1" applyFill="1" applyAlignment="1">
      <alignment horizontal="right"/>
    </xf>
    <xf numFmtId="0" fontId="80" fillId="14" borderId="0" xfId="0" applyFont="1" applyFill="1"/>
    <xf numFmtId="0" fontId="69" fillId="14" borderId="0" xfId="0" applyFont="1" applyFill="1" applyAlignment="1">
      <alignment horizontal="center"/>
    </xf>
    <xf numFmtId="3" fontId="69" fillId="14" borderId="0" xfId="0" applyNumberFormat="1" applyFont="1" applyFill="1" applyAlignment="1">
      <alignment horizontal="center"/>
    </xf>
    <xf numFmtId="3" fontId="69" fillId="14" borderId="0" xfId="0" applyNumberFormat="1" applyFont="1" applyFill="1"/>
    <xf numFmtId="0" fontId="81" fillId="14" borderId="0" xfId="0" applyFont="1" applyFill="1"/>
    <xf numFmtId="0" fontId="9" fillId="14" borderId="0" xfId="0" applyFont="1" applyFill="1"/>
    <xf numFmtId="0" fontId="46" fillId="0" borderId="125" xfId="0" applyFont="1" applyBorder="1" applyAlignment="1">
      <alignment horizontal="center" vertical="center"/>
    </xf>
    <xf numFmtId="0" fontId="42" fillId="0" borderId="160" xfId="0" applyFont="1" applyBorder="1" applyAlignment="1">
      <alignment horizontal="center"/>
    </xf>
    <xf numFmtId="0" fontId="46" fillId="0" borderId="108" xfId="0" applyFont="1" applyBorder="1" applyAlignment="1">
      <alignment horizontal="center" vertical="center"/>
    </xf>
    <xf numFmtId="0" fontId="42" fillId="0" borderId="150" xfId="0" applyFont="1" applyBorder="1" applyAlignment="1">
      <alignment horizontal="center"/>
    </xf>
    <xf numFmtId="0" fontId="46" fillId="0" borderId="96" xfId="0" applyFont="1" applyBorder="1"/>
    <xf numFmtId="0" fontId="46" fillId="0" borderId="96" xfId="0" applyFont="1" applyBorder="1" applyAlignment="1">
      <alignment horizontal="center"/>
    </xf>
    <xf numFmtId="0" fontId="42" fillId="0" borderId="0" xfId="0" applyFont="1" applyAlignment="1">
      <alignment horizontal="center" vertical="center"/>
    </xf>
    <xf numFmtId="0" fontId="53" fillId="0" borderId="162" xfId="0" applyFont="1" applyBorder="1" applyAlignment="1">
      <alignment vertical="center"/>
    </xf>
    <xf numFmtId="0" fontId="54" fillId="0" borderId="149" xfId="0" applyFont="1" applyBorder="1" applyAlignment="1">
      <alignment horizontal="left" vertical="center" wrapText="1"/>
    </xf>
    <xf numFmtId="0" fontId="53" fillId="0" borderId="161" xfId="0" applyFont="1" applyBorder="1" applyAlignment="1">
      <alignment vertical="center"/>
    </xf>
    <xf numFmtId="166" fontId="53" fillId="22" borderId="161" xfId="0" applyNumberFormat="1" applyFont="1" applyFill="1" applyBorder="1" applyAlignment="1">
      <alignment vertical="center"/>
    </xf>
    <xf numFmtId="184" fontId="53" fillId="22" borderId="161" xfId="0" applyNumberFormat="1" applyFont="1" applyFill="1" applyBorder="1" applyAlignment="1">
      <alignment vertical="center"/>
    </xf>
    <xf numFmtId="181" fontId="57" fillId="0" borderId="0" xfId="0" applyNumberFormat="1" applyFont="1" applyAlignment="1">
      <alignment horizontal="center"/>
    </xf>
    <xf numFmtId="0" fontId="29" fillId="0" borderId="0" xfId="0" applyFont="1"/>
    <xf numFmtId="0" fontId="83" fillId="0" borderId="0" xfId="0" applyFont="1"/>
    <xf numFmtId="0" fontId="36" fillId="0" borderId="0" xfId="0" applyFont="1"/>
    <xf numFmtId="181" fontId="43" fillId="0" borderId="0" xfId="0" applyNumberFormat="1" applyFont="1"/>
    <xf numFmtId="3" fontId="42" fillId="0" borderId="0" xfId="0" applyNumberFormat="1" applyFont="1"/>
    <xf numFmtId="0" fontId="42" fillId="0" borderId="161" xfId="0" applyFont="1" applyBorder="1"/>
    <xf numFmtId="0" fontId="42" fillId="0" borderId="75" xfId="0" applyFont="1" applyBorder="1"/>
    <xf numFmtId="0" fontId="42" fillId="0" borderId="41" xfId="0" applyFont="1" applyBorder="1" applyAlignment="1">
      <alignment horizontal="center"/>
    </xf>
    <xf numFmtId="0" fontId="42" fillId="0" borderId="127" xfId="0" applyFont="1" applyBorder="1" applyAlignment="1">
      <alignment horizontal="center"/>
    </xf>
    <xf numFmtId="0" fontId="42" fillId="0" borderId="128" xfId="0" applyFont="1" applyBorder="1" applyAlignment="1">
      <alignment horizontal="center"/>
    </xf>
    <xf numFmtId="0" fontId="42" fillId="0" borderId="129" xfId="0" applyFont="1" applyBorder="1" applyAlignment="1">
      <alignment horizontal="center"/>
    </xf>
    <xf numFmtId="0" fontId="42" fillId="0" borderId="76" xfId="0" applyFont="1" applyBorder="1" applyAlignment="1">
      <alignment horizontal="center"/>
    </xf>
    <xf numFmtId="9" fontId="42" fillId="0" borderId="0" xfId="0" applyNumberFormat="1" applyFont="1"/>
    <xf numFmtId="0" fontId="15" fillId="0" borderId="0" xfId="4" applyFont="1" applyAlignment="1">
      <alignment horizontal="left" vertical="center"/>
    </xf>
    <xf numFmtId="184" fontId="53" fillId="22" borderId="65" xfId="0" applyNumberFormat="1" applyFont="1" applyFill="1" applyBorder="1" applyAlignment="1">
      <alignment vertical="center"/>
    </xf>
    <xf numFmtId="0" fontId="57" fillId="0" borderId="38" xfId="0" applyFont="1" applyBorder="1" applyAlignment="1">
      <alignment horizontal="center"/>
    </xf>
    <xf numFmtId="0" fontId="57" fillId="0" borderId="41" xfId="0" applyFont="1" applyBorder="1" applyAlignment="1">
      <alignment horizontal="center"/>
    </xf>
    <xf numFmtId="0" fontId="57" fillId="0" borderId="42" xfId="0" applyFont="1" applyBorder="1" applyAlignment="1">
      <alignment horizontal="center"/>
    </xf>
    <xf numFmtId="184" fontId="53" fillId="22" borderId="66" xfId="0" applyNumberFormat="1" applyFont="1" applyFill="1" applyBorder="1" applyAlignment="1">
      <alignment vertical="center"/>
    </xf>
    <xf numFmtId="184" fontId="53" fillId="22" borderId="105" xfId="0" applyNumberFormat="1" applyFont="1" applyFill="1" applyBorder="1" applyAlignment="1">
      <alignment vertical="center"/>
    </xf>
    <xf numFmtId="184" fontId="53" fillId="22" borderId="91" xfId="0" applyNumberFormat="1" applyFont="1" applyFill="1" applyBorder="1" applyAlignment="1">
      <alignment vertical="center"/>
    </xf>
    <xf numFmtId="178" fontId="53" fillId="0" borderId="161" xfId="0" applyNumberFormat="1" applyFont="1" applyBorder="1" applyAlignment="1">
      <alignment vertical="center"/>
    </xf>
    <xf numFmtId="181" fontId="53" fillId="0" borderId="106" xfId="0" applyNumberFormat="1" applyFont="1" applyBorder="1" applyAlignment="1">
      <alignment vertical="center"/>
    </xf>
    <xf numFmtId="184" fontId="53" fillId="16" borderId="161" xfId="0" applyNumberFormat="1" applyFont="1" applyFill="1" applyBorder="1" applyAlignment="1">
      <alignment vertical="center"/>
    </xf>
    <xf numFmtId="178" fontId="53" fillId="22" borderId="161" xfId="0" applyNumberFormat="1" applyFont="1" applyFill="1" applyBorder="1" applyAlignment="1">
      <alignment vertical="center"/>
    </xf>
    <xf numFmtId="0" fontId="42" fillId="0" borderId="38" xfId="0" applyFont="1" applyBorder="1" applyAlignment="1">
      <alignment horizontal="center"/>
    </xf>
    <xf numFmtId="0" fontId="42" fillId="0" borderId="42" xfId="0" applyFont="1" applyBorder="1" applyAlignment="1">
      <alignment horizontal="center"/>
    </xf>
    <xf numFmtId="184" fontId="53" fillId="16" borderId="161" xfId="12" applyNumberFormat="1" applyFont="1" applyFill="1" applyBorder="1" applyAlignment="1">
      <alignment vertical="center"/>
    </xf>
    <xf numFmtId="0" fontId="53" fillId="0" borderId="110" xfId="0" applyFont="1" applyBorder="1" applyAlignment="1">
      <alignment vertical="center"/>
    </xf>
    <xf numFmtId="0" fontId="53" fillId="0" borderId="154" xfId="0" applyFont="1" applyBorder="1" applyAlignment="1">
      <alignment vertical="center"/>
    </xf>
    <xf numFmtId="0" fontId="53" fillId="0" borderId="154" xfId="0" applyFont="1" applyBorder="1" applyAlignment="1">
      <alignment horizontal="left" vertical="center"/>
    </xf>
    <xf numFmtId="0" fontId="53" fillId="0" borderId="90" xfId="0" applyFont="1" applyBorder="1" applyAlignment="1">
      <alignment vertical="center"/>
    </xf>
    <xf numFmtId="181" fontId="53" fillId="22" borderId="135" xfId="0" applyNumberFormat="1" applyFont="1" applyFill="1" applyBorder="1" applyAlignment="1">
      <alignment vertical="center"/>
    </xf>
    <xf numFmtId="0" fontId="57" fillId="0" borderId="171" xfId="0" applyFont="1" applyBorder="1"/>
    <xf numFmtId="181" fontId="53" fillId="0" borderId="161" xfId="0" applyNumberFormat="1" applyFont="1" applyBorder="1" applyAlignment="1">
      <alignment vertical="center"/>
    </xf>
    <xf numFmtId="178" fontId="53" fillId="0" borderId="154" xfId="0" applyNumberFormat="1" applyFont="1" applyBorder="1" applyAlignment="1">
      <alignment vertical="center"/>
    </xf>
    <xf numFmtId="181" fontId="53" fillId="0" borderId="65" xfId="0" applyNumberFormat="1" applyFont="1" applyBorder="1" applyAlignment="1">
      <alignment vertical="center"/>
    </xf>
    <xf numFmtId="0" fontId="42" fillId="0" borderId="68" xfId="0" applyFont="1" applyBorder="1"/>
    <xf numFmtId="0" fontId="42" fillId="0" borderId="91" xfId="0" applyFont="1" applyBorder="1"/>
    <xf numFmtId="0" fontId="53" fillId="0" borderId="38" xfId="0" applyFont="1" applyBorder="1"/>
    <xf numFmtId="0" fontId="57" fillId="0" borderId="172" xfId="0" applyFont="1" applyBorder="1"/>
    <xf numFmtId="0" fontId="57" fillId="0" borderId="93" xfId="0" applyFont="1" applyBorder="1"/>
    <xf numFmtId="0" fontId="57" fillId="0" borderId="72" xfId="0" applyFont="1" applyBorder="1"/>
    <xf numFmtId="182" fontId="0" fillId="0" borderId="0" xfId="2" applyNumberFormat="1" applyFont="1" applyBorder="1"/>
    <xf numFmtId="0" fontId="52" fillId="0" borderId="0" xfId="0" applyFont="1" applyAlignment="1">
      <alignment horizontal="center"/>
    </xf>
    <xf numFmtId="0" fontId="42" fillId="14" borderId="0" xfId="0" applyFont="1" applyFill="1"/>
    <xf numFmtId="0" fontId="87" fillId="0" borderId="0" xfId="0" applyFont="1"/>
    <xf numFmtId="0" fontId="89" fillId="4" borderId="161" xfId="4" applyFont="1" applyFill="1" applyBorder="1" applyAlignment="1">
      <alignment horizontal="center" vertical="center"/>
    </xf>
    <xf numFmtId="0" fontId="89" fillId="4" borderId="88" xfId="4" applyFont="1" applyFill="1" applyBorder="1" applyAlignment="1">
      <alignment horizontal="center" vertical="center"/>
    </xf>
    <xf numFmtId="10" fontId="53" fillId="2" borderId="90" xfId="1" applyNumberFormat="1" applyFont="1" applyFill="1" applyBorder="1"/>
    <xf numFmtId="170" fontId="53" fillId="0" borderId="90" xfId="0" applyNumberFormat="1" applyFont="1" applyBorder="1"/>
    <xf numFmtId="0" fontId="90" fillId="0" borderId="0" xfId="4" applyFont="1" applyAlignment="1">
      <alignment vertical="top"/>
    </xf>
    <xf numFmtId="0" fontId="90" fillId="0" borderId="74" xfId="4" applyFont="1" applyBorder="1" applyAlignment="1">
      <alignment vertical="top"/>
    </xf>
    <xf numFmtId="170" fontId="53" fillId="2" borderId="90" xfId="0" applyNumberFormat="1" applyFont="1" applyFill="1" applyBorder="1"/>
    <xf numFmtId="10" fontId="53" fillId="0" borderId="90" xfId="1" applyNumberFormat="1" applyFont="1" applyBorder="1"/>
    <xf numFmtId="0" fontId="85" fillId="0" borderId="0" xfId="0" applyFont="1"/>
    <xf numFmtId="10" fontId="53" fillId="0" borderId="91" xfId="1" applyNumberFormat="1" applyFont="1" applyBorder="1"/>
    <xf numFmtId="0" fontId="42" fillId="0" borderId="57" xfId="0" applyFont="1" applyBorder="1" applyAlignment="1">
      <alignment horizontal="center" vertical="center"/>
    </xf>
    <xf numFmtId="10" fontId="53" fillId="0" borderId="74" xfId="1" applyNumberFormat="1" applyFont="1" applyFill="1" applyBorder="1"/>
    <xf numFmtId="0" fontId="50" fillId="0" borderId="161" xfId="4" applyFont="1" applyBorder="1"/>
    <xf numFmtId="10" fontId="53" fillId="2" borderId="91" xfId="1" applyNumberFormat="1" applyFont="1" applyFill="1" applyBorder="1"/>
    <xf numFmtId="10" fontId="42" fillId="0" borderId="57" xfId="0" applyNumberFormat="1" applyFont="1" applyBorder="1"/>
    <xf numFmtId="0" fontId="50" fillId="0" borderId="97" xfId="4" applyFont="1" applyBorder="1"/>
    <xf numFmtId="0" fontId="42" fillId="0" borderId="77" xfId="0" applyFont="1" applyBorder="1"/>
    <xf numFmtId="0" fontId="50" fillId="0" borderId="157" xfId="4" applyFont="1" applyBorder="1"/>
    <xf numFmtId="170" fontId="53" fillId="14" borderId="92" xfId="0" applyNumberFormat="1" applyFont="1" applyFill="1" applyBorder="1"/>
    <xf numFmtId="0" fontId="50" fillId="0" borderId="75" xfId="4" applyFont="1" applyBorder="1"/>
    <xf numFmtId="10" fontId="53" fillId="0" borderId="77" xfId="1" applyNumberFormat="1" applyFont="1" applyBorder="1"/>
    <xf numFmtId="0" fontId="91" fillId="35" borderId="38" xfId="4" applyFont="1" applyFill="1" applyBorder="1" applyAlignment="1">
      <alignment horizontal="left" vertical="center"/>
    </xf>
    <xf numFmtId="0" fontId="91" fillId="35" borderId="41" xfId="4" applyFont="1" applyFill="1" applyBorder="1" applyAlignment="1">
      <alignment horizontal="left" vertical="center"/>
    </xf>
    <xf numFmtId="0" fontId="91" fillId="35" borderId="42" xfId="4" applyFont="1" applyFill="1" applyBorder="1" applyAlignment="1">
      <alignment horizontal="left" vertical="center"/>
    </xf>
    <xf numFmtId="0" fontId="92" fillId="0" borderId="0" xfId="4" applyFont="1" applyAlignment="1">
      <alignment vertical="center"/>
    </xf>
    <xf numFmtId="0" fontId="93" fillId="0" borderId="0" xfId="0" applyFont="1"/>
    <xf numFmtId="0" fontId="94" fillId="0" borderId="0" xfId="0" applyFont="1"/>
    <xf numFmtId="0" fontId="89" fillId="4" borderId="108" xfId="4" applyFont="1" applyFill="1" applyBorder="1" applyAlignment="1">
      <alignment horizontal="center" vertical="center"/>
    </xf>
    <xf numFmtId="10" fontId="53" fillId="0" borderId="74" xfId="1" applyNumberFormat="1" applyFont="1" applyBorder="1"/>
    <xf numFmtId="0" fontId="89" fillId="4" borderId="149" xfId="4" quotePrefix="1" applyFont="1" applyFill="1" applyBorder="1" applyAlignment="1">
      <alignment horizontal="center" vertical="center"/>
    </xf>
    <xf numFmtId="10" fontId="53" fillId="2" borderId="74" xfId="1" applyNumberFormat="1" applyFont="1" applyFill="1" applyBorder="1"/>
    <xf numFmtId="2" fontId="51" fillId="0" borderId="0" xfId="4" applyNumberFormat="1" applyFont="1"/>
    <xf numFmtId="10" fontId="53" fillId="0" borderId="74" xfId="0" applyNumberFormat="1" applyFont="1" applyBorder="1"/>
    <xf numFmtId="0" fontId="51" fillId="0" borderId="0" xfId="4" applyFont="1"/>
    <xf numFmtId="0" fontId="89" fillId="4" borderId="150" xfId="4" quotePrefix="1" applyFont="1" applyFill="1" applyBorder="1" applyAlignment="1">
      <alignment horizontal="center" vertical="center"/>
    </xf>
    <xf numFmtId="10" fontId="50" fillId="5" borderId="141" xfId="1" applyNumberFormat="1" applyFont="1" applyFill="1" applyBorder="1"/>
    <xf numFmtId="0" fontId="95" fillId="0" borderId="0" xfId="3" applyFont="1"/>
    <xf numFmtId="170" fontId="53" fillId="0" borderId="65" xfId="0" applyNumberFormat="1" applyFont="1" applyBorder="1"/>
    <xf numFmtId="0" fontId="48" fillId="0" borderId="0" xfId="0" applyFont="1"/>
    <xf numFmtId="0" fontId="50" fillId="0" borderId="0" xfId="0" applyFont="1"/>
    <xf numFmtId="2" fontId="42" fillId="0" borderId="0" xfId="0" applyNumberFormat="1" applyFont="1"/>
    <xf numFmtId="0" fontId="86" fillId="0" borderId="0" xfId="3" applyFont="1"/>
    <xf numFmtId="10" fontId="43" fillId="5" borderId="37" xfId="1" applyNumberFormat="1" applyFont="1" applyFill="1" applyBorder="1"/>
    <xf numFmtId="0" fontId="42" fillId="2" borderId="0" xfId="0" applyFont="1" applyFill="1"/>
    <xf numFmtId="0" fontId="86" fillId="2" borderId="74" xfId="3" applyFont="1" applyFill="1" applyBorder="1"/>
    <xf numFmtId="0" fontId="42" fillId="14" borderId="57" xfId="0" applyFont="1" applyFill="1" applyBorder="1"/>
    <xf numFmtId="174" fontId="42" fillId="14" borderId="0" xfId="0" applyNumberFormat="1" applyFont="1" applyFill="1"/>
    <xf numFmtId="0" fontId="86" fillId="14" borderId="74" xfId="3" applyFont="1" applyFill="1" applyBorder="1"/>
    <xf numFmtId="0" fontId="85" fillId="14" borderId="0" xfId="0" quotePrefix="1" applyFont="1" applyFill="1" applyAlignment="1">
      <alignment vertical="center" wrapText="1"/>
    </xf>
    <xf numFmtId="0" fontId="42" fillId="14" borderId="75" xfId="0" applyFont="1" applyFill="1" applyBorder="1"/>
    <xf numFmtId="0" fontId="42" fillId="14" borderId="76" xfId="0" applyFont="1" applyFill="1" applyBorder="1"/>
    <xf numFmtId="174" fontId="42" fillId="14" borderId="76" xfId="0" applyNumberFormat="1" applyFont="1" applyFill="1" applyBorder="1"/>
    <xf numFmtId="0" fontId="42" fillId="0" borderId="76" xfId="0" applyFont="1" applyBorder="1"/>
    <xf numFmtId="0" fontId="86" fillId="14" borderId="77" xfId="3" applyFont="1" applyFill="1" applyBorder="1"/>
    <xf numFmtId="0" fontId="44" fillId="0" borderId="0" xfId="0" applyFont="1" applyAlignment="1">
      <alignment vertical="center" wrapText="1"/>
    </xf>
    <xf numFmtId="0" fontId="92" fillId="0" borderId="0" xfId="4" applyFont="1" applyAlignment="1">
      <alignment horizontal="left" vertical="center"/>
    </xf>
    <xf numFmtId="0" fontId="89" fillId="4" borderId="65" xfId="4" applyFont="1" applyFill="1" applyBorder="1" applyAlignment="1">
      <alignment horizontal="center" vertical="center"/>
    </xf>
    <xf numFmtId="0" fontId="89" fillId="4" borderId="154" xfId="4" applyFont="1" applyFill="1" applyBorder="1" applyAlignment="1">
      <alignment horizontal="center" vertical="center"/>
    </xf>
    <xf numFmtId="0" fontId="89" fillId="4" borderId="66" xfId="4" applyFont="1" applyFill="1" applyBorder="1" applyAlignment="1">
      <alignment horizontal="center" vertical="center"/>
    </xf>
    <xf numFmtId="0" fontId="90" fillId="0" borderId="38" xfId="4" applyFont="1" applyBorder="1" applyAlignment="1">
      <alignment vertical="top"/>
    </xf>
    <xf numFmtId="0" fontId="90" fillId="0" borderId="102" xfId="4" applyFont="1" applyBorder="1" applyAlignment="1">
      <alignment vertical="top"/>
    </xf>
    <xf numFmtId="0" fontId="42" fillId="0" borderId="41" xfId="0" applyFont="1" applyBorder="1"/>
    <xf numFmtId="0" fontId="42" fillId="0" borderId="42" xfId="0" applyFont="1" applyBorder="1"/>
    <xf numFmtId="0" fontId="89" fillId="4" borderId="84" xfId="4" applyFont="1" applyFill="1" applyBorder="1" applyAlignment="1">
      <alignment horizontal="center" vertical="center"/>
    </xf>
    <xf numFmtId="0" fontId="89" fillId="4" borderId="175" xfId="4" applyFont="1" applyFill="1" applyBorder="1" applyAlignment="1">
      <alignment horizontal="center" vertical="center"/>
    </xf>
    <xf numFmtId="0" fontId="89" fillId="4" borderId="97" xfId="4" applyFont="1" applyFill="1" applyBorder="1" applyAlignment="1">
      <alignment horizontal="left" vertical="center"/>
    </xf>
    <xf numFmtId="10" fontId="50" fillId="5" borderId="98" xfId="1" applyNumberFormat="1" applyFont="1" applyFill="1" applyBorder="1"/>
    <xf numFmtId="0" fontId="89" fillId="4" borderId="105" xfId="4" applyFont="1" applyFill="1" applyBorder="1" applyAlignment="1">
      <alignment horizontal="center" vertical="center"/>
    </xf>
    <xf numFmtId="10" fontId="53" fillId="5" borderId="91" xfId="1" applyNumberFormat="1" applyFont="1" applyFill="1" applyBorder="1"/>
    <xf numFmtId="0" fontId="89" fillId="4" borderId="90" xfId="4" applyFont="1" applyFill="1" applyBorder="1" applyAlignment="1">
      <alignment horizontal="center" vertical="center"/>
    </xf>
    <xf numFmtId="0" fontId="92" fillId="35" borderId="148" xfId="4" applyFont="1" applyFill="1" applyBorder="1" applyAlignment="1">
      <alignment horizontal="center" vertical="center"/>
    </xf>
    <xf numFmtId="0" fontId="97" fillId="0" borderId="0" xfId="0" applyFont="1" applyAlignment="1">
      <alignment vertical="center"/>
    </xf>
    <xf numFmtId="0" fontId="51" fillId="0" borderId="0" xfId="15" applyFont="1" applyAlignment="1">
      <alignment vertical="center"/>
    </xf>
    <xf numFmtId="0" fontId="51" fillId="0" borderId="0" xfId="14" applyFont="1" applyAlignment="1">
      <alignment vertical="center"/>
    </xf>
    <xf numFmtId="0" fontId="42" fillId="0" borderId="110" xfId="0" applyFont="1" applyBorder="1"/>
    <xf numFmtId="0" fontId="51" fillId="0" borderId="73" xfId="14" applyFont="1" applyBorder="1" applyAlignment="1">
      <alignment vertical="center"/>
    </xf>
    <xf numFmtId="0" fontId="51" fillId="0" borderId="74" xfId="14" applyFont="1" applyBorder="1" applyAlignment="1">
      <alignment vertical="center"/>
    </xf>
    <xf numFmtId="0" fontId="42" fillId="0" borderId="154" xfId="0" applyFont="1" applyBorder="1" applyAlignment="1">
      <alignment horizontal="center"/>
    </xf>
    <xf numFmtId="167" fontId="42" fillId="0" borderId="154" xfId="1" applyNumberFormat="1" applyFont="1" applyBorder="1"/>
    <xf numFmtId="0" fontId="42" fillId="0" borderId="154" xfId="0" applyFont="1" applyBorder="1"/>
    <xf numFmtId="0" fontId="51" fillId="0" borderId="77" xfId="14" applyFont="1" applyBorder="1" applyAlignment="1">
      <alignment vertical="center"/>
    </xf>
    <xf numFmtId="10" fontId="50" fillId="14" borderId="0" xfId="15" applyNumberFormat="1" applyFont="1" applyFill="1" applyAlignment="1">
      <alignment horizontal="center" vertical="center"/>
    </xf>
    <xf numFmtId="0" fontId="95" fillId="14" borderId="0" xfId="3" applyFont="1" applyFill="1" applyBorder="1" applyAlignment="1">
      <alignment horizontal="center" vertical="center"/>
    </xf>
    <xf numFmtId="0" fontId="51" fillId="14" borderId="0" xfId="15" applyFont="1" applyFill="1" applyAlignment="1">
      <alignment vertical="center"/>
    </xf>
    <xf numFmtId="0" fontId="51" fillId="14" borderId="0" xfId="14" applyFont="1" applyFill="1" applyAlignment="1">
      <alignment vertical="center"/>
    </xf>
    <xf numFmtId="0" fontId="86" fillId="0" borderId="74" xfId="3" applyFont="1" applyBorder="1"/>
    <xf numFmtId="0" fontId="42" fillId="0" borderId="106" xfId="0" applyFont="1" applyBorder="1"/>
    <xf numFmtId="0" fontId="42" fillId="0" borderId="100" xfId="0" applyFont="1" applyBorder="1"/>
    <xf numFmtId="0" fontId="99" fillId="0" borderId="0" xfId="0" applyFont="1"/>
    <xf numFmtId="0" fontId="100" fillId="0" borderId="0" xfId="0" applyFont="1"/>
    <xf numFmtId="167" fontId="42" fillId="0" borderId="0" xfId="1" applyNumberFormat="1" applyFont="1"/>
    <xf numFmtId="0" fontId="101" fillId="0" borderId="0" xfId="0" applyFont="1"/>
    <xf numFmtId="10" fontId="43" fillId="0" borderId="0" xfId="1" applyNumberFormat="1" applyFont="1"/>
    <xf numFmtId="0" fontId="50" fillId="0" borderId="0" xfId="14" applyFont="1" applyAlignment="1">
      <alignment vertical="center"/>
    </xf>
    <xf numFmtId="0" fontId="86" fillId="0" borderId="0" xfId="3" applyFont="1" applyFill="1" applyBorder="1"/>
    <xf numFmtId="10" fontId="42" fillId="0" borderId="0" xfId="0" applyNumberFormat="1" applyFont="1"/>
    <xf numFmtId="10" fontId="42" fillId="14" borderId="0" xfId="1" applyNumberFormat="1" applyFont="1" applyFill="1"/>
    <xf numFmtId="0" fontId="92" fillId="35" borderId="172" xfId="0" applyFont="1" applyFill="1" applyBorder="1"/>
    <xf numFmtId="0" fontId="92" fillId="35" borderId="124" xfId="0" applyFont="1" applyFill="1" applyBorder="1"/>
    <xf numFmtId="0" fontId="92" fillId="35" borderId="125" xfId="0" applyFont="1" applyFill="1" applyBorder="1"/>
    <xf numFmtId="0" fontId="92" fillId="35" borderId="96" xfId="0" applyFont="1" applyFill="1" applyBorder="1"/>
    <xf numFmtId="0" fontId="92" fillId="35" borderId="101" xfId="15" applyFont="1" applyFill="1" applyBorder="1" applyAlignment="1">
      <alignment vertical="center"/>
    </xf>
    <xf numFmtId="0" fontId="92" fillId="35" borderId="176" xfId="14" applyFont="1" applyFill="1" applyBorder="1" applyAlignment="1">
      <alignment horizontal="center" vertical="center"/>
    </xf>
    <xf numFmtId="0" fontId="92" fillId="35" borderId="176" xfId="14" applyFont="1" applyFill="1" applyBorder="1" applyAlignment="1">
      <alignment horizontal="center" vertical="center" wrapText="1"/>
    </xf>
    <xf numFmtId="0" fontId="92" fillId="35" borderId="103" xfId="15" applyFont="1" applyFill="1" applyBorder="1" applyAlignment="1">
      <alignment horizontal="center" vertical="center"/>
    </xf>
    <xf numFmtId="0" fontId="92" fillId="35" borderId="171" xfId="15" applyFont="1" applyFill="1" applyBorder="1" applyAlignment="1">
      <alignment horizontal="center" vertical="center"/>
    </xf>
    <xf numFmtId="0" fontId="92" fillId="35" borderId="93" xfId="15" applyFont="1" applyFill="1" applyBorder="1" applyAlignment="1">
      <alignment vertical="center"/>
    </xf>
    <xf numFmtId="0" fontId="92" fillId="35" borderId="172" xfId="15" applyFont="1" applyFill="1" applyBorder="1" applyAlignment="1">
      <alignment vertical="center"/>
    </xf>
    <xf numFmtId="0" fontId="42" fillId="2" borderId="100" xfId="0" applyFont="1" applyFill="1" applyBorder="1"/>
    <xf numFmtId="0" fontId="42" fillId="2" borderId="173" xfId="0" applyFont="1" applyFill="1" applyBorder="1"/>
    <xf numFmtId="0" fontId="42" fillId="0" borderId="172" xfId="0" applyFont="1" applyBorder="1"/>
    <xf numFmtId="0" fontId="42" fillId="0" borderId="0" xfId="0" quotePrefix="1" applyFont="1"/>
    <xf numFmtId="0" fontId="42" fillId="0" borderId="177" xfId="0" applyFont="1" applyBorder="1"/>
    <xf numFmtId="0" fontId="42" fillId="0" borderId="159" xfId="0" applyFont="1" applyBorder="1"/>
    <xf numFmtId="0" fontId="52" fillId="35" borderId="42" xfId="0" applyFont="1" applyFill="1" applyBorder="1"/>
    <xf numFmtId="0" fontId="52" fillId="35" borderId="37" xfId="0" applyFont="1" applyFill="1" applyBorder="1"/>
    <xf numFmtId="0" fontId="52" fillId="35" borderId="73" xfId="0" applyFont="1" applyFill="1" applyBorder="1"/>
    <xf numFmtId="166" fontId="42" fillId="0" borderId="76" xfId="0" applyNumberFormat="1" applyFont="1" applyBorder="1"/>
    <xf numFmtId="0" fontId="84" fillId="0" borderId="72" xfId="0" applyFont="1" applyBorder="1"/>
    <xf numFmtId="0" fontId="46" fillId="0" borderId="57" xfId="0" applyFont="1" applyBorder="1"/>
    <xf numFmtId="0" fontId="46" fillId="0" borderId="75" xfId="0" applyFont="1" applyBorder="1"/>
    <xf numFmtId="0" fontId="89" fillId="4" borderId="95" xfId="4" applyFont="1" applyFill="1" applyBorder="1" applyAlignment="1">
      <alignment horizontal="center" vertical="center"/>
    </xf>
    <xf numFmtId="182" fontId="50" fillId="5" borderId="96" xfId="2" applyNumberFormat="1" applyFont="1" applyFill="1" applyBorder="1"/>
    <xf numFmtId="0" fontId="89" fillId="4" borderId="97" xfId="4" applyFont="1" applyFill="1" applyBorder="1" applyAlignment="1">
      <alignment horizontal="center" vertical="center"/>
    </xf>
    <xf numFmtId="10" fontId="50" fillId="5" borderId="98" xfId="5" applyNumberFormat="1" applyFont="1" applyFill="1" applyBorder="1"/>
    <xf numFmtId="0" fontId="43" fillId="31" borderId="0" xfId="0" applyFont="1" applyFill="1"/>
    <xf numFmtId="0" fontId="42" fillId="31" borderId="0" xfId="0" applyFont="1" applyFill="1"/>
    <xf numFmtId="0" fontId="42" fillId="7" borderId="111" xfId="0" applyFont="1" applyFill="1" applyBorder="1" applyAlignment="1">
      <alignment horizontal="left"/>
    </xf>
    <xf numFmtId="0" fontId="42" fillId="7" borderId="120" xfId="0" applyFont="1" applyFill="1" applyBorder="1" applyAlignment="1">
      <alignment horizontal="left"/>
    </xf>
    <xf numFmtId="0" fontId="42" fillId="7" borderId="118" xfId="0" applyFont="1" applyFill="1" applyBorder="1" applyAlignment="1">
      <alignment horizontal="left"/>
    </xf>
    <xf numFmtId="0" fontId="42" fillId="6" borderId="118" xfId="0" applyFont="1" applyFill="1" applyBorder="1" applyAlignment="1">
      <alignment horizontal="left"/>
    </xf>
    <xf numFmtId="0" fontId="42" fillId="6" borderId="120" xfId="0" applyFont="1" applyFill="1" applyBorder="1" applyAlignment="1">
      <alignment horizontal="left"/>
    </xf>
    <xf numFmtId="0" fontId="42" fillId="7" borderId="112" xfId="0" applyFont="1" applyFill="1" applyBorder="1" applyAlignment="1">
      <alignment horizontal="left"/>
    </xf>
    <xf numFmtId="0" fontId="42" fillId="7" borderId="113" xfId="0" applyFont="1" applyFill="1" applyBorder="1" applyAlignment="1">
      <alignment horizontal="left"/>
    </xf>
    <xf numFmtId="0" fontId="42" fillId="0" borderId="111" xfId="0" applyFont="1" applyBorder="1"/>
    <xf numFmtId="0" fontId="42" fillId="0" borderId="112" xfId="0" applyFont="1" applyBorder="1"/>
    <xf numFmtId="0" fontId="42" fillId="0" borderId="113" xfId="0" applyFont="1" applyBorder="1"/>
    <xf numFmtId="0" fontId="42" fillId="0" borderId="71" xfId="0" applyFont="1" applyBorder="1"/>
    <xf numFmtId="0" fontId="42" fillId="7" borderId="11" xfId="0" applyFont="1" applyFill="1" applyBorder="1" applyAlignment="1">
      <alignment horizontal="left"/>
    </xf>
    <xf numFmtId="0" fontId="42" fillId="7" borderId="23" xfId="0" applyFont="1" applyFill="1" applyBorder="1" applyAlignment="1">
      <alignment horizontal="left"/>
    </xf>
    <xf numFmtId="0" fontId="42" fillId="7" borderId="55" xfId="0" applyFont="1" applyFill="1" applyBorder="1" applyAlignment="1">
      <alignment horizontal="left"/>
    </xf>
    <xf numFmtId="10" fontId="42" fillId="7" borderId="121" xfId="1" applyNumberFormat="1" applyFont="1" applyFill="1" applyBorder="1"/>
    <xf numFmtId="10" fontId="42" fillId="7" borderId="13" xfId="1" applyNumberFormat="1" applyFont="1" applyFill="1" applyBorder="1"/>
    <xf numFmtId="10" fontId="42" fillId="7" borderId="119" xfId="1" applyNumberFormat="1" applyFont="1" applyFill="1" applyBorder="1"/>
    <xf numFmtId="10" fontId="42" fillId="6" borderId="119" xfId="1" applyNumberFormat="1" applyFont="1" applyFill="1" applyBorder="1"/>
    <xf numFmtId="10" fontId="42" fillId="6" borderId="13" xfId="1" applyNumberFormat="1" applyFont="1" applyFill="1" applyBorder="1"/>
    <xf numFmtId="10" fontId="42" fillId="6" borderId="31" xfId="1" applyNumberFormat="1" applyFont="1" applyFill="1" applyBorder="1"/>
    <xf numFmtId="10" fontId="42" fillId="6" borderId="11" xfId="1" applyNumberFormat="1" applyFont="1" applyFill="1" applyBorder="1"/>
    <xf numFmtId="10" fontId="42" fillId="7" borderId="31" xfId="1" applyNumberFormat="1" applyFont="1" applyFill="1" applyBorder="1"/>
    <xf numFmtId="10" fontId="42" fillId="7" borderId="11" xfId="1" applyNumberFormat="1" applyFont="1" applyFill="1" applyBorder="1"/>
    <xf numFmtId="10" fontId="42" fillId="7" borderId="23" xfId="1" applyNumberFormat="1" applyFont="1" applyFill="1" applyBorder="1"/>
    <xf numFmtId="10" fontId="42" fillId="7" borderId="55" xfId="1" applyNumberFormat="1" applyFont="1" applyFill="1" applyBorder="1"/>
    <xf numFmtId="10" fontId="42" fillId="0" borderId="114" xfId="1" applyNumberFormat="1" applyFont="1" applyBorder="1"/>
    <xf numFmtId="10" fontId="42" fillId="0" borderId="0" xfId="1" applyNumberFormat="1" applyFont="1" applyBorder="1"/>
    <xf numFmtId="10" fontId="42" fillId="0" borderId="23" xfId="1" applyNumberFormat="1" applyFont="1" applyBorder="1"/>
    <xf numFmtId="166" fontId="42" fillId="7" borderId="57" xfId="0" applyNumberFormat="1" applyFont="1" applyFill="1" applyBorder="1"/>
    <xf numFmtId="166" fontId="42" fillId="7" borderId="20" xfId="0" applyNumberFormat="1" applyFont="1" applyFill="1" applyBorder="1"/>
    <xf numFmtId="166" fontId="42" fillId="7" borderId="19" xfId="0" applyNumberFormat="1" applyFont="1" applyFill="1" applyBorder="1"/>
    <xf numFmtId="166" fontId="42" fillId="6" borderId="19" xfId="0" applyNumberFormat="1" applyFont="1" applyFill="1" applyBorder="1"/>
    <xf numFmtId="166" fontId="42" fillId="6" borderId="20" xfId="0" applyNumberFormat="1" applyFont="1" applyFill="1" applyBorder="1"/>
    <xf numFmtId="166" fontId="42" fillId="6" borderId="31" xfId="0" applyNumberFormat="1" applyFont="1" applyFill="1" applyBorder="1"/>
    <xf numFmtId="166" fontId="42" fillId="6" borderId="11" xfId="0" applyNumberFormat="1" applyFont="1" applyFill="1" applyBorder="1"/>
    <xf numFmtId="166" fontId="42" fillId="7" borderId="31" xfId="0" applyNumberFormat="1" applyFont="1" applyFill="1" applyBorder="1"/>
    <xf numFmtId="166" fontId="42" fillId="7" borderId="11" xfId="0" applyNumberFormat="1" applyFont="1" applyFill="1" applyBorder="1"/>
    <xf numFmtId="166" fontId="42" fillId="7" borderId="23" xfId="0" applyNumberFormat="1" applyFont="1" applyFill="1" applyBorder="1"/>
    <xf numFmtId="166" fontId="42" fillId="7" borderId="55" xfId="0" applyNumberFormat="1" applyFont="1" applyFill="1" applyBorder="1"/>
    <xf numFmtId="166" fontId="42" fillId="0" borderId="114" xfId="0" applyNumberFormat="1" applyFont="1" applyBorder="1"/>
    <xf numFmtId="166" fontId="42" fillId="0" borderId="23" xfId="0" applyNumberFormat="1" applyFont="1" applyBorder="1"/>
    <xf numFmtId="166" fontId="42" fillId="0" borderId="24" xfId="0" applyNumberFormat="1" applyFont="1" applyBorder="1"/>
    <xf numFmtId="166" fontId="42" fillId="0" borderId="55" xfId="0" applyNumberFormat="1" applyFont="1" applyBorder="1"/>
    <xf numFmtId="166" fontId="42" fillId="0" borderId="115" xfId="0" applyNumberFormat="1" applyFont="1" applyBorder="1"/>
    <xf numFmtId="0" fontId="42" fillId="7" borderId="117" xfId="0" applyFont="1" applyFill="1" applyBorder="1"/>
    <xf numFmtId="0" fontId="42" fillId="7" borderId="25" xfId="0" applyFont="1" applyFill="1" applyBorder="1"/>
    <xf numFmtId="0" fontId="42" fillId="7" borderId="32" xfId="0" applyFont="1" applyFill="1" applyBorder="1"/>
    <xf numFmtId="0" fontId="42" fillId="6" borderId="32" xfId="0" applyFont="1" applyFill="1" applyBorder="1"/>
    <xf numFmtId="0" fontId="42" fillId="6" borderId="25" xfId="0" applyFont="1" applyFill="1" applyBorder="1"/>
    <xf numFmtId="0" fontId="42" fillId="6" borderId="31" xfId="0" applyFont="1" applyFill="1" applyBorder="1"/>
    <xf numFmtId="0" fontId="42" fillId="6" borderId="11" xfId="0" applyFont="1" applyFill="1" applyBorder="1"/>
    <xf numFmtId="0" fontId="42" fillId="7" borderId="31" xfId="0" applyFont="1" applyFill="1" applyBorder="1"/>
    <xf numFmtId="0" fontId="42" fillId="7" borderId="11" xfId="0" applyFont="1" applyFill="1" applyBorder="1"/>
    <xf numFmtId="0" fontId="42" fillId="7" borderId="23" xfId="0" applyFont="1" applyFill="1" applyBorder="1"/>
    <xf numFmtId="0" fontId="42" fillId="7" borderId="55" xfId="0" applyFont="1" applyFill="1" applyBorder="1"/>
    <xf numFmtId="0" fontId="42" fillId="0" borderId="114" xfId="0" applyFont="1" applyBorder="1"/>
    <xf numFmtId="0" fontId="42" fillId="0" borderId="23" xfId="0" applyFont="1" applyBorder="1"/>
    <xf numFmtId="0" fontId="42" fillId="0" borderId="55" xfId="0" applyFont="1" applyBorder="1"/>
    <xf numFmtId="0" fontId="42" fillId="7" borderId="114" xfId="0" applyFont="1" applyFill="1" applyBorder="1"/>
    <xf numFmtId="0" fontId="42" fillId="0" borderId="47" xfId="0" applyFont="1" applyBorder="1"/>
    <xf numFmtId="10" fontId="42" fillId="0" borderId="1" xfId="1" applyNumberFormat="1" applyFont="1" applyBorder="1"/>
    <xf numFmtId="43" fontId="42" fillId="0" borderId="1" xfId="2" applyFont="1" applyBorder="1"/>
    <xf numFmtId="43" fontId="42" fillId="0" borderId="2" xfId="2" applyFont="1" applyBorder="1"/>
    <xf numFmtId="0" fontId="42" fillId="7" borderId="4" xfId="0" applyFont="1" applyFill="1" applyBorder="1" applyAlignment="1">
      <alignment horizontal="center"/>
    </xf>
    <xf numFmtId="0" fontId="42" fillId="7" borderId="1" xfId="0" applyFont="1" applyFill="1" applyBorder="1" applyAlignment="1">
      <alignment horizontal="center"/>
    </xf>
    <xf numFmtId="0" fontId="42" fillId="7" borderId="9" xfId="0" applyFont="1" applyFill="1" applyBorder="1" applyAlignment="1">
      <alignment horizontal="center"/>
    </xf>
    <xf numFmtId="0" fontId="42" fillId="6" borderId="9" xfId="0" applyFont="1" applyFill="1" applyBorder="1" applyAlignment="1">
      <alignment horizontal="center"/>
    </xf>
    <xf numFmtId="0" fontId="42" fillId="6" borderId="1" xfId="0" applyFont="1" applyFill="1" applyBorder="1" applyAlignment="1">
      <alignment horizontal="center"/>
    </xf>
    <xf numFmtId="0" fontId="42" fillId="7" borderId="2" xfId="0" applyFont="1" applyFill="1" applyBorder="1" applyAlignment="1">
      <alignment horizontal="center"/>
    </xf>
    <xf numFmtId="0" fontId="42" fillId="0" borderId="47" xfId="0" applyFont="1" applyBorder="1" applyAlignment="1">
      <alignment horizontal="center"/>
    </xf>
    <xf numFmtId="10" fontId="42" fillId="0" borderId="1" xfId="1" applyNumberFormat="1" applyFont="1" applyBorder="1" applyAlignment="1">
      <alignment horizontal="center"/>
    </xf>
    <xf numFmtId="0" fontId="42" fillId="0" borderId="1" xfId="0" applyFont="1" applyBorder="1" applyAlignment="1">
      <alignment horizontal="center"/>
    </xf>
    <xf numFmtId="0" fontId="42" fillId="0" borderId="2" xfId="0" applyFont="1" applyBorder="1" applyAlignment="1">
      <alignment horizontal="center"/>
    </xf>
    <xf numFmtId="0" fontId="42" fillId="35" borderId="4" xfId="0" applyFont="1" applyFill="1" applyBorder="1"/>
    <xf numFmtId="0" fontId="42" fillId="35" borderId="10" xfId="0" applyFont="1" applyFill="1" applyBorder="1"/>
    <xf numFmtId="0" fontId="42" fillId="35" borderId="9" xfId="0" applyFont="1" applyFill="1" applyBorder="1"/>
    <xf numFmtId="0" fontId="42" fillId="35" borderId="1" xfId="0" applyFont="1" applyFill="1" applyBorder="1"/>
    <xf numFmtId="0" fontId="42" fillId="35" borderId="2" xfId="0" applyFont="1" applyFill="1" applyBorder="1"/>
    <xf numFmtId="0" fontId="42" fillId="35" borderId="47" xfId="0" applyFont="1" applyFill="1" applyBorder="1"/>
    <xf numFmtId="10" fontId="42" fillId="35" borderId="1" xfId="1" applyNumberFormat="1" applyFont="1" applyFill="1" applyBorder="1"/>
    <xf numFmtId="10" fontId="42" fillId="0" borderId="10" xfId="1" applyNumberFormat="1" applyFont="1" applyBorder="1"/>
    <xf numFmtId="43" fontId="47" fillId="0" borderId="19" xfId="0" applyNumberFormat="1" applyFont="1" applyBorder="1"/>
    <xf numFmtId="43" fontId="42" fillId="0" borderId="1" xfId="0" applyNumberFormat="1" applyFont="1" applyBorder="1"/>
    <xf numFmtId="43" fontId="42" fillId="0" borderId="2" xfId="0" applyNumberFormat="1" applyFont="1" applyBorder="1"/>
    <xf numFmtId="182" fontId="103" fillId="0" borderId="47" xfId="2" applyNumberFormat="1" applyFont="1" applyBorder="1"/>
    <xf numFmtId="10" fontId="42" fillId="0" borderId="4" xfId="1" applyNumberFormat="1" applyFont="1" applyBorder="1"/>
    <xf numFmtId="182" fontId="42" fillId="0" borderId="47" xfId="2" applyNumberFormat="1" applyFont="1" applyBorder="1"/>
    <xf numFmtId="43" fontId="103" fillId="0" borderId="1" xfId="2" applyFont="1" applyBorder="1"/>
    <xf numFmtId="43" fontId="55" fillId="23" borderId="82" xfId="0" applyNumberFormat="1" applyFont="1" applyFill="1" applyBorder="1"/>
    <xf numFmtId="10" fontId="43" fillId="23" borderId="34" xfId="1" applyNumberFormat="1" applyFont="1" applyFill="1" applyBorder="1"/>
    <xf numFmtId="43" fontId="55" fillId="23" borderId="33" xfId="0" applyNumberFormat="1" applyFont="1" applyFill="1" applyBorder="1"/>
    <xf numFmtId="10" fontId="43" fillId="23" borderId="35" xfId="1" applyNumberFormat="1" applyFont="1" applyFill="1" applyBorder="1"/>
    <xf numFmtId="43" fontId="43" fillId="23" borderId="35" xfId="0" applyNumberFormat="1" applyFont="1" applyFill="1" applyBorder="1"/>
    <xf numFmtId="182" fontId="43" fillId="23" borderId="51" xfId="0" applyNumberFormat="1" applyFont="1" applyFill="1" applyBorder="1"/>
    <xf numFmtId="43" fontId="43" fillId="23" borderId="51" xfId="0" applyNumberFormat="1" applyFont="1" applyFill="1" applyBorder="1"/>
    <xf numFmtId="0" fontId="42" fillId="35" borderId="12" xfId="0" applyFont="1" applyFill="1" applyBorder="1"/>
    <xf numFmtId="10" fontId="42" fillId="35" borderId="22" xfId="1" applyNumberFormat="1" applyFont="1" applyFill="1" applyBorder="1"/>
    <xf numFmtId="0" fontId="42" fillId="35" borderId="21" xfId="0" applyFont="1" applyFill="1" applyBorder="1"/>
    <xf numFmtId="10" fontId="42" fillId="35" borderId="3" xfId="1" applyNumberFormat="1" applyFont="1" applyFill="1" applyBorder="1"/>
    <xf numFmtId="43" fontId="42" fillId="35" borderId="3" xfId="0" applyNumberFormat="1" applyFont="1" applyFill="1" applyBorder="1"/>
    <xf numFmtId="43" fontId="42" fillId="35" borderId="47" xfId="2" applyFont="1" applyFill="1" applyBorder="1"/>
    <xf numFmtId="10" fontId="42" fillId="35" borderId="4" xfId="1" applyNumberFormat="1" applyFont="1" applyFill="1" applyBorder="1"/>
    <xf numFmtId="43" fontId="42" fillId="35" borderId="1" xfId="2" applyFont="1" applyFill="1" applyBorder="1"/>
    <xf numFmtId="182" fontId="42" fillId="35" borderId="47" xfId="2" applyNumberFormat="1" applyFont="1" applyFill="1" applyBorder="1"/>
    <xf numFmtId="2" fontId="42" fillId="35" borderId="47" xfId="0" applyNumberFormat="1" applyFont="1" applyFill="1" applyBorder="1"/>
    <xf numFmtId="43" fontId="42" fillId="0" borderId="4" xfId="2" applyFont="1" applyBorder="1"/>
    <xf numFmtId="43" fontId="42" fillId="0" borderId="9" xfId="2" applyFont="1" applyBorder="1"/>
    <xf numFmtId="10" fontId="103" fillId="0" borderId="4" xfId="1" applyNumberFormat="1" applyFont="1" applyBorder="1"/>
    <xf numFmtId="43" fontId="43" fillId="23" borderId="83" xfId="2" applyFont="1" applyFill="1" applyBorder="1"/>
    <xf numFmtId="43" fontId="43" fillId="23" borderId="36" xfId="2" applyFont="1" applyFill="1" applyBorder="1"/>
    <xf numFmtId="43" fontId="52" fillId="3" borderId="179" xfId="0" applyNumberFormat="1" applyFont="1" applyFill="1" applyBorder="1"/>
    <xf numFmtId="10" fontId="52" fillId="3" borderId="180" xfId="1" applyNumberFormat="1" applyFont="1" applyFill="1" applyBorder="1"/>
    <xf numFmtId="43" fontId="52" fillId="3" borderId="181" xfId="0" applyNumberFormat="1" applyFont="1" applyFill="1" applyBorder="1"/>
    <xf numFmtId="10" fontId="52" fillId="3" borderId="182" xfId="1" applyNumberFormat="1" applyFont="1" applyFill="1" applyBorder="1"/>
    <xf numFmtId="43" fontId="52" fillId="3" borderId="182" xfId="0" applyNumberFormat="1" applyFont="1" applyFill="1" applyBorder="1"/>
    <xf numFmtId="41" fontId="52" fillId="3" borderId="178" xfId="0" applyNumberFormat="1" applyFont="1" applyFill="1" applyBorder="1"/>
    <xf numFmtId="182" fontId="52" fillId="3" borderId="178" xfId="0" applyNumberFormat="1" applyFont="1" applyFill="1" applyBorder="1"/>
    <xf numFmtId="43" fontId="52" fillId="3" borderId="178" xfId="0" applyNumberFormat="1" applyFont="1" applyFill="1" applyBorder="1"/>
    <xf numFmtId="43" fontId="42" fillId="35" borderId="45" xfId="0" applyNumberFormat="1" applyFont="1" applyFill="1" applyBorder="1"/>
    <xf numFmtId="0" fontId="42" fillId="0" borderId="4" xfId="0" applyFont="1" applyBorder="1"/>
    <xf numFmtId="0" fontId="42" fillId="0" borderId="9" xfId="0" applyFont="1" applyBorder="1"/>
    <xf numFmtId="182" fontId="103" fillId="0" borderId="1" xfId="0" applyNumberFormat="1" applyFont="1" applyBorder="1"/>
    <xf numFmtId="0" fontId="43" fillId="23" borderId="14" xfId="0" applyFont="1" applyFill="1" applyBorder="1"/>
    <xf numFmtId="10" fontId="43" fillId="23" borderId="18" xfId="1" applyNumberFormat="1" applyFont="1" applyFill="1" applyBorder="1"/>
    <xf numFmtId="0" fontId="43" fillId="23" borderId="17" xfId="0" applyFont="1" applyFill="1" applyBorder="1"/>
    <xf numFmtId="10" fontId="43" fillId="23" borderId="15" xfId="1" applyNumberFormat="1" applyFont="1" applyFill="1" applyBorder="1"/>
    <xf numFmtId="43" fontId="43" fillId="23" borderId="15" xfId="0" applyNumberFormat="1" applyFont="1" applyFill="1" applyBorder="1"/>
    <xf numFmtId="3" fontId="43" fillId="23" borderId="17" xfId="0" applyNumberFormat="1" applyFont="1" applyFill="1" applyBorder="1"/>
    <xf numFmtId="182" fontId="43" fillId="23" borderId="17" xfId="2" applyNumberFormat="1" applyFont="1" applyFill="1" applyBorder="1"/>
    <xf numFmtId="43" fontId="52" fillId="3" borderId="183" xfId="0" applyNumberFormat="1" applyFont="1" applyFill="1" applyBorder="1"/>
    <xf numFmtId="10" fontId="52" fillId="3" borderId="184" xfId="1" applyNumberFormat="1" applyFont="1" applyFill="1" applyBorder="1"/>
    <xf numFmtId="43" fontId="52" fillId="3" borderId="185" xfId="0" applyNumberFormat="1" applyFont="1" applyFill="1" applyBorder="1"/>
    <xf numFmtId="10" fontId="52" fillId="3" borderId="186" xfId="1" applyNumberFormat="1" applyFont="1" applyFill="1" applyBorder="1"/>
    <xf numFmtId="43" fontId="52" fillId="3" borderId="186" xfId="0" applyNumberFormat="1" applyFont="1" applyFill="1" applyBorder="1"/>
    <xf numFmtId="43" fontId="52" fillId="3" borderId="187" xfId="0" applyNumberFormat="1" applyFont="1" applyFill="1" applyBorder="1"/>
    <xf numFmtId="43" fontId="52" fillId="3" borderId="188" xfId="0" applyNumberFormat="1" applyFont="1" applyFill="1" applyBorder="1"/>
    <xf numFmtId="0" fontId="42" fillId="0" borderId="12" xfId="0" applyFont="1" applyBorder="1"/>
    <xf numFmtId="10" fontId="42" fillId="0" borderId="22" xfId="1" applyNumberFormat="1" applyFont="1" applyBorder="1"/>
    <xf numFmtId="0" fontId="42" fillId="0" borderId="21" xfId="0" applyFont="1" applyBorder="1"/>
    <xf numFmtId="10" fontId="42" fillId="0" borderId="3" xfId="1" applyNumberFormat="1" applyFont="1" applyBorder="1"/>
    <xf numFmtId="43" fontId="42" fillId="0" borderId="3" xfId="0" applyNumberFormat="1" applyFont="1" applyBorder="1"/>
    <xf numFmtId="43" fontId="42" fillId="0" borderId="45" xfId="2" applyFont="1" applyBorder="1"/>
    <xf numFmtId="10" fontId="42" fillId="0" borderId="12" xfId="1" applyNumberFormat="1" applyFont="1" applyBorder="1"/>
    <xf numFmtId="43" fontId="42" fillId="0" borderId="3" xfId="2" applyFont="1" applyBorder="1"/>
    <xf numFmtId="0" fontId="52" fillId="3" borderId="76" xfId="0" applyFont="1" applyFill="1" applyBorder="1"/>
    <xf numFmtId="43" fontId="52" fillId="3" borderId="76" xfId="0" applyNumberFormat="1" applyFont="1" applyFill="1" applyBorder="1"/>
    <xf numFmtId="10" fontId="52" fillId="3" borderId="190" xfId="1" applyNumberFormat="1" applyFont="1" applyFill="1" applyBorder="1"/>
    <xf numFmtId="43" fontId="52" fillId="3" borderId="191" xfId="0" applyNumberFormat="1" applyFont="1" applyFill="1" applyBorder="1"/>
    <xf numFmtId="10" fontId="52" fillId="3" borderId="53" xfId="1" applyNumberFormat="1" applyFont="1" applyFill="1" applyBorder="1"/>
    <xf numFmtId="43" fontId="52" fillId="3" borderId="53" xfId="0" applyNumberFormat="1" applyFont="1" applyFill="1" applyBorder="1"/>
    <xf numFmtId="43" fontId="52" fillId="3" borderId="52" xfId="0" applyNumberFormat="1" applyFont="1" applyFill="1" applyBorder="1"/>
    <xf numFmtId="43" fontId="42" fillId="0" borderId="47" xfId="2" applyFont="1" applyBorder="1"/>
    <xf numFmtId="2" fontId="42" fillId="0" borderId="47" xfId="0" applyNumberFormat="1" applyFont="1" applyBorder="1"/>
    <xf numFmtId="191" fontId="42" fillId="0" borderId="1" xfId="0" applyNumberFormat="1" applyFont="1" applyBorder="1"/>
    <xf numFmtId="43" fontId="43" fillId="23" borderId="14" xfId="0" applyNumberFormat="1" applyFont="1" applyFill="1" applyBorder="1"/>
    <xf numFmtId="43" fontId="43" fillId="23" borderId="17" xfId="0" applyNumberFormat="1" applyFont="1" applyFill="1" applyBorder="1"/>
    <xf numFmtId="43" fontId="43" fillId="23" borderId="49" xfId="0" applyNumberFormat="1" applyFont="1" applyFill="1" applyBorder="1"/>
    <xf numFmtId="43" fontId="52" fillId="3" borderId="41" xfId="0" applyNumberFormat="1" applyFont="1" applyFill="1" applyBorder="1"/>
    <xf numFmtId="43" fontId="52" fillId="3" borderId="39" xfId="0" applyNumberFormat="1" applyFont="1" applyFill="1" applyBorder="1"/>
    <xf numFmtId="0" fontId="42" fillId="0" borderId="29" xfId="0" applyFont="1" applyBorder="1"/>
    <xf numFmtId="10" fontId="42" fillId="0" borderId="192" xfId="1" applyNumberFormat="1" applyFont="1" applyBorder="1"/>
    <xf numFmtId="0" fontId="42" fillId="0" borderId="193" xfId="0" applyFont="1" applyBorder="1"/>
    <xf numFmtId="10" fontId="42" fillId="0" borderId="5" xfId="1" applyNumberFormat="1" applyFont="1" applyBorder="1"/>
    <xf numFmtId="43" fontId="42" fillId="0" borderId="5" xfId="0" applyNumberFormat="1" applyFont="1" applyBorder="1"/>
    <xf numFmtId="43" fontId="42" fillId="0" borderId="194" xfId="0" applyNumberFormat="1" applyFont="1" applyBorder="1"/>
    <xf numFmtId="0" fontId="42" fillId="0" borderId="3" xfId="0" applyFont="1" applyBorder="1"/>
    <xf numFmtId="10" fontId="42" fillId="0" borderId="16" xfId="1" applyNumberFormat="1" applyFont="1" applyBorder="1"/>
    <xf numFmtId="43" fontId="42" fillId="0" borderId="0" xfId="0" applyNumberFormat="1" applyFont="1"/>
    <xf numFmtId="0" fontId="102" fillId="0" borderId="38" xfId="0" applyFont="1" applyBorder="1"/>
    <xf numFmtId="0" fontId="42" fillId="0" borderId="117" xfId="0" applyFont="1" applyBorder="1"/>
    <xf numFmtId="0" fontId="42" fillId="0" borderId="195" xfId="0" applyFont="1" applyBorder="1"/>
    <xf numFmtId="0" fontId="42" fillId="0" borderId="121" xfId="0" applyFont="1" applyBorder="1"/>
    <xf numFmtId="0" fontId="52" fillId="35" borderId="117" xfId="0" applyFont="1" applyFill="1" applyBorder="1"/>
    <xf numFmtId="0" fontId="43" fillId="23" borderId="196" xfId="0" applyFont="1" applyFill="1" applyBorder="1"/>
    <xf numFmtId="0" fontId="52" fillId="3" borderId="197" xfId="0" applyFont="1" applyFill="1" applyBorder="1"/>
    <xf numFmtId="0" fontId="43" fillId="23" borderId="121" xfId="0" applyFont="1" applyFill="1" applyBorder="1"/>
    <xf numFmtId="0" fontId="52" fillId="3" borderId="38" xfId="0" applyFont="1" applyFill="1" applyBorder="1"/>
    <xf numFmtId="10" fontId="42" fillId="7" borderId="56" xfId="1" applyNumberFormat="1" applyFont="1" applyFill="1" applyBorder="1"/>
    <xf numFmtId="166" fontId="42" fillId="7" borderId="0" xfId="0" applyNumberFormat="1" applyFont="1" applyFill="1"/>
    <xf numFmtId="0" fontId="42" fillId="7" borderId="24" xfId="0" applyFont="1" applyFill="1" applyBorder="1"/>
    <xf numFmtId="43" fontId="47" fillId="0" borderId="0" xfId="0" applyNumberFormat="1" applyFont="1"/>
    <xf numFmtId="10" fontId="42" fillId="7" borderId="116" xfId="1" applyNumberFormat="1" applyFont="1" applyFill="1" applyBorder="1"/>
    <xf numFmtId="166" fontId="42" fillId="7" borderId="74" xfId="0" applyNumberFormat="1" applyFont="1" applyFill="1" applyBorder="1"/>
    <xf numFmtId="0" fontId="42" fillId="7" borderId="115" xfId="0" applyFont="1" applyFill="1" applyBorder="1"/>
    <xf numFmtId="0" fontId="42" fillId="7" borderId="47" xfId="0" applyFont="1" applyFill="1" applyBorder="1" applyAlignment="1">
      <alignment horizontal="center"/>
    </xf>
    <xf numFmtId="0" fontId="42" fillId="7" borderId="48" xfId="0" applyFont="1" applyFill="1" applyBorder="1" applyAlignment="1">
      <alignment horizontal="center"/>
    </xf>
    <xf numFmtId="0" fontId="42" fillId="35" borderId="48" xfId="0" applyFont="1" applyFill="1" applyBorder="1"/>
    <xf numFmtId="43" fontId="47" fillId="0" borderId="57" xfId="0" applyNumberFormat="1" applyFont="1" applyBorder="1"/>
    <xf numFmtId="10" fontId="42" fillId="0" borderId="48" xfId="1" applyNumberFormat="1" applyFont="1" applyBorder="1"/>
    <xf numFmtId="43" fontId="55" fillId="23" borderId="198" xfId="0" applyNumberFormat="1" applyFont="1" applyFill="1" applyBorder="1"/>
    <xf numFmtId="10" fontId="43" fillId="23" borderId="199" xfId="1" applyNumberFormat="1" applyFont="1" applyFill="1" applyBorder="1"/>
    <xf numFmtId="0" fontId="42" fillId="35" borderId="45" xfId="0" applyFont="1" applyFill="1" applyBorder="1"/>
    <xf numFmtId="10" fontId="42" fillId="35" borderId="46" xfId="1" applyNumberFormat="1" applyFont="1" applyFill="1" applyBorder="1"/>
    <xf numFmtId="43" fontId="43" fillId="23" borderId="51" xfId="2" applyFont="1" applyFill="1" applyBorder="1"/>
    <xf numFmtId="10" fontId="52" fillId="3" borderId="200" xfId="1" applyNumberFormat="1" applyFont="1" applyFill="1" applyBorder="1"/>
    <xf numFmtId="0" fontId="43" fillId="23" borderId="49" xfId="0" applyFont="1" applyFill="1" applyBorder="1"/>
    <xf numFmtId="10" fontId="43" fillId="23" borderId="50" xfId="1" applyNumberFormat="1" applyFont="1" applyFill="1" applyBorder="1"/>
    <xf numFmtId="10" fontId="52" fillId="3" borderId="188" xfId="1" applyNumberFormat="1" applyFont="1" applyFill="1" applyBorder="1"/>
    <xf numFmtId="0" fontId="42" fillId="0" borderId="45" xfId="0" applyFont="1" applyBorder="1"/>
    <xf numFmtId="10" fontId="42" fillId="0" borderId="46" xfId="1" applyNumberFormat="1" applyFont="1" applyBorder="1"/>
    <xf numFmtId="43" fontId="52" fillId="3" borderId="75" xfId="0" applyNumberFormat="1" applyFont="1" applyFill="1" applyBorder="1"/>
    <xf numFmtId="10" fontId="52" fillId="3" borderId="169" xfId="1" applyNumberFormat="1" applyFont="1" applyFill="1" applyBorder="1"/>
    <xf numFmtId="43" fontId="52" fillId="3" borderId="38" xfId="0" applyNumberFormat="1" applyFont="1" applyFill="1" applyBorder="1"/>
    <xf numFmtId="0" fontId="42" fillId="0" borderId="194" xfId="0" applyFont="1" applyBorder="1"/>
    <xf numFmtId="10" fontId="42" fillId="0" borderId="201" xfId="1" applyNumberFormat="1" applyFont="1" applyBorder="1"/>
    <xf numFmtId="43" fontId="43" fillId="23" borderId="44" xfId="0" applyNumberFormat="1" applyFont="1" applyFill="1" applyBorder="1"/>
    <xf numFmtId="43" fontId="42" fillId="35" borderId="16" xfId="0" applyNumberFormat="1" applyFont="1" applyFill="1" applyBorder="1"/>
    <xf numFmtId="43" fontId="52" fillId="3" borderId="202" xfId="0" applyNumberFormat="1" applyFont="1" applyFill="1" applyBorder="1"/>
    <xf numFmtId="182" fontId="103" fillId="0" borderId="2" xfId="0" applyNumberFormat="1" applyFont="1" applyBorder="1"/>
    <xf numFmtId="43" fontId="43" fillId="23" borderId="43" xfId="0" applyNumberFormat="1" applyFont="1" applyFill="1" applyBorder="1"/>
    <xf numFmtId="43" fontId="52" fillId="3" borderId="203" xfId="0" applyNumberFormat="1" applyFont="1" applyFill="1" applyBorder="1"/>
    <xf numFmtId="43" fontId="42" fillId="0" borderId="16" xfId="0" applyNumberFormat="1" applyFont="1" applyBorder="1"/>
    <xf numFmtId="43" fontId="52" fillId="3" borderId="54" xfId="0" applyNumberFormat="1" applyFont="1" applyFill="1" applyBorder="1"/>
    <xf numFmtId="43" fontId="42" fillId="0" borderId="30" xfId="0" applyNumberFormat="1" applyFont="1" applyBorder="1"/>
    <xf numFmtId="0" fontId="42" fillId="0" borderId="4" xfId="0" applyFont="1" applyBorder="1" applyAlignment="1">
      <alignment horizontal="center"/>
    </xf>
    <xf numFmtId="182" fontId="42" fillId="0" borderId="4" xfId="2" applyNumberFormat="1" applyFont="1" applyBorder="1"/>
    <xf numFmtId="43" fontId="43" fillId="23" borderId="83" xfId="0" applyNumberFormat="1" applyFont="1" applyFill="1" applyBorder="1"/>
    <xf numFmtId="43" fontId="42" fillId="35" borderId="4" xfId="2" applyFont="1" applyFill="1" applyBorder="1"/>
    <xf numFmtId="43" fontId="42" fillId="35" borderId="12" xfId="0" applyNumberFormat="1" applyFont="1" applyFill="1" applyBorder="1"/>
    <xf numFmtId="43" fontId="42" fillId="0" borderId="12" xfId="2" applyFont="1" applyBorder="1"/>
    <xf numFmtId="43" fontId="52" fillId="3" borderId="204" xfId="0" applyNumberFormat="1" applyFont="1" applyFill="1" applyBorder="1"/>
    <xf numFmtId="43" fontId="42" fillId="0" borderId="29" xfId="0" applyNumberFormat="1" applyFont="1" applyBorder="1"/>
    <xf numFmtId="10" fontId="42" fillId="0" borderId="74" xfId="1" applyNumberFormat="1" applyFont="1" applyBorder="1"/>
    <xf numFmtId="166" fontId="42" fillId="0" borderId="74" xfId="0" applyNumberFormat="1" applyFont="1" applyBorder="1"/>
    <xf numFmtId="43" fontId="42" fillId="0" borderId="48" xfId="2" applyFont="1" applyBorder="1"/>
    <xf numFmtId="0" fontId="42" fillId="0" borderId="48" xfId="0" applyFont="1" applyBorder="1" applyAlignment="1">
      <alignment horizontal="center"/>
    </xf>
    <xf numFmtId="43" fontId="42" fillId="0" borderId="48" xfId="0" applyNumberFormat="1" applyFont="1" applyBorder="1"/>
    <xf numFmtId="43" fontId="43" fillId="23" borderId="199" xfId="0" applyNumberFormat="1" applyFont="1" applyFill="1" applyBorder="1"/>
    <xf numFmtId="43" fontId="42" fillId="35" borderId="46" xfId="0" applyNumberFormat="1" applyFont="1" applyFill="1" applyBorder="1"/>
    <xf numFmtId="43" fontId="52" fillId="3" borderId="200" xfId="0" applyNumberFormat="1" applyFont="1" applyFill="1" applyBorder="1"/>
    <xf numFmtId="182" fontId="103" fillId="0" borderId="48" xfId="0" applyNumberFormat="1" applyFont="1" applyBorder="1"/>
    <xf numFmtId="43" fontId="43" fillId="23" borderId="50" xfId="0" applyNumberFormat="1" applyFont="1" applyFill="1" applyBorder="1"/>
    <xf numFmtId="43" fontId="42" fillId="0" borderId="46" xfId="0" applyNumberFormat="1" applyFont="1" applyBorder="1"/>
    <xf numFmtId="43" fontId="52" fillId="3" borderId="169" xfId="0" applyNumberFormat="1" applyFont="1" applyFill="1" applyBorder="1"/>
    <xf numFmtId="191" fontId="42" fillId="0" borderId="48" xfId="0" applyNumberFormat="1" applyFont="1" applyBorder="1"/>
    <xf numFmtId="43" fontId="42" fillId="0" borderId="201" xfId="0" applyNumberFormat="1" applyFont="1" applyBorder="1"/>
    <xf numFmtId="191" fontId="42" fillId="0" borderId="2" xfId="0" applyNumberFormat="1" applyFont="1" applyBorder="1"/>
    <xf numFmtId="10" fontId="42" fillId="0" borderId="55" xfId="1" applyNumberFormat="1" applyFont="1" applyBorder="1"/>
    <xf numFmtId="0" fontId="42" fillId="0" borderId="114" xfId="0" applyFont="1" applyBorder="1" applyAlignment="1">
      <alignment horizontal="center"/>
    </xf>
    <xf numFmtId="10" fontId="42" fillId="0" borderId="15" xfId="1" applyNumberFormat="1" applyFont="1" applyBorder="1"/>
    <xf numFmtId="10" fontId="42" fillId="0" borderId="0" xfId="1" applyNumberFormat="1" applyFont="1" applyBorder="1" applyAlignment="1">
      <alignment horizontal="center"/>
    </xf>
    <xf numFmtId="43" fontId="42" fillId="7" borderId="31" xfId="2" applyFont="1" applyFill="1" applyBorder="1" applyAlignment="1">
      <alignment horizontal="left"/>
    </xf>
    <xf numFmtId="43" fontId="42" fillId="0" borderId="114" xfId="2" applyFont="1" applyBorder="1"/>
    <xf numFmtId="43" fontId="42" fillId="7" borderId="114" xfId="2" applyFont="1" applyFill="1" applyBorder="1" applyAlignment="1">
      <alignment horizontal="left"/>
    </xf>
    <xf numFmtId="43" fontId="42" fillId="7" borderId="55" xfId="2" applyFont="1" applyFill="1" applyBorder="1" applyAlignment="1">
      <alignment horizontal="left"/>
    </xf>
    <xf numFmtId="43" fontId="42" fillId="7" borderId="23" xfId="2" applyFont="1" applyFill="1" applyBorder="1" applyAlignment="1">
      <alignment horizontal="left"/>
    </xf>
    <xf numFmtId="43" fontId="42" fillId="7" borderId="11" xfId="2" applyFont="1" applyFill="1" applyBorder="1" applyAlignment="1">
      <alignment horizontal="left"/>
    </xf>
    <xf numFmtId="43" fontId="42" fillId="6" borderId="31" xfId="2" applyFont="1" applyFill="1" applyBorder="1" applyAlignment="1">
      <alignment horizontal="left"/>
    </xf>
    <xf numFmtId="43" fontId="42" fillId="6" borderId="11" xfId="2" applyFont="1" applyFill="1" applyBorder="1" applyAlignment="1">
      <alignment horizontal="left"/>
    </xf>
    <xf numFmtId="43" fontId="42" fillId="0" borderId="56" xfId="2" applyFont="1" applyBorder="1"/>
    <xf numFmtId="43" fontId="42" fillId="0" borderId="55" xfId="2" applyFont="1" applyBorder="1"/>
    <xf numFmtId="43" fontId="42" fillId="0" borderId="116" xfId="2" applyFont="1" applyBorder="1"/>
    <xf numFmtId="43" fontId="42" fillId="0" borderId="23" xfId="2" applyFont="1" applyBorder="1"/>
    <xf numFmtId="43" fontId="42" fillId="0" borderId="0" xfId="2" applyFont="1"/>
    <xf numFmtId="43" fontId="42" fillId="0" borderId="195" xfId="2" applyFont="1" applyBorder="1"/>
    <xf numFmtId="43" fontId="42" fillId="0" borderId="31" xfId="2" applyFont="1" applyBorder="1" applyAlignment="1">
      <alignment horizontal="left"/>
    </xf>
    <xf numFmtId="43" fontId="42" fillId="0" borderId="114" xfId="2" applyFont="1" applyBorder="1" applyAlignment="1">
      <alignment horizontal="left"/>
    </xf>
    <xf numFmtId="43" fontId="42" fillId="0" borderId="23" xfId="2" applyFont="1" applyBorder="1" applyAlignment="1">
      <alignment horizontal="left"/>
    </xf>
    <xf numFmtId="0" fontId="42" fillId="0" borderId="5" xfId="0" applyFont="1" applyBorder="1"/>
    <xf numFmtId="0" fontId="42" fillId="0" borderId="30" xfId="0" applyFont="1" applyBorder="1"/>
    <xf numFmtId="43" fontId="42" fillId="0" borderId="5" xfId="2" applyFont="1" applyBorder="1"/>
    <xf numFmtId="166" fontId="42" fillId="0" borderId="5" xfId="0" applyNumberFormat="1" applyFont="1" applyBorder="1"/>
    <xf numFmtId="0" fontId="42" fillId="7" borderId="25" xfId="0" applyFont="1" applyFill="1" applyBorder="1" applyAlignment="1">
      <alignment horizontal="left"/>
    </xf>
    <xf numFmtId="182" fontId="42" fillId="19" borderId="118" xfId="2" applyNumberFormat="1" applyFont="1" applyFill="1" applyBorder="1" applyAlignment="1"/>
    <xf numFmtId="182" fontId="42" fillId="19" borderId="120" xfId="2" applyNumberFormat="1" applyFont="1" applyFill="1" applyBorder="1" applyAlignment="1"/>
    <xf numFmtId="0" fontId="42" fillId="19" borderId="118" xfId="0" applyFont="1" applyFill="1" applyBorder="1"/>
    <xf numFmtId="0" fontId="42" fillId="19" borderId="120" xfId="0" applyFont="1" applyFill="1" applyBorder="1"/>
    <xf numFmtId="0" fontId="42" fillId="7" borderId="118" xfId="0" applyFont="1" applyFill="1" applyBorder="1"/>
    <xf numFmtId="0" fontId="42" fillId="7" borderId="120" xfId="0" applyFont="1" applyFill="1" applyBorder="1"/>
    <xf numFmtId="0" fontId="42" fillId="7" borderId="112" xfId="0" applyFont="1" applyFill="1" applyBorder="1"/>
    <xf numFmtId="0" fontId="42" fillId="0" borderId="1" xfId="0" applyFont="1" applyBorder="1"/>
    <xf numFmtId="182" fontId="42" fillId="7" borderId="23" xfId="2" applyNumberFormat="1" applyFont="1" applyFill="1" applyBorder="1" applyAlignment="1">
      <alignment horizontal="right"/>
    </xf>
    <xf numFmtId="182" fontId="42" fillId="19" borderId="31" xfId="0" applyNumberFormat="1" applyFont="1" applyFill="1" applyBorder="1"/>
    <xf numFmtId="182" fontId="42" fillId="19" borderId="11" xfId="0" applyNumberFormat="1" applyFont="1" applyFill="1" applyBorder="1"/>
    <xf numFmtId="182" fontId="42" fillId="7" borderId="31" xfId="2" applyNumberFormat="1" applyFont="1" applyFill="1" applyBorder="1" applyAlignment="1"/>
    <xf numFmtId="182" fontId="42" fillId="7" borderId="11" xfId="2" applyNumberFormat="1" applyFont="1" applyFill="1" applyBorder="1" applyAlignment="1"/>
    <xf numFmtId="182" fontId="42" fillId="7" borderId="23" xfId="2" applyNumberFormat="1" applyFont="1" applyFill="1" applyBorder="1" applyAlignment="1"/>
    <xf numFmtId="182" fontId="42" fillId="0" borderId="114" xfId="2" applyNumberFormat="1" applyFont="1" applyBorder="1" applyAlignment="1"/>
    <xf numFmtId="182" fontId="42" fillId="0" borderId="23" xfId="2" applyNumberFormat="1" applyFont="1" applyBorder="1" applyAlignment="1"/>
    <xf numFmtId="182" fontId="42" fillId="0" borderId="55" xfId="2" applyNumberFormat="1" applyFont="1" applyBorder="1" applyAlignment="1"/>
    <xf numFmtId="182" fontId="42" fillId="19" borderId="31" xfId="2" applyNumberFormat="1" applyFont="1" applyFill="1" applyBorder="1" applyAlignment="1"/>
    <xf numFmtId="182" fontId="42" fillId="19" borderId="11" xfId="2" applyNumberFormat="1" applyFont="1" applyFill="1" applyBorder="1" applyAlignment="1"/>
    <xf numFmtId="182" fontId="42" fillId="7" borderId="31" xfId="2" applyNumberFormat="1" applyFont="1" applyFill="1" applyBorder="1"/>
    <xf numFmtId="182" fontId="42" fillId="0" borderId="121" xfId="2" applyNumberFormat="1" applyFont="1" applyBorder="1" applyAlignment="1"/>
    <xf numFmtId="10" fontId="42" fillId="7" borderId="4" xfId="1" applyNumberFormat="1" applyFont="1" applyFill="1" applyBorder="1"/>
    <xf numFmtId="167" fontId="53" fillId="7" borderId="13" xfId="1" applyNumberFormat="1" applyFont="1" applyFill="1" applyBorder="1" applyAlignment="1">
      <alignment horizontal="left"/>
    </xf>
    <xf numFmtId="10" fontId="42" fillId="19" borderId="119" xfId="1" applyNumberFormat="1" applyFont="1" applyFill="1" applyBorder="1" applyAlignment="1"/>
    <xf numFmtId="10" fontId="42" fillId="19" borderId="13" xfId="1" applyNumberFormat="1" applyFont="1" applyFill="1" applyBorder="1" applyAlignment="1"/>
    <xf numFmtId="10" fontId="42" fillId="19" borderId="31" xfId="1" applyNumberFormat="1" applyFont="1" applyFill="1" applyBorder="1" applyAlignment="1"/>
    <xf numFmtId="10" fontId="42" fillId="19" borderId="11" xfId="1" applyNumberFormat="1" applyFont="1" applyFill="1" applyBorder="1" applyAlignment="1"/>
    <xf numFmtId="10" fontId="42" fillId="7" borderId="31" xfId="1" applyNumberFormat="1" applyFont="1" applyFill="1" applyBorder="1" applyAlignment="1"/>
    <xf numFmtId="10" fontId="42" fillId="7" borderId="11" xfId="1" applyNumberFormat="1" applyFont="1" applyFill="1" applyBorder="1" applyAlignment="1"/>
    <xf numFmtId="10" fontId="42" fillId="7" borderId="23" xfId="1" applyNumberFormat="1" applyFont="1" applyFill="1" applyBorder="1" applyAlignment="1"/>
    <xf numFmtId="10" fontId="42" fillId="0" borderId="114" xfId="1" applyNumberFormat="1" applyFont="1" applyBorder="1" applyAlignment="1"/>
    <xf numFmtId="10" fontId="42" fillId="0" borderId="23" xfId="1" applyNumberFormat="1" applyFont="1" applyBorder="1" applyAlignment="1"/>
    <xf numFmtId="10" fontId="42" fillId="0" borderId="0" xfId="1" applyNumberFormat="1" applyFont="1" applyBorder="1" applyAlignment="1"/>
    <xf numFmtId="10" fontId="104" fillId="0" borderId="23" xfId="1" applyNumberFormat="1" applyFont="1" applyBorder="1" applyAlignment="1"/>
    <xf numFmtId="10" fontId="104" fillId="0" borderId="55" xfId="1" applyNumberFormat="1" applyFont="1" applyBorder="1" applyAlignment="1"/>
    <xf numFmtId="166" fontId="42" fillId="7" borderId="12" xfId="0" applyNumberFormat="1" applyFont="1" applyFill="1" applyBorder="1"/>
    <xf numFmtId="169" fontId="53" fillId="7" borderId="20" xfId="0" applyNumberFormat="1" applyFont="1" applyFill="1" applyBorder="1" applyAlignment="1">
      <alignment horizontal="left"/>
    </xf>
    <xf numFmtId="166" fontId="42" fillId="19" borderId="19" xfId="0" applyNumberFormat="1" applyFont="1" applyFill="1" applyBorder="1"/>
    <xf numFmtId="166" fontId="42" fillId="19" borderId="20" xfId="0" applyNumberFormat="1" applyFont="1" applyFill="1" applyBorder="1"/>
    <xf numFmtId="166" fontId="42" fillId="19" borderId="31" xfId="0" applyNumberFormat="1" applyFont="1" applyFill="1" applyBorder="1"/>
    <xf numFmtId="166" fontId="42" fillId="19" borderId="11" xfId="0" applyNumberFormat="1" applyFont="1" applyFill="1" applyBorder="1"/>
    <xf numFmtId="10" fontId="104" fillId="0" borderId="23" xfId="0" applyNumberFormat="1" applyFont="1" applyBorder="1"/>
    <xf numFmtId="166" fontId="104" fillId="0" borderId="23" xfId="0" applyNumberFormat="1" applyFont="1" applyBorder="1"/>
    <xf numFmtId="0" fontId="42" fillId="7" borderId="12" xfId="0" applyFont="1" applyFill="1" applyBorder="1"/>
    <xf numFmtId="0" fontId="42" fillId="7" borderId="22" xfId="0" applyFont="1" applyFill="1" applyBorder="1"/>
    <xf numFmtId="0" fontId="42" fillId="19" borderId="32" xfId="0" applyFont="1" applyFill="1" applyBorder="1"/>
    <xf numFmtId="0" fontId="42" fillId="19" borderId="25" xfId="0" applyFont="1" applyFill="1" applyBorder="1"/>
    <xf numFmtId="0" fontId="42" fillId="19" borderId="31" xfId="0" applyFont="1" applyFill="1" applyBorder="1"/>
    <xf numFmtId="0" fontId="42" fillId="19" borderId="11" xfId="0" applyFont="1" applyFill="1" applyBorder="1"/>
    <xf numFmtId="190" fontId="42" fillId="0" borderId="23" xfId="2" applyNumberFormat="1" applyFont="1" applyBorder="1"/>
    <xf numFmtId="0" fontId="42" fillId="0" borderId="56" xfId="0" applyFont="1" applyBorder="1"/>
    <xf numFmtId="0" fontId="42" fillId="0" borderId="116" xfId="0" applyFont="1" applyBorder="1"/>
    <xf numFmtId="0" fontId="42" fillId="7" borderId="4" xfId="0" applyFont="1" applyFill="1" applyBorder="1"/>
    <xf numFmtId="0" fontId="42" fillId="7" borderId="10" xfId="0" applyFont="1" applyFill="1" applyBorder="1"/>
    <xf numFmtId="182" fontId="42" fillId="0" borderId="114" xfId="0" applyNumberFormat="1" applyFont="1" applyBorder="1"/>
    <xf numFmtId="0" fontId="42" fillId="19" borderId="9" xfId="0" applyFont="1" applyFill="1" applyBorder="1" applyAlignment="1">
      <alignment horizontal="center"/>
    </xf>
    <xf numFmtId="0" fontId="42" fillId="19" borderId="1" xfId="0" applyFont="1" applyFill="1" applyBorder="1" applyAlignment="1">
      <alignment horizontal="center"/>
    </xf>
    <xf numFmtId="182" fontId="47" fillId="0" borderId="19" xfId="0" applyNumberFormat="1" applyFont="1" applyBorder="1"/>
    <xf numFmtId="167" fontId="42" fillId="0" borderId="1" xfId="1" applyNumberFormat="1" applyFont="1" applyBorder="1"/>
    <xf numFmtId="185" fontId="42" fillId="0" borderId="1" xfId="2" applyNumberFormat="1" applyFont="1" applyBorder="1"/>
    <xf numFmtId="185" fontId="42" fillId="0" borderId="2" xfId="2" applyNumberFormat="1" applyFont="1" applyBorder="1"/>
    <xf numFmtId="10" fontId="42" fillId="0" borderId="4" xfId="1" applyNumberFormat="1" applyFont="1" applyFill="1" applyBorder="1"/>
    <xf numFmtId="10" fontId="103" fillId="0" borderId="1" xfId="1" applyNumberFormat="1" applyFont="1" applyBorder="1"/>
    <xf numFmtId="182" fontId="55" fillId="23" borderId="82" xfId="0" applyNumberFormat="1" applyFont="1" applyFill="1" applyBorder="1"/>
    <xf numFmtId="182" fontId="55" fillId="23" borderId="33" xfId="0" applyNumberFormat="1" applyFont="1" applyFill="1" applyBorder="1"/>
    <xf numFmtId="182" fontId="42" fillId="0" borderId="9" xfId="2" applyNumberFormat="1" applyFont="1" applyBorder="1"/>
    <xf numFmtId="182" fontId="43" fillId="23" borderId="83" xfId="2" applyNumberFormat="1" applyFont="1" applyFill="1" applyBorder="1"/>
    <xf numFmtId="182" fontId="43" fillId="23" borderId="36" xfId="2" applyNumberFormat="1" applyFont="1" applyFill="1" applyBorder="1"/>
    <xf numFmtId="182" fontId="43" fillId="23" borderId="51" xfId="2" applyNumberFormat="1" applyFont="1" applyFill="1" applyBorder="1"/>
    <xf numFmtId="193" fontId="43" fillId="23" borderId="51" xfId="2" applyNumberFormat="1" applyFont="1" applyFill="1" applyBorder="1"/>
    <xf numFmtId="182" fontId="42" fillId="0" borderId="4" xfId="0" applyNumberFormat="1" applyFont="1" applyBorder="1"/>
    <xf numFmtId="182" fontId="42" fillId="0" borderId="9" xfId="0" applyNumberFormat="1" applyFont="1" applyBorder="1"/>
    <xf numFmtId="10" fontId="103" fillId="0" borderId="1" xfId="1" applyNumberFormat="1" applyFont="1" applyFill="1" applyBorder="1"/>
    <xf numFmtId="182" fontId="42" fillId="0" borderId="2" xfId="0" applyNumberFormat="1" applyFont="1" applyBorder="1"/>
    <xf numFmtId="182" fontId="42" fillId="0" borderId="19" xfId="0" applyNumberFormat="1" applyFont="1" applyBorder="1"/>
    <xf numFmtId="182" fontId="42" fillId="0" borderId="57" xfId="2" applyNumberFormat="1" applyFont="1" applyBorder="1"/>
    <xf numFmtId="182" fontId="42" fillId="0" borderId="49" xfId="2" applyNumberFormat="1" applyFont="1" applyBorder="1"/>
    <xf numFmtId="2" fontId="42" fillId="0" borderId="49" xfId="0" applyNumberFormat="1" applyFont="1" applyBorder="1"/>
    <xf numFmtId="43" fontId="42" fillId="0" borderId="49" xfId="2" applyFont="1" applyBorder="1"/>
    <xf numFmtId="10" fontId="85" fillId="0" borderId="147" xfId="1" applyNumberFormat="1" applyFont="1" applyBorder="1"/>
    <xf numFmtId="182" fontId="42" fillId="0" borderId="45" xfId="2" applyNumberFormat="1" applyFont="1" applyBorder="1"/>
    <xf numFmtId="2" fontId="42" fillId="0" borderId="45" xfId="0" applyNumberFormat="1" applyFont="1" applyBorder="1"/>
    <xf numFmtId="43" fontId="42" fillId="0" borderId="0" xfId="2" applyFont="1" applyBorder="1"/>
    <xf numFmtId="193" fontId="43" fillId="0" borderId="1" xfId="2" applyNumberFormat="1" applyFont="1" applyBorder="1"/>
    <xf numFmtId="43" fontId="43" fillId="0" borderId="1" xfId="2" applyFont="1" applyBorder="1"/>
    <xf numFmtId="10" fontId="43" fillId="0" borderId="3" xfId="1" applyNumberFormat="1" applyFont="1" applyBorder="1"/>
    <xf numFmtId="0" fontId="43" fillId="0" borderId="3" xfId="0" applyFont="1" applyBorder="1"/>
    <xf numFmtId="9" fontId="43" fillId="0" borderId="1" xfId="2" applyNumberFormat="1" applyFont="1" applyBorder="1"/>
    <xf numFmtId="10" fontId="43" fillId="0" borderId="1" xfId="0" applyNumberFormat="1" applyFont="1" applyBorder="1"/>
    <xf numFmtId="0" fontId="42" fillId="0" borderId="15" xfId="0" applyFont="1" applyBorder="1"/>
    <xf numFmtId="0" fontId="46" fillId="0" borderId="167" xfId="0" applyFont="1" applyBorder="1"/>
    <xf numFmtId="10" fontId="42" fillId="0" borderId="168" xfId="0" applyNumberFormat="1" applyFont="1" applyBorder="1"/>
    <xf numFmtId="0" fontId="46" fillId="0" borderId="47" xfId="0" applyFont="1" applyBorder="1"/>
    <xf numFmtId="10" fontId="42" fillId="0" borderId="48" xfId="0" applyNumberFormat="1" applyFont="1" applyBorder="1"/>
    <xf numFmtId="0" fontId="43" fillId="0" borderId="1" xfId="0" applyFont="1" applyBorder="1"/>
    <xf numFmtId="0" fontId="46" fillId="0" borderId="52" xfId="0" applyFont="1" applyBorder="1"/>
    <xf numFmtId="10" fontId="42" fillId="0" borderId="169" xfId="0" applyNumberFormat="1" applyFont="1" applyBorder="1"/>
    <xf numFmtId="182" fontId="42" fillId="0" borderId="1" xfId="2" applyNumberFormat="1" applyFont="1" applyBorder="1"/>
    <xf numFmtId="182" fontId="42" fillId="0" borderId="1" xfId="2" applyNumberFormat="1" applyFont="1" applyBorder="1" applyAlignment="1">
      <alignment horizontal="center"/>
    </xf>
    <xf numFmtId="43" fontId="42" fillId="0" borderId="4" xfId="0" applyNumberFormat="1" applyFont="1" applyBorder="1"/>
    <xf numFmtId="0" fontId="43" fillId="0" borderId="0" xfId="0" applyFont="1"/>
    <xf numFmtId="174" fontId="42" fillId="0" borderId="4" xfId="0" applyNumberFormat="1" applyFont="1" applyBorder="1"/>
    <xf numFmtId="174" fontId="42" fillId="0" borderId="1" xfId="0" applyNumberFormat="1" applyFont="1" applyBorder="1"/>
    <xf numFmtId="10" fontId="42" fillId="0" borderId="1" xfId="0" applyNumberFormat="1" applyFont="1" applyBorder="1"/>
    <xf numFmtId="167" fontId="42" fillId="0" borderId="3" xfId="1" applyNumberFormat="1" applyFont="1" applyBorder="1"/>
    <xf numFmtId="185" fontId="42" fillId="0" borderId="3" xfId="2" applyNumberFormat="1" applyFont="1" applyBorder="1"/>
    <xf numFmtId="10" fontId="104" fillId="0" borderId="0" xfId="1" applyNumberFormat="1" applyFont="1" applyBorder="1" applyAlignment="1"/>
    <xf numFmtId="167" fontId="53" fillId="7" borderId="56" xfId="1" applyNumberFormat="1" applyFont="1" applyFill="1" applyBorder="1" applyAlignment="1">
      <alignment horizontal="left"/>
    </xf>
    <xf numFmtId="169" fontId="53" fillId="7" borderId="0" xfId="0" applyNumberFormat="1" applyFont="1" applyFill="1" applyAlignment="1">
      <alignment horizontal="left"/>
    </xf>
    <xf numFmtId="0" fontId="42" fillId="7" borderId="16" xfId="0" applyFont="1" applyFill="1" applyBorder="1"/>
    <xf numFmtId="182" fontId="42" fillId="35" borderId="12" xfId="0" applyNumberFormat="1" applyFont="1" applyFill="1" applyBorder="1"/>
    <xf numFmtId="182" fontId="42" fillId="35" borderId="21" xfId="0" applyNumberFormat="1" applyFont="1" applyFill="1" applyBorder="1"/>
    <xf numFmtId="43" fontId="42" fillId="35" borderId="2" xfId="2" applyFont="1" applyFill="1" applyBorder="1"/>
    <xf numFmtId="182" fontId="52" fillId="3" borderId="179" xfId="0" applyNumberFormat="1" applyFont="1" applyFill="1" applyBorder="1"/>
    <xf numFmtId="182" fontId="52" fillId="3" borderId="181" xfId="0" applyNumberFormat="1" applyFont="1" applyFill="1" applyBorder="1"/>
    <xf numFmtId="182" fontId="42" fillId="0" borderId="12" xfId="0" applyNumberFormat="1" applyFont="1" applyBorder="1"/>
    <xf numFmtId="182" fontId="42" fillId="0" borderId="21" xfId="0" applyNumberFormat="1" applyFont="1" applyBorder="1"/>
    <xf numFmtId="182" fontId="52" fillId="3" borderId="189" xfId="0" applyNumberFormat="1" applyFont="1" applyFill="1" applyBorder="1"/>
    <xf numFmtId="10" fontId="52" fillId="3" borderId="205" xfId="1" applyNumberFormat="1" applyFont="1" applyFill="1" applyBorder="1"/>
    <xf numFmtId="182" fontId="52" fillId="3" borderId="206" xfId="0" applyNumberFormat="1" applyFont="1" applyFill="1" applyBorder="1"/>
    <xf numFmtId="10" fontId="52" fillId="3" borderId="207" xfId="1" applyNumberFormat="1" applyFont="1" applyFill="1" applyBorder="1"/>
    <xf numFmtId="43" fontId="52" fillId="3" borderId="207" xfId="0" applyNumberFormat="1" applyFont="1" applyFill="1" applyBorder="1"/>
    <xf numFmtId="43" fontId="52" fillId="3" borderId="208" xfId="0" applyNumberFormat="1" applyFont="1" applyFill="1" applyBorder="1"/>
    <xf numFmtId="182" fontId="52" fillId="3" borderId="209" xfId="2" applyNumberFormat="1" applyFont="1" applyFill="1" applyBorder="1"/>
    <xf numFmtId="43" fontId="52" fillId="3" borderId="209" xfId="0" applyNumberFormat="1" applyFont="1" applyFill="1" applyBorder="1"/>
    <xf numFmtId="43" fontId="52" fillId="3" borderId="210" xfId="0" applyNumberFormat="1" applyFont="1" applyFill="1" applyBorder="1"/>
    <xf numFmtId="182" fontId="43" fillId="23" borderId="212" xfId="0" applyNumberFormat="1" applyFont="1" applyFill="1" applyBorder="1"/>
    <xf numFmtId="10" fontId="43" fillId="23" borderId="213" xfId="1" applyNumberFormat="1" applyFont="1" applyFill="1" applyBorder="1"/>
    <xf numFmtId="182" fontId="43" fillId="23" borderId="214" xfId="0" applyNumberFormat="1" applyFont="1" applyFill="1" applyBorder="1"/>
    <xf numFmtId="182" fontId="43" fillId="23" borderId="214" xfId="2" applyNumberFormat="1" applyFont="1" applyFill="1" applyBorder="1"/>
    <xf numFmtId="10" fontId="43" fillId="23" borderId="215" xfId="1" applyNumberFormat="1" applyFont="1" applyFill="1" applyBorder="1"/>
    <xf numFmtId="43" fontId="43" fillId="23" borderId="215" xfId="0" applyNumberFormat="1" applyFont="1" applyFill="1" applyBorder="1"/>
    <xf numFmtId="43" fontId="43" fillId="23" borderId="216" xfId="0" applyNumberFormat="1" applyFont="1" applyFill="1" applyBorder="1"/>
    <xf numFmtId="182" fontId="43" fillId="23" borderId="211" xfId="2" applyNumberFormat="1" applyFont="1" applyFill="1" applyBorder="1"/>
    <xf numFmtId="3" fontId="43" fillId="23" borderId="211" xfId="0" applyNumberFormat="1" applyFont="1" applyFill="1" applyBorder="1"/>
    <xf numFmtId="182" fontId="52" fillId="3" borderId="217" xfId="0" applyNumberFormat="1" applyFont="1" applyFill="1" applyBorder="1"/>
    <xf numFmtId="10" fontId="52" fillId="3" borderId="218" xfId="1" applyNumberFormat="1" applyFont="1" applyFill="1" applyBorder="1"/>
    <xf numFmtId="182" fontId="52" fillId="3" borderId="219" xfId="0" applyNumberFormat="1" applyFont="1" applyFill="1" applyBorder="1"/>
    <xf numFmtId="10" fontId="52" fillId="3" borderId="220" xfId="1" applyNumberFormat="1" applyFont="1" applyFill="1" applyBorder="1"/>
    <xf numFmtId="43" fontId="52" fillId="3" borderId="220" xfId="0" applyNumberFormat="1" applyFont="1" applyFill="1" applyBorder="1"/>
    <xf numFmtId="43" fontId="52" fillId="3" borderId="221" xfId="0" applyNumberFormat="1" applyFont="1" applyFill="1" applyBorder="1"/>
    <xf numFmtId="182" fontId="52" fillId="3" borderId="222" xfId="2" applyNumberFormat="1" applyFont="1" applyFill="1" applyBorder="1"/>
    <xf numFmtId="43" fontId="52" fillId="3" borderId="222" xfId="0" applyNumberFormat="1" applyFont="1" applyFill="1" applyBorder="1"/>
    <xf numFmtId="43" fontId="43" fillId="23" borderId="216" xfId="2" applyFont="1" applyFill="1" applyBorder="1"/>
    <xf numFmtId="43" fontId="43" fillId="23" borderId="211" xfId="0" applyNumberFormat="1" applyFont="1" applyFill="1" applyBorder="1"/>
    <xf numFmtId="43" fontId="52" fillId="3" borderId="221" xfId="2" applyFont="1" applyFill="1" applyBorder="1"/>
    <xf numFmtId="182" fontId="52" fillId="3" borderId="223" xfId="0" applyNumberFormat="1" applyFont="1" applyFill="1" applyBorder="1"/>
    <xf numFmtId="10" fontId="52" fillId="3" borderId="224" xfId="1" applyNumberFormat="1" applyFont="1" applyFill="1" applyBorder="1"/>
    <xf numFmtId="182" fontId="52" fillId="3" borderId="225" xfId="0" applyNumberFormat="1" applyFont="1" applyFill="1" applyBorder="1"/>
    <xf numFmtId="10" fontId="52" fillId="3" borderId="226" xfId="1" applyNumberFormat="1" applyFont="1" applyFill="1" applyBorder="1"/>
    <xf numFmtId="43" fontId="52" fillId="3" borderId="226" xfId="0" applyNumberFormat="1" applyFont="1" applyFill="1" applyBorder="1"/>
    <xf numFmtId="43" fontId="52" fillId="3" borderId="227" xfId="2" applyFont="1" applyFill="1" applyBorder="1"/>
    <xf numFmtId="43" fontId="52" fillId="3" borderId="208" xfId="2" applyFont="1" applyFill="1" applyBorder="1"/>
    <xf numFmtId="182" fontId="42" fillId="0" borderId="183" xfId="0" applyNumberFormat="1" applyFont="1" applyBorder="1"/>
    <xf numFmtId="10" fontId="42" fillId="0" borderId="184" xfId="1" applyNumberFormat="1" applyFont="1" applyBorder="1"/>
    <xf numFmtId="182" fontId="42" fillId="0" borderId="185" xfId="0" applyNumberFormat="1" applyFont="1" applyBorder="1"/>
    <xf numFmtId="10" fontId="42" fillId="0" borderId="186" xfId="1" applyNumberFormat="1" applyFont="1" applyBorder="1"/>
    <xf numFmtId="43" fontId="42" fillId="0" borderId="186" xfId="0" applyNumberFormat="1" applyFont="1" applyBorder="1"/>
    <xf numFmtId="43" fontId="42" fillId="0" borderId="203" xfId="2" applyFont="1" applyBorder="1"/>
    <xf numFmtId="182" fontId="42" fillId="0" borderId="187" xfId="2" applyNumberFormat="1" applyFont="1" applyBorder="1"/>
    <xf numFmtId="0" fontId="42" fillId="0" borderId="187" xfId="0" applyFont="1" applyBorder="1"/>
    <xf numFmtId="0" fontId="42" fillId="7" borderId="24" xfId="0" applyFont="1" applyFill="1" applyBorder="1" applyAlignment="1">
      <alignment horizontal="left"/>
    </xf>
    <xf numFmtId="182" fontId="47" fillId="0" borderId="0" xfId="0" applyNumberFormat="1" applyFont="1"/>
    <xf numFmtId="182" fontId="42" fillId="0" borderId="0" xfId="0" applyNumberFormat="1" applyFont="1"/>
    <xf numFmtId="0" fontId="102" fillId="0" borderId="71" xfId="0" applyFont="1" applyBorder="1"/>
    <xf numFmtId="0" fontId="42" fillId="0" borderId="114" xfId="0" applyFont="1" applyBorder="1" applyAlignment="1">
      <alignment shrinkToFit="1"/>
    </xf>
    <xf numFmtId="0" fontId="43" fillId="23" borderId="228" xfId="0" applyFont="1" applyFill="1" applyBorder="1"/>
    <xf numFmtId="0" fontId="52" fillId="3" borderId="75" xfId="0" applyFont="1" applyFill="1" applyBorder="1"/>
    <xf numFmtId="0" fontId="46" fillId="0" borderId="117" xfId="0" applyFont="1" applyBorder="1"/>
    <xf numFmtId="0" fontId="52" fillId="3" borderId="222" xfId="0" applyFont="1" applyFill="1" applyBorder="1"/>
    <xf numFmtId="0" fontId="42" fillId="0" borderId="38" xfId="0" applyFont="1" applyBorder="1"/>
    <xf numFmtId="0" fontId="42" fillId="7" borderId="117" xfId="0" applyFont="1" applyFill="1" applyBorder="1" applyAlignment="1">
      <alignment horizontal="center"/>
    </xf>
    <xf numFmtId="0" fontId="42" fillId="7" borderId="115" xfId="0" applyFont="1" applyFill="1" applyBorder="1" applyAlignment="1">
      <alignment horizontal="left"/>
    </xf>
    <xf numFmtId="182" fontId="42" fillId="7" borderId="114" xfId="2" applyNumberFormat="1" applyFont="1" applyFill="1" applyBorder="1" applyAlignment="1">
      <alignment horizontal="right"/>
    </xf>
    <xf numFmtId="182" fontId="42" fillId="7" borderId="114" xfId="2" applyNumberFormat="1" applyFont="1" applyFill="1" applyBorder="1" applyAlignment="1"/>
    <xf numFmtId="10" fontId="42" fillId="7" borderId="47" xfId="1" applyNumberFormat="1" applyFont="1" applyFill="1" applyBorder="1"/>
    <xf numFmtId="167" fontId="53" fillId="7" borderId="116" xfId="1" applyNumberFormat="1" applyFont="1" applyFill="1" applyBorder="1" applyAlignment="1">
      <alignment horizontal="left"/>
    </xf>
    <xf numFmtId="166" fontId="42" fillId="7" borderId="45" xfId="0" applyNumberFormat="1" applyFont="1" applyFill="1" applyBorder="1"/>
    <xf numFmtId="169" fontId="53" fillId="7" borderId="74" xfId="0" applyNumberFormat="1" applyFont="1" applyFill="1" applyBorder="1" applyAlignment="1">
      <alignment horizontal="left"/>
    </xf>
    <xf numFmtId="0" fontId="42" fillId="7" borderId="45" xfId="0" applyFont="1" applyFill="1" applyBorder="1"/>
    <xf numFmtId="0" fontId="42" fillId="7" borderId="46" xfId="0" applyFont="1" applyFill="1" applyBorder="1"/>
    <xf numFmtId="0" fontId="42" fillId="7" borderId="47" xfId="0" applyFont="1" applyFill="1" applyBorder="1"/>
    <xf numFmtId="0" fontId="42" fillId="7" borderId="48" xfId="0" applyFont="1" applyFill="1" applyBorder="1"/>
    <xf numFmtId="182" fontId="47" fillId="0" borderId="57" xfId="0" applyNumberFormat="1" applyFont="1" applyBorder="1"/>
    <xf numFmtId="182" fontId="55" fillId="23" borderId="198" xfId="0" applyNumberFormat="1" applyFont="1" applyFill="1" applyBorder="1"/>
    <xf numFmtId="182" fontId="42" fillId="35" borderId="45" xfId="0" applyNumberFormat="1" applyFont="1" applyFill="1" applyBorder="1"/>
    <xf numFmtId="182" fontId="42" fillId="0" borderId="47" xfId="0" applyNumberFormat="1" applyFont="1" applyBorder="1"/>
    <xf numFmtId="182" fontId="43" fillId="23" borderId="211" xfId="0" applyNumberFormat="1" applyFont="1" applyFill="1" applyBorder="1"/>
    <xf numFmtId="10" fontId="43" fillId="23" borderId="229" xfId="1" applyNumberFormat="1" applyFont="1" applyFill="1" applyBorder="1"/>
    <xf numFmtId="182" fontId="52" fillId="3" borderId="209" xfId="0" applyNumberFormat="1" applyFont="1" applyFill="1" applyBorder="1"/>
    <xf numFmtId="10" fontId="52" fillId="3" borderId="210" xfId="1" applyNumberFormat="1" applyFont="1" applyFill="1" applyBorder="1"/>
    <xf numFmtId="182" fontId="42" fillId="0" borderId="45" xfId="0" applyNumberFormat="1" applyFont="1" applyBorder="1"/>
    <xf numFmtId="182" fontId="42" fillId="0" borderId="57" xfId="0" applyNumberFormat="1" applyFont="1" applyBorder="1"/>
    <xf numFmtId="182" fontId="52" fillId="3" borderId="222" xfId="0" applyNumberFormat="1" applyFont="1" applyFill="1" applyBorder="1"/>
    <xf numFmtId="10" fontId="52" fillId="3" borderId="230" xfId="1" applyNumberFormat="1" applyFont="1" applyFill="1" applyBorder="1"/>
    <xf numFmtId="182" fontId="42" fillId="0" borderId="187" xfId="0" applyNumberFormat="1" applyFont="1" applyBorder="1"/>
    <xf numFmtId="10" fontId="42" fillId="0" borderId="188" xfId="1" applyNumberFormat="1" applyFont="1" applyBorder="1"/>
    <xf numFmtId="0" fontId="42" fillId="7" borderId="2" xfId="0" applyFont="1" applyFill="1" applyBorder="1"/>
    <xf numFmtId="10" fontId="42" fillId="0" borderId="2" xfId="1" applyNumberFormat="1" applyFont="1" applyBorder="1"/>
    <xf numFmtId="10" fontId="43" fillId="23" borderId="44" xfId="1" applyNumberFormat="1" applyFont="1" applyFill="1" applyBorder="1"/>
    <xf numFmtId="10" fontId="42" fillId="35" borderId="16" xfId="1" applyNumberFormat="1" applyFont="1" applyFill="1" applyBorder="1"/>
    <xf numFmtId="10" fontId="52" fillId="3" borderId="202" xfId="1" applyNumberFormat="1" applyFont="1" applyFill="1" applyBorder="1"/>
    <xf numFmtId="10" fontId="43" fillId="23" borderId="216" xfId="1" applyNumberFormat="1" applyFont="1" applyFill="1" applyBorder="1"/>
    <xf numFmtId="10" fontId="52" fillId="3" borderId="208" xfId="1" applyNumberFormat="1" applyFont="1" applyFill="1" applyBorder="1"/>
    <xf numFmtId="10" fontId="52" fillId="3" borderId="221" xfId="1" applyNumberFormat="1" applyFont="1" applyFill="1" applyBorder="1"/>
    <xf numFmtId="10" fontId="42" fillId="0" borderId="203" xfId="1" applyNumberFormat="1" applyFont="1" applyBorder="1"/>
    <xf numFmtId="0" fontId="42" fillId="7" borderId="117" xfId="0" applyFont="1" applyFill="1" applyBorder="1" applyAlignment="1">
      <alignment horizontal="left"/>
    </xf>
    <xf numFmtId="43" fontId="42" fillId="7" borderId="2" xfId="0" applyNumberFormat="1" applyFont="1" applyFill="1" applyBorder="1"/>
    <xf numFmtId="182" fontId="42" fillId="7" borderId="114" xfId="2" applyNumberFormat="1" applyFont="1" applyFill="1" applyBorder="1"/>
    <xf numFmtId="182" fontId="42" fillId="0" borderId="56" xfId="2" applyNumberFormat="1" applyFont="1" applyBorder="1" applyAlignment="1"/>
    <xf numFmtId="184" fontId="42" fillId="35" borderId="4" xfId="0" applyNumberFormat="1" applyFont="1" applyFill="1" applyBorder="1"/>
    <xf numFmtId="182" fontId="43" fillId="23" borderId="83" xfId="0" applyNumberFormat="1" applyFont="1" applyFill="1" applyBorder="1"/>
    <xf numFmtId="182" fontId="52" fillId="3" borderId="179" xfId="2" applyNumberFormat="1" applyFont="1" applyFill="1" applyBorder="1"/>
    <xf numFmtId="182" fontId="42" fillId="35" borderId="12" xfId="2" applyNumberFormat="1" applyFont="1" applyFill="1" applyBorder="1"/>
    <xf numFmtId="182" fontId="43" fillId="23" borderId="212" xfId="2" applyNumberFormat="1" applyFont="1" applyFill="1" applyBorder="1"/>
    <xf numFmtId="182" fontId="52" fillId="3" borderId="189" xfId="2" applyNumberFormat="1" applyFont="1" applyFill="1" applyBorder="1"/>
    <xf numFmtId="182" fontId="42" fillId="0" borderId="12" xfId="2" applyNumberFormat="1" applyFont="1" applyBorder="1"/>
    <xf numFmtId="182" fontId="42" fillId="0" borderId="4" xfId="2" applyNumberFormat="1" applyFont="1" applyFill="1" applyBorder="1"/>
    <xf numFmtId="182" fontId="42" fillId="0" borderId="0" xfId="2" applyNumberFormat="1" applyFont="1" applyFill="1" applyBorder="1"/>
    <xf numFmtId="43" fontId="52" fillId="3" borderId="217" xfId="0" applyNumberFormat="1" applyFont="1" applyFill="1" applyBorder="1"/>
    <xf numFmtId="182" fontId="42" fillId="0" borderId="14" xfId="2" applyNumberFormat="1" applyFont="1" applyBorder="1"/>
    <xf numFmtId="182" fontId="52" fillId="3" borderId="217" xfId="2" applyNumberFormat="1" applyFont="1" applyFill="1" applyBorder="1"/>
    <xf numFmtId="182" fontId="42" fillId="0" borderId="183" xfId="2" applyNumberFormat="1" applyFont="1" applyBorder="1"/>
    <xf numFmtId="10" fontId="42" fillId="0" borderId="55" xfId="1" applyNumberFormat="1" applyFont="1" applyBorder="1" applyAlignment="1"/>
    <xf numFmtId="182" fontId="42" fillId="0" borderId="48" xfId="2" applyNumberFormat="1" applyFont="1" applyBorder="1"/>
    <xf numFmtId="182" fontId="42" fillId="0" borderId="48" xfId="2" applyNumberFormat="1" applyFont="1" applyFill="1" applyBorder="1"/>
    <xf numFmtId="182" fontId="43" fillId="23" borderId="199" xfId="0" applyNumberFormat="1" applyFont="1" applyFill="1" applyBorder="1"/>
    <xf numFmtId="43" fontId="42" fillId="35" borderId="48" xfId="2" applyFont="1" applyFill="1" applyBorder="1"/>
    <xf numFmtId="182" fontId="52" fillId="3" borderId="200" xfId="0" applyNumberFormat="1" applyFont="1" applyFill="1" applyBorder="1"/>
    <xf numFmtId="43" fontId="43" fillId="23" borderId="229" xfId="0" applyNumberFormat="1" applyFont="1" applyFill="1" applyBorder="1"/>
    <xf numFmtId="43" fontId="52" fillId="3" borderId="230" xfId="0" applyNumberFormat="1" applyFont="1" applyFill="1" applyBorder="1"/>
    <xf numFmtId="185" fontId="42" fillId="0" borderId="48" xfId="2" applyNumberFormat="1" applyFont="1" applyBorder="1"/>
    <xf numFmtId="43" fontId="43" fillId="23" borderId="229" xfId="2" applyFont="1" applyFill="1" applyBorder="1"/>
    <xf numFmtId="43" fontId="52" fillId="3" borderId="230" xfId="2" applyFont="1" applyFill="1" applyBorder="1"/>
    <xf numFmtId="43" fontId="42" fillId="0" borderId="188" xfId="2" applyFont="1" applyBorder="1"/>
    <xf numFmtId="43" fontId="52" fillId="3" borderId="210" xfId="2" applyFont="1" applyFill="1" applyBorder="1"/>
    <xf numFmtId="182" fontId="103" fillId="0" borderId="2" xfId="2" applyNumberFormat="1" applyFont="1" applyFill="1" applyBorder="1"/>
    <xf numFmtId="182" fontId="42" fillId="0" borderId="0" xfId="2" applyNumberFormat="1" applyFont="1" applyBorder="1"/>
    <xf numFmtId="166" fontId="104" fillId="0" borderId="55" xfId="0" applyNumberFormat="1" applyFont="1" applyBorder="1"/>
    <xf numFmtId="182" fontId="42" fillId="0" borderId="48" xfId="0" applyNumberFormat="1" applyFont="1" applyBorder="1"/>
    <xf numFmtId="182" fontId="103" fillId="0" borderId="48" xfId="2" applyNumberFormat="1" applyFont="1" applyBorder="1"/>
    <xf numFmtId="0" fontId="102" fillId="0" borderId="4" xfId="0" applyFont="1" applyBorder="1"/>
    <xf numFmtId="0" fontId="42" fillId="0" borderId="74" xfId="0" applyFont="1" applyBorder="1" applyAlignment="1">
      <alignment horizontal="center"/>
    </xf>
    <xf numFmtId="185" fontId="42" fillId="0" borderId="46" xfId="2" applyNumberFormat="1" applyFont="1" applyBorder="1"/>
    <xf numFmtId="43" fontId="42" fillId="0" borderId="4" xfId="2" applyFont="1" applyFill="1" applyBorder="1"/>
    <xf numFmtId="0" fontId="50" fillId="0" borderId="57" xfId="0" applyFont="1" applyBorder="1" applyAlignment="1">
      <alignment horizontal="left" vertical="center"/>
    </xf>
    <xf numFmtId="0" fontId="42" fillId="0" borderId="0" xfId="0" applyFont="1" applyAlignment="1">
      <alignment horizontal="right" vertical="center"/>
    </xf>
    <xf numFmtId="0" fontId="42" fillId="0" borderId="57" xfId="0" applyFont="1" applyBorder="1" applyAlignment="1">
      <alignment horizontal="left" vertical="center"/>
    </xf>
    <xf numFmtId="182" fontId="42" fillId="0" borderId="153" xfId="2" applyNumberFormat="1" applyFont="1" applyBorder="1"/>
    <xf numFmtId="2" fontId="42" fillId="0" borderId="76" xfId="0" applyNumberFormat="1" applyFont="1" applyBorder="1"/>
    <xf numFmtId="0" fontId="42" fillId="0" borderId="0" xfId="0" applyFont="1" applyAlignment="1">
      <alignment wrapText="1"/>
    </xf>
    <xf numFmtId="10" fontId="86" fillId="0" borderId="0" xfId="3" applyNumberFormat="1" applyFont="1"/>
    <xf numFmtId="184" fontId="106" fillId="0" borderId="0" xfId="13" applyNumberFormat="1" applyFont="1" applyFill="1" applyBorder="1"/>
    <xf numFmtId="184" fontId="43" fillId="0" borderId="0" xfId="13" applyNumberFormat="1" applyFont="1" applyFill="1" applyBorder="1"/>
    <xf numFmtId="0" fontId="43" fillId="0" borderId="0" xfId="0" applyFont="1" applyAlignment="1">
      <alignment horizontal="center"/>
    </xf>
    <xf numFmtId="182" fontId="42" fillId="0" borderId="0" xfId="2" applyNumberFormat="1" applyFont="1" applyBorder="1" applyAlignment="1">
      <alignment vertical="center"/>
    </xf>
    <xf numFmtId="0" fontId="46" fillId="0" borderId="0" xfId="0" applyFont="1"/>
    <xf numFmtId="10" fontId="42" fillId="0" borderId="0" xfId="1" applyNumberFormat="1" applyFont="1"/>
    <xf numFmtId="0" fontId="43" fillId="23" borderId="68" xfId="0" applyFont="1" applyFill="1" applyBorder="1"/>
    <xf numFmtId="183" fontId="106" fillId="23" borderId="65" xfId="13" applyNumberFormat="1" applyFont="1" applyFill="1" applyBorder="1"/>
    <xf numFmtId="0" fontId="43" fillId="23" borderId="67" xfId="0" applyFont="1" applyFill="1" applyBorder="1"/>
    <xf numFmtId="184" fontId="106" fillId="23" borderId="65" xfId="13" applyNumberFormat="1" applyFont="1" applyFill="1" applyBorder="1"/>
    <xf numFmtId="0" fontId="42" fillId="0" borderId="130" xfId="0" applyFont="1" applyBorder="1" applyAlignment="1">
      <alignment horizontal="left"/>
    </xf>
    <xf numFmtId="184" fontId="103" fillId="14" borderId="135" xfId="2" applyNumberFormat="1" applyFont="1" applyFill="1" applyBorder="1"/>
    <xf numFmtId="0" fontId="42" fillId="0" borderId="137" xfId="0" applyFont="1" applyBorder="1"/>
    <xf numFmtId="0" fontId="52" fillId="3" borderId="65" xfId="0" applyFont="1" applyFill="1" applyBorder="1"/>
    <xf numFmtId="184" fontId="43" fillId="33" borderId="160" xfId="13" applyNumberFormat="1" applyFont="1" applyFill="1" applyBorder="1"/>
    <xf numFmtId="0" fontId="42" fillId="33" borderId="160" xfId="0" applyFont="1" applyFill="1" applyBorder="1" applyAlignment="1">
      <alignment horizontal="left" shrinkToFit="1"/>
    </xf>
    <xf numFmtId="10" fontId="42" fillId="33" borderId="160" xfId="0" applyNumberFormat="1" applyFont="1" applyFill="1" applyBorder="1" applyAlignment="1">
      <alignment horizontal="right"/>
    </xf>
    <xf numFmtId="184" fontId="106" fillId="33" borderId="160" xfId="13" applyNumberFormat="1" applyFont="1" applyFill="1" applyBorder="1"/>
    <xf numFmtId="10" fontId="42" fillId="33" borderId="157" xfId="1" applyNumberFormat="1" applyFont="1" applyFill="1" applyBorder="1"/>
    <xf numFmtId="0" fontId="42" fillId="33" borderId="157" xfId="0" applyFont="1" applyFill="1" applyBorder="1"/>
    <xf numFmtId="0" fontId="42" fillId="33" borderId="156" xfId="0" applyFont="1" applyFill="1" applyBorder="1"/>
    <xf numFmtId="166" fontId="52" fillId="3" borderId="65" xfId="0" applyNumberFormat="1" applyFont="1" applyFill="1" applyBorder="1"/>
    <xf numFmtId="166" fontId="52" fillId="3" borderId="154" xfId="0" applyNumberFormat="1" applyFont="1" applyFill="1" applyBorder="1"/>
    <xf numFmtId="0" fontId="108" fillId="0" borderId="0" xfId="3" applyFont="1"/>
    <xf numFmtId="184" fontId="42" fillId="33" borderId="76" xfId="0" applyNumberFormat="1" applyFont="1" applyFill="1" applyBorder="1"/>
    <xf numFmtId="10" fontId="42" fillId="33" borderId="76" xfId="1" applyNumberFormat="1" applyFont="1" applyFill="1" applyBorder="1"/>
    <xf numFmtId="0" fontId="42" fillId="0" borderId="66" xfId="0" applyFont="1" applyBorder="1"/>
    <xf numFmtId="0" fontId="52" fillId="0" borderId="0" xfId="0" applyFont="1" applyAlignment="1">
      <alignment vertical="center"/>
    </xf>
    <xf numFmtId="0" fontId="46" fillId="0" borderId="0" xfId="0" applyFont="1" applyAlignment="1">
      <alignment horizontal="right" vertical="center"/>
    </xf>
    <xf numFmtId="0" fontId="42" fillId="0" borderId="107" xfId="0" applyFont="1" applyBorder="1" applyAlignment="1">
      <alignment horizontal="center"/>
    </xf>
    <xf numFmtId="167" fontId="42" fillId="0" borderId="107" xfId="1" applyNumberFormat="1" applyFont="1" applyBorder="1"/>
    <xf numFmtId="0" fontId="42" fillId="0" borderId="107" xfId="0" applyFont="1" applyBorder="1"/>
    <xf numFmtId="0" fontId="42" fillId="0" borderId="173" xfId="0" applyFont="1" applyBorder="1"/>
    <xf numFmtId="166" fontId="42" fillId="0" borderId="173" xfId="0" applyNumberFormat="1" applyFont="1" applyBorder="1"/>
    <xf numFmtId="167" fontId="42" fillId="0" borderId="100" xfId="1" applyNumberFormat="1" applyFont="1" applyBorder="1"/>
    <xf numFmtId="0" fontId="92" fillId="35" borderId="41" xfId="15" applyFont="1" applyFill="1" applyBorder="1" applyAlignment="1">
      <alignment horizontal="center" vertical="center"/>
    </xf>
    <xf numFmtId="0" fontId="52" fillId="35" borderId="72" xfId="0" applyFont="1" applyFill="1" applyBorder="1" applyAlignment="1">
      <alignment horizontal="center"/>
    </xf>
    <xf numFmtId="2" fontId="42" fillId="0" borderId="154" xfId="0" applyNumberFormat="1" applyFont="1" applyBorder="1"/>
    <xf numFmtId="2" fontId="42" fillId="0" borderId="107" xfId="0" applyNumberFormat="1" applyFont="1" applyBorder="1"/>
    <xf numFmtId="2" fontId="42" fillId="0" borderId="153" xfId="0" applyNumberFormat="1" applyFont="1" applyBorder="1" applyAlignment="1">
      <alignment horizontal="center"/>
    </xf>
    <xf numFmtId="2" fontId="42" fillId="0" borderId="153" xfId="0" applyNumberFormat="1" applyFont="1" applyBorder="1"/>
    <xf numFmtId="2" fontId="42" fillId="0" borderId="109" xfId="0" applyNumberFormat="1" applyFont="1" applyBorder="1"/>
    <xf numFmtId="0" fontId="42" fillId="0" borderId="153" xfId="0" applyFont="1" applyBorder="1"/>
    <xf numFmtId="0" fontId="42" fillId="0" borderId="109" xfId="0" applyFont="1" applyBorder="1"/>
    <xf numFmtId="2" fontId="105" fillId="0" borderId="153" xfId="0" applyNumberFormat="1" applyFont="1" applyBorder="1"/>
    <xf numFmtId="0" fontId="42" fillId="0" borderId="88" xfId="0" applyFont="1" applyBorder="1" applyAlignment="1">
      <alignment horizontal="left" vertical="center"/>
    </xf>
    <xf numFmtId="2" fontId="42" fillId="0" borderId="68" xfId="0" applyNumberFormat="1" applyFont="1" applyBorder="1" applyAlignment="1">
      <alignment horizontal="center"/>
    </xf>
    <xf numFmtId="2" fontId="42" fillId="0" borderId="68" xfId="0" applyNumberFormat="1" applyFont="1" applyBorder="1"/>
    <xf numFmtId="2" fontId="42" fillId="0" borderId="65" xfId="0" applyNumberFormat="1" applyFont="1" applyBorder="1"/>
    <xf numFmtId="2" fontId="42" fillId="0" borderId="67" xfId="0" applyNumberFormat="1" applyFont="1" applyBorder="1"/>
    <xf numFmtId="0" fontId="43" fillId="6" borderId="84" xfId="0" applyFont="1" applyFill="1" applyBorder="1" applyAlignment="1">
      <alignment horizontal="center"/>
    </xf>
    <xf numFmtId="0" fontId="43" fillId="6" borderId="79" xfId="0" applyFont="1" applyFill="1" applyBorder="1" applyAlignment="1">
      <alignment horizontal="center"/>
    </xf>
    <xf numFmtId="0" fontId="43" fillId="6" borderId="125" xfId="0" applyFont="1" applyFill="1" applyBorder="1" applyAlignment="1">
      <alignment horizontal="center"/>
    </xf>
    <xf numFmtId="0" fontId="43" fillId="6" borderId="81" xfId="0" applyFont="1" applyFill="1" applyBorder="1" applyAlignment="1">
      <alignment horizontal="center"/>
    </xf>
    <xf numFmtId="0" fontId="43" fillId="6" borderId="85" xfId="0" applyFont="1" applyFill="1" applyBorder="1" applyAlignment="1">
      <alignment horizontal="center"/>
    </xf>
    <xf numFmtId="166" fontId="52" fillId="3" borderId="0" xfId="0" applyNumberFormat="1" applyFont="1" applyFill="1"/>
    <xf numFmtId="166" fontId="52" fillId="3" borderId="67" xfId="0" applyNumberFormat="1" applyFont="1" applyFill="1" applyBorder="1"/>
    <xf numFmtId="166" fontId="52" fillId="3" borderId="89" xfId="0" applyNumberFormat="1" applyFont="1" applyFill="1" applyBorder="1"/>
    <xf numFmtId="166" fontId="52" fillId="3" borderId="76" xfId="0" applyNumberFormat="1" applyFont="1" applyFill="1" applyBorder="1"/>
    <xf numFmtId="166" fontId="52" fillId="3" borderId="77" xfId="0" applyNumberFormat="1" applyFont="1" applyFill="1" applyBorder="1"/>
    <xf numFmtId="0" fontId="42" fillId="0" borderId="231" xfId="0" applyFont="1" applyBorder="1"/>
    <xf numFmtId="9" fontId="42" fillId="0" borderId="158" xfId="0" applyNumberFormat="1" applyFont="1" applyBorder="1"/>
    <xf numFmtId="2" fontId="42" fillId="0" borderId="158" xfId="0" applyNumberFormat="1" applyFont="1" applyBorder="1"/>
    <xf numFmtId="0" fontId="42" fillId="0" borderId="158" xfId="0" applyFont="1" applyBorder="1"/>
    <xf numFmtId="166" fontId="52" fillId="3" borderId="74" xfId="0" applyNumberFormat="1" applyFont="1" applyFill="1" applyBorder="1"/>
    <xf numFmtId="0" fontId="42" fillId="0" borderId="135" xfId="0" applyFont="1" applyBorder="1" applyAlignment="1">
      <alignment horizontal="left"/>
    </xf>
    <xf numFmtId="2" fontId="42" fillId="0" borderId="130" xfId="0" applyNumberFormat="1" applyFont="1" applyBorder="1"/>
    <xf numFmtId="166" fontId="42" fillId="0" borderId="5" xfId="1" applyNumberFormat="1" applyFont="1" applyBorder="1"/>
    <xf numFmtId="182" fontId="43" fillId="0" borderId="0" xfId="0" applyNumberFormat="1" applyFont="1"/>
    <xf numFmtId="0" fontId="42" fillId="2" borderId="233" xfId="0" applyFont="1" applyFill="1" applyBorder="1" applyAlignment="1">
      <alignment horizontal="center"/>
    </xf>
    <xf numFmtId="182" fontId="42" fillId="2" borderId="158" xfId="2" applyNumberFormat="1" applyFont="1" applyFill="1" applyBorder="1" applyAlignment="1">
      <alignment vertical="center"/>
    </xf>
    <xf numFmtId="182" fontId="42" fillId="2" borderId="233" xfId="2" applyNumberFormat="1" applyFont="1" applyFill="1" applyBorder="1" applyAlignment="1">
      <alignment vertical="center"/>
    </xf>
    <xf numFmtId="182" fontId="43" fillId="2" borderId="158" xfId="0" applyNumberFormat="1" applyFont="1" applyFill="1" applyBorder="1"/>
    <xf numFmtId="0" fontId="42" fillId="2" borderId="159" xfId="0" applyFont="1" applyFill="1" applyBorder="1"/>
    <xf numFmtId="0" fontId="42" fillId="2" borderId="100" xfId="0" applyFont="1" applyFill="1" applyBorder="1" applyAlignment="1">
      <alignment horizontal="center"/>
    </xf>
    <xf numFmtId="182" fontId="42" fillId="2" borderId="76" xfId="2" applyNumberFormat="1" applyFont="1" applyFill="1" applyBorder="1" applyAlignment="1">
      <alignment vertical="center"/>
    </xf>
    <xf numFmtId="182" fontId="42" fillId="2" borderId="100" xfId="2" applyNumberFormat="1" applyFont="1" applyFill="1" applyBorder="1" applyAlignment="1">
      <alignment vertical="center"/>
    </xf>
    <xf numFmtId="182" fontId="43" fillId="2" borderId="76" xfId="0" applyNumberFormat="1" applyFont="1" applyFill="1" applyBorder="1"/>
    <xf numFmtId="0" fontId="42" fillId="2" borderId="77" xfId="0" applyFont="1" applyFill="1" applyBorder="1"/>
    <xf numFmtId="0" fontId="42" fillId="33" borderId="234" xfId="0" applyFont="1" applyFill="1" applyBorder="1"/>
    <xf numFmtId="0" fontId="42" fillId="23" borderId="110" xfId="0" applyFont="1" applyFill="1" applyBorder="1"/>
    <xf numFmtId="0" fontId="42" fillId="23" borderId="106" xfId="0" applyFont="1" applyFill="1" applyBorder="1"/>
    <xf numFmtId="0" fontId="42" fillId="33" borderId="110" xfId="0" applyFont="1" applyFill="1" applyBorder="1"/>
    <xf numFmtId="0" fontId="43" fillId="6" borderId="37" xfId="0" applyFont="1" applyFill="1" applyBorder="1"/>
    <xf numFmtId="0" fontId="52" fillId="35" borderId="99" xfId="0" applyFont="1" applyFill="1" applyBorder="1" applyAlignment="1">
      <alignment horizontal="center"/>
    </xf>
    <xf numFmtId="178" fontId="43" fillId="23" borderId="133" xfId="0" applyNumberFormat="1" applyFont="1" applyFill="1" applyBorder="1"/>
    <xf numFmtId="174" fontId="43" fillId="23" borderId="62" xfId="0" applyNumberFormat="1" applyFont="1" applyFill="1" applyBorder="1"/>
    <xf numFmtId="178" fontId="43" fillId="23" borderId="232" xfId="0" applyNumberFormat="1" applyFont="1" applyFill="1" applyBorder="1"/>
    <xf numFmtId="166" fontId="52" fillId="24" borderId="76" xfId="0" applyNumberFormat="1" applyFont="1" applyFill="1" applyBorder="1"/>
    <xf numFmtId="0" fontId="43" fillId="0" borderId="161" xfId="0" applyFont="1" applyBorder="1" applyAlignment="1">
      <alignment horizontal="center" vertical="center"/>
    </xf>
    <xf numFmtId="166" fontId="89" fillId="3" borderId="0" xfId="0" applyNumberFormat="1" applyFont="1" applyFill="1" applyAlignment="1">
      <alignment horizontal="left" vertical="center"/>
    </xf>
    <xf numFmtId="166" fontId="89" fillId="3" borderId="67" xfId="0" applyNumberFormat="1" applyFont="1" applyFill="1" applyBorder="1" applyAlignment="1">
      <alignment horizontal="left" vertical="center"/>
    </xf>
    <xf numFmtId="166" fontId="89" fillId="3" borderId="76" xfId="0" applyNumberFormat="1" applyFont="1" applyFill="1" applyBorder="1" applyAlignment="1">
      <alignment horizontal="left" vertical="center"/>
    </xf>
    <xf numFmtId="166" fontId="89" fillId="3" borderId="67" xfId="0" applyNumberFormat="1" applyFont="1" applyFill="1" applyBorder="1" applyAlignment="1">
      <alignment vertical="center"/>
    </xf>
    <xf numFmtId="0" fontId="53" fillId="0" borderId="235" xfId="0" applyFont="1" applyBorder="1" applyAlignment="1">
      <alignment horizontal="left" vertical="center" wrapText="1"/>
    </xf>
    <xf numFmtId="0" fontId="53" fillId="0" borderId="236" xfId="0" applyFont="1" applyBorder="1" applyAlignment="1">
      <alignment horizontal="left" vertical="center" wrapText="1"/>
    </xf>
    <xf numFmtId="0" fontId="53" fillId="0" borderId="237" xfId="0" applyFont="1" applyBorder="1" applyAlignment="1">
      <alignment horizontal="left" vertical="center" wrapText="1"/>
    </xf>
    <xf numFmtId="0" fontId="42" fillId="0" borderId="238" xfId="0" applyFont="1" applyBorder="1"/>
    <xf numFmtId="0" fontId="63" fillId="35" borderId="38" xfId="0" applyFont="1" applyFill="1" applyBorder="1" applyAlignment="1">
      <alignment horizontal="center"/>
    </xf>
    <xf numFmtId="0" fontId="63" fillId="35" borderId="41" xfId="0" applyFont="1" applyFill="1" applyBorder="1" applyAlignment="1">
      <alignment horizontal="center"/>
    </xf>
    <xf numFmtId="0" fontId="63" fillId="35" borderId="42" xfId="0" applyFont="1" applyFill="1" applyBorder="1" applyAlignment="1">
      <alignment horizontal="center"/>
    </xf>
    <xf numFmtId="0" fontId="42" fillId="0" borderId="240" xfId="0" applyFont="1" applyBorder="1"/>
    <xf numFmtId="166" fontId="43" fillId="23" borderId="149" xfId="0" applyNumberFormat="1" applyFont="1" applyFill="1" applyBorder="1"/>
    <xf numFmtId="166" fontId="43" fillId="23" borderId="232" xfId="0" applyNumberFormat="1" applyFont="1" applyFill="1" applyBorder="1"/>
    <xf numFmtId="0" fontId="42" fillId="23" borderId="62" xfId="0" applyFont="1" applyFill="1" applyBorder="1"/>
    <xf numFmtId="0" fontId="42" fillId="23" borderId="133" xfId="0" applyFont="1" applyFill="1" applyBorder="1"/>
    <xf numFmtId="0" fontId="42" fillId="33" borderId="62" xfId="0" applyFont="1" applyFill="1" applyBorder="1"/>
    <xf numFmtId="0" fontId="42" fillId="33" borderId="133" xfId="0" applyFont="1" applyFill="1" applyBorder="1"/>
    <xf numFmtId="0" fontId="42" fillId="32" borderId="62" xfId="0" applyFont="1" applyFill="1" applyBorder="1"/>
    <xf numFmtId="166" fontId="52" fillId="3" borderId="239" xfId="1" applyNumberFormat="1" applyFont="1" applyFill="1" applyBorder="1"/>
    <xf numFmtId="166" fontId="52" fillId="3" borderId="76" xfId="1" applyNumberFormat="1" applyFont="1" applyFill="1" applyBorder="1"/>
    <xf numFmtId="43" fontId="52" fillId="3" borderId="75" xfId="2" applyFont="1" applyFill="1" applyBorder="1"/>
    <xf numFmtId="43" fontId="52" fillId="3" borderId="76" xfId="2" applyFont="1" applyFill="1" applyBorder="1"/>
    <xf numFmtId="43" fontId="52" fillId="3" borderId="77" xfId="2" applyFont="1" applyFill="1" applyBorder="1"/>
    <xf numFmtId="10" fontId="52" fillId="3" borderId="63" xfId="1" applyNumberFormat="1" applyFont="1" applyFill="1" applyBorder="1"/>
    <xf numFmtId="166" fontId="52" fillId="3" borderId="63" xfId="1" applyNumberFormat="1" applyFont="1" applyFill="1" applyBorder="1"/>
    <xf numFmtId="182" fontId="85" fillId="0" borderId="0" xfId="2" applyNumberFormat="1" applyFont="1"/>
    <xf numFmtId="10" fontId="52" fillId="3" borderId="75" xfId="1" applyNumberFormat="1" applyFont="1" applyFill="1" applyBorder="1"/>
    <xf numFmtId="9" fontId="42" fillId="0" borderId="98" xfId="0" applyNumberFormat="1" applyFont="1" applyBorder="1" applyAlignment="1">
      <alignment horizontal="center"/>
    </xf>
    <xf numFmtId="0" fontId="52" fillId="35" borderId="95" xfId="0" applyFont="1" applyFill="1" applyBorder="1" applyAlignment="1">
      <alignment horizontal="center"/>
    </xf>
    <xf numFmtId="0" fontId="42" fillId="23" borderId="62" xfId="0" applyFont="1" applyFill="1" applyBorder="1" applyAlignment="1">
      <alignment horizontal="right"/>
    </xf>
    <xf numFmtId="0" fontId="42" fillId="23" borderId="133" xfId="0" applyFont="1" applyFill="1" applyBorder="1" applyAlignment="1">
      <alignment horizontal="right"/>
    </xf>
    <xf numFmtId="0" fontId="42" fillId="33" borderId="62" xfId="0" applyFont="1" applyFill="1" applyBorder="1" applyAlignment="1">
      <alignment horizontal="right"/>
    </xf>
    <xf numFmtId="0" fontId="42" fillId="33" borderId="133" xfId="0" applyFont="1" applyFill="1" applyBorder="1" applyAlignment="1">
      <alignment horizontal="right"/>
    </xf>
    <xf numFmtId="0" fontId="42" fillId="32" borderId="149" xfId="0" applyFont="1" applyFill="1" applyBorder="1" applyAlignment="1">
      <alignment horizontal="right"/>
    </xf>
    <xf numFmtId="0" fontId="52" fillId="35" borderId="37" xfId="0" applyFont="1" applyFill="1" applyBorder="1" applyAlignment="1">
      <alignment horizontal="center"/>
    </xf>
    <xf numFmtId="0" fontId="52" fillId="35" borderId="41" xfId="0" applyFont="1" applyFill="1" applyBorder="1" applyAlignment="1">
      <alignment horizontal="center"/>
    </xf>
    <xf numFmtId="0" fontId="52" fillId="35" borderId="38" xfId="0" applyFont="1" applyFill="1" applyBorder="1"/>
    <xf numFmtId="0" fontId="52" fillId="35" borderId="41" xfId="0" applyFont="1" applyFill="1" applyBorder="1"/>
    <xf numFmtId="0" fontId="42" fillId="0" borderId="85" xfId="0" applyFont="1" applyBorder="1"/>
    <xf numFmtId="0" fontId="52" fillId="35" borderId="97" xfId="0" applyFont="1" applyFill="1" applyBorder="1" applyAlignment="1">
      <alignment horizontal="center"/>
    </xf>
    <xf numFmtId="0" fontId="42" fillId="0" borderId="87" xfId="0" applyFont="1" applyBorder="1"/>
    <xf numFmtId="0" fontId="52" fillId="35" borderId="71" xfId="0" applyFont="1" applyFill="1" applyBorder="1"/>
    <xf numFmtId="0" fontId="52" fillId="35" borderId="72" xfId="0" applyFont="1" applyFill="1" applyBorder="1"/>
    <xf numFmtId="193" fontId="43" fillId="23" borderId="232" xfId="0" applyNumberFormat="1" applyFont="1" applyFill="1" applyBorder="1"/>
    <xf numFmtId="180" fontId="42" fillId="0" borderId="158" xfId="0" applyNumberFormat="1" applyFont="1" applyBorder="1"/>
    <xf numFmtId="0" fontId="84" fillId="8" borderId="241" xfId="0" applyFont="1" applyFill="1" applyBorder="1"/>
    <xf numFmtId="166" fontId="42" fillId="0" borderId="242" xfId="0" applyNumberFormat="1" applyFont="1" applyBorder="1"/>
    <xf numFmtId="178" fontId="43" fillId="23" borderId="241" xfId="0" applyNumberFormat="1" applyFont="1" applyFill="1" applyBorder="1"/>
    <xf numFmtId="3" fontId="42" fillId="0" borderId="154" xfId="1" applyNumberFormat="1" applyFont="1" applyBorder="1"/>
    <xf numFmtId="3" fontId="42" fillId="0" borderId="107" xfId="1" applyNumberFormat="1" applyFont="1" applyBorder="1"/>
    <xf numFmtId="182" fontId="42" fillId="0" borderId="154" xfId="2" applyNumberFormat="1" applyFont="1" applyBorder="1"/>
    <xf numFmtId="182" fontId="42" fillId="0" borderId="107" xfId="2" applyNumberFormat="1" applyFont="1" applyBorder="1"/>
    <xf numFmtId="181" fontId="53" fillId="0" borderId="136" xfId="0" applyNumberFormat="1" applyFont="1" applyBorder="1" applyAlignment="1">
      <alignment vertical="center"/>
    </xf>
    <xf numFmtId="181" fontId="53" fillId="0" borderId="130" xfId="0" applyNumberFormat="1" applyFont="1" applyBorder="1" applyAlignment="1">
      <alignment vertical="center"/>
    </xf>
    <xf numFmtId="0" fontId="53" fillId="0" borderId="68" xfId="0" applyFont="1" applyBorder="1" applyAlignment="1">
      <alignment vertical="center"/>
    </xf>
    <xf numFmtId="181" fontId="53" fillId="0" borderId="140" xfId="0" applyNumberFormat="1" applyFont="1" applyBorder="1" applyAlignment="1">
      <alignment vertical="center"/>
    </xf>
    <xf numFmtId="0" fontId="58" fillId="0" borderId="131" xfId="0" applyFont="1" applyBorder="1" applyAlignment="1">
      <alignment horizontal="center" vertical="center"/>
    </xf>
    <xf numFmtId="178" fontId="53" fillId="0" borderId="136" xfId="0" applyNumberFormat="1" applyFont="1" applyBorder="1" applyAlignment="1">
      <alignment vertical="center"/>
    </xf>
    <xf numFmtId="178" fontId="53" fillId="0" borderId="137" xfId="0" applyNumberFormat="1" applyFont="1" applyBorder="1" applyAlignment="1">
      <alignment vertical="center"/>
    </xf>
    <xf numFmtId="178" fontId="53" fillId="0" borderId="132" xfId="0" applyNumberFormat="1" applyFont="1" applyBorder="1" applyAlignment="1">
      <alignment vertical="center"/>
    </xf>
    <xf numFmtId="178" fontId="53" fillId="0" borderId="243" xfId="0" applyNumberFormat="1" applyFont="1" applyBorder="1" applyAlignment="1">
      <alignment vertical="center"/>
    </xf>
    <xf numFmtId="178" fontId="53" fillId="0" borderId="144" xfId="0" applyNumberFormat="1" applyFont="1" applyBorder="1" applyAlignment="1">
      <alignment vertical="center"/>
    </xf>
    <xf numFmtId="178" fontId="53" fillId="0" borderId="130" xfId="0" applyNumberFormat="1" applyFont="1" applyBorder="1" applyAlignment="1">
      <alignment vertical="center"/>
    </xf>
    <xf numFmtId="184" fontId="53" fillId="22" borderId="136" xfId="0" applyNumberFormat="1" applyFont="1" applyFill="1" applyBorder="1" applyAlignment="1">
      <alignment vertical="center"/>
    </xf>
    <xf numFmtId="184" fontId="53" fillId="22" borderId="137" xfId="0" applyNumberFormat="1" applyFont="1" applyFill="1" applyBorder="1" applyAlignment="1">
      <alignment vertical="center"/>
    </xf>
    <xf numFmtId="184" fontId="53" fillId="22" borderId="132" xfId="0" applyNumberFormat="1" applyFont="1" applyFill="1" applyBorder="1" applyAlignment="1">
      <alignment vertical="center"/>
    </xf>
    <xf numFmtId="0" fontId="84" fillId="34" borderId="133" xfId="0" applyFont="1" applyFill="1" applyBorder="1" applyAlignment="1">
      <alignment horizontal="left" indent="2"/>
    </xf>
    <xf numFmtId="184" fontId="42" fillId="32" borderId="149" xfId="0" applyNumberFormat="1" applyFont="1" applyFill="1" applyBorder="1"/>
    <xf numFmtId="184" fontId="84" fillId="8" borderId="149" xfId="0" applyNumberFormat="1" applyFont="1" applyFill="1" applyBorder="1"/>
    <xf numFmtId="193" fontId="84" fillId="36" borderId="134" xfId="0" applyNumberFormat="1" applyFont="1" applyFill="1" applyBorder="1"/>
    <xf numFmtId="0" fontId="42" fillId="23" borderId="99" xfId="0" applyFont="1" applyFill="1" applyBorder="1" applyAlignment="1">
      <alignment horizontal="right"/>
    </xf>
    <xf numFmtId="0" fontId="84" fillId="36" borderId="232" xfId="0" applyFont="1" applyFill="1" applyBorder="1" applyAlignment="1">
      <alignment horizontal="center"/>
    </xf>
    <xf numFmtId="174" fontId="42" fillId="0" borderId="0" xfId="0" applyNumberFormat="1" applyFont="1"/>
    <xf numFmtId="166" fontId="43" fillId="0" borderId="0" xfId="0" applyNumberFormat="1" applyFont="1"/>
    <xf numFmtId="0" fontId="42" fillId="0" borderId="167" xfId="0" applyFont="1" applyBorder="1"/>
    <xf numFmtId="0" fontId="42" fillId="0" borderId="52" xfId="0" applyFont="1" applyBorder="1"/>
    <xf numFmtId="0" fontId="0" fillId="0" borderId="0" xfId="0" applyAlignment="1">
      <alignment vertical="center"/>
    </xf>
    <xf numFmtId="166" fontId="50" fillId="5" borderId="75" xfId="2" applyNumberFormat="1" applyFont="1" applyFill="1" applyBorder="1"/>
    <xf numFmtId="166" fontId="50" fillId="5" borderId="76" xfId="2" applyNumberFormat="1" applyFont="1" applyFill="1" applyBorder="1"/>
    <xf numFmtId="166" fontId="50" fillId="5" borderId="77" xfId="2" applyNumberFormat="1" applyFont="1" applyFill="1" applyBorder="1"/>
    <xf numFmtId="182" fontId="50" fillId="5" borderId="76" xfId="2" applyNumberFormat="1" applyFont="1" applyFill="1" applyBorder="1"/>
    <xf numFmtId="177" fontId="42" fillId="0" borderId="76" xfId="0" applyNumberFormat="1" applyFont="1" applyBorder="1" applyAlignment="1">
      <alignment horizontal="left"/>
    </xf>
    <xf numFmtId="182" fontId="42" fillId="0" borderId="76" xfId="2" applyNumberFormat="1" applyFont="1" applyBorder="1"/>
    <xf numFmtId="166" fontId="0" fillId="0" borderId="76" xfId="0" applyNumberFormat="1" applyBorder="1"/>
    <xf numFmtId="0" fontId="0" fillId="0" borderId="100" xfId="0" applyBorder="1"/>
    <xf numFmtId="166" fontId="50" fillId="5" borderId="100" xfId="2" applyNumberFormat="1" applyFont="1" applyFill="1" applyBorder="1"/>
    <xf numFmtId="0" fontId="42" fillId="23" borderId="95" xfId="0" applyFont="1" applyFill="1" applyBorder="1"/>
    <xf numFmtId="0" fontId="42" fillId="33" borderId="161" xfId="0" applyFont="1" applyFill="1" applyBorder="1"/>
    <xf numFmtId="0" fontId="84" fillId="34" borderId="161" xfId="0" applyFont="1" applyFill="1" applyBorder="1"/>
    <xf numFmtId="0" fontId="84" fillId="36" borderId="97" xfId="0" applyFont="1" applyFill="1" applyBorder="1"/>
    <xf numFmtId="0" fontId="51" fillId="0" borderId="0" xfId="15" quotePrefix="1" applyFont="1" applyAlignment="1">
      <alignment vertical="center"/>
    </xf>
    <xf numFmtId="167" fontId="42" fillId="0" borderId="153" xfId="1" applyNumberFormat="1" applyFont="1" applyBorder="1"/>
    <xf numFmtId="167" fontId="42" fillId="0" borderId="109" xfId="1" applyNumberFormat="1" applyFont="1" applyBorder="1"/>
    <xf numFmtId="10" fontId="42" fillId="2" borderId="173" xfId="0" applyNumberFormat="1" applyFont="1" applyFill="1" applyBorder="1"/>
    <xf numFmtId="0" fontId="7" fillId="3" borderId="75" xfId="0" applyFont="1" applyFill="1" applyBorder="1"/>
    <xf numFmtId="166" fontId="7" fillId="3" borderId="76" xfId="0" applyNumberFormat="1" applyFont="1" applyFill="1" applyBorder="1"/>
    <xf numFmtId="0" fontId="7" fillId="3" borderId="77" xfId="0" applyFont="1" applyFill="1" applyBorder="1"/>
    <xf numFmtId="0" fontId="42" fillId="0" borderId="126" xfId="0" applyFont="1" applyBorder="1"/>
    <xf numFmtId="0" fontId="42" fillId="0" borderId="92" xfId="0" applyFont="1" applyBorder="1"/>
    <xf numFmtId="0" fontId="42" fillId="0" borderId="90" xfId="0" applyFont="1" applyBorder="1"/>
    <xf numFmtId="10" fontId="50" fillId="5" borderId="37" xfId="1" applyNumberFormat="1" applyFont="1" applyFill="1" applyBorder="1" applyAlignment="1">
      <alignment vertical="center"/>
    </xf>
    <xf numFmtId="0" fontId="0" fillId="0" borderId="160" xfId="0" applyBorder="1"/>
    <xf numFmtId="175" fontId="0" fillId="0" borderId="98" xfId="0" applyNumberFormat="1" applyBorder="1" applyAlignment="1">
      <alignment horizontal="center"/>
    </xf>
    <xf numFmtId="0" fontId="110" fillId="0" borderId="247" xfId="3" applyFont="1" applyBorder="1"/>
    <xf numFmtId="0" fontId="46" fillId="0" borderId="188" xfId="0" applyFont="1" applyBorder="1"/>
    <xf numFmtId="0" fontId="89" fillId="4" borderId="84" xfId="4" applyFont="1" applyFill="1" applyBorder="1" applyAlignment="1">
      <alignment horizontal="left" vertical="center"/>
    </xf>
    <xf numFmtId="10" fontId="50" fillId="5" borderId="96" xfId="5" applyNumberFormat="1" applyFont="1" applyFill="1" applyBorder="1"/>
    <xf numFmtId="0" fontId="111" fillId="0" borderId="0" xfId="0" applyFont="1"/>
    <xf numFmtId="0" fontId="112" fillId="0" borderId="165" xfId="0" applyFont="1" applyBorder="1"/>
    <xf numFmtId="0" fontId="112" fillId="0" borderId="122" xfId="0" applyFont="1" applyBorder="1"/>
    <xf numFmtId="0" fontId="42" fillId="0" borderId="122" xfId="0" applyFont="1" applyBorder="1"/>
    <xf numFmtId="0" fontId="43" fillId="0" borderId="122" xfId="0" applyFont="1" applyBorder="1" applyAlignment="1">
      <alignment wrapText="1"/>
    </xf>
    <xf numFmtId="0" fontId="42" fillId="0" borderId="166" xfId="0" applyFont="1" applyBorder="1"/>
    <xf numFmtId="0" fontId="85" fillId="0" borderId="57" xfId="0" applyFont="1" applyBorder="1"/>
    <xf numFmtId="0" fontId="113" fillId="0" borderId="0" xfId="0" applyFont="1"/>
    <xf numFmtId="1" fontId="85" fillId="0" borderId="0" xfId="0" applyNumberFormat="1" applyFont="1"/>
    <xf numFmtId="0" fontId="43" fillId="0" borderId="0" xfId="0" applyFont="1" applyAlignment="1">
      <alignment wrapText="1"/>
    </xf>
    <xf numFmtId="167" fontId="114" fillId="0" borderId="0" xfId="0" applyNumberFormat="1" applyFont="1"/>
    <xf numFmtId="0" fontId="113" fillId="0" borderId="140" xfId="0" applyFont="1" applyBorder="1"/>
    <xf numFmtId="0" fontId="85" fillId="0" borderId="140" xfId="0" applyFont="1" applyBorder="1"/>
    <xf numFmtId="0" fontId="42" fillId="0" borderId="140" xfId="0" applyFont="1" applyBorder="1"/>
    <xf numFmtId="0" fontId="115" fillId="0" borderId="140" xfId="0" applyFont="1" applyBorder="1"/>
    <xf numFmtId="0" fontId="113" fillId="0" borderId="152" xfId="0" applyFont="1" applyBorder="1"/>
    <xf numFmtId="0" fontId="116" fillId="0" borderId="57" xfId="0" applyFont="1" applyBorder="1"/>
    <xf numFmtId="10" fontId="116" fillId="0" borderId="74" xfId="1" applyNumberFormat="1" applyFont="1" applyBorder="1"/>
    <xf numFmtId="178" fontId="85" fillId="0" borderId="0" xfId="0" applyNumberFormat="1" applyFont="1"/>
    <xf numFmtId="2" fontId="116" fillId="0" borderId="74" xfId="0" applyNumberFormat="1" applyFont="1" applyBorder="1"/>
    <xf numFmtId="0" fontId="113" fillId="0" borderId="67" xfId="0" applyFont="1" applyBorder="1"/>
    <xf numFmtId="9" fontId="116" fillId="0" borderId="74" xfId="1" applyFont="1" applyFill="1" applyBorder="1"/>
    <xf numFmtId="9" fontId="42" fillId="0" borderId="37" xfId="1" applyFont="1" applyBorder="1"/>
    <xf numFmtId="9" fontId="116" fillId="0" borderId="74" xfId="1" applyFont="1" applyBorder="1"/>
    <xf numFmtId="10" fontId="85" fillId="0" borderId="0" xfId="0" applyNumberFormat="1" applyFont="1"/>
    <xf numFmtId="0" fontId="116" fillId="0" borderId="0" xfId="0" applyFont="1" applyAlignment="1">
      <alignment wrapText="1"/>
    </xf>
    <xf numFmtId="166" fontId="116" fillId="0" borderId="74" xfId="0" applyNumberFormat="1" applyFont="1" applyBorder="1"/>
    <xf numFmtId="9" fontId="114" fillId="0" borderId="0" xfId="0" applyNumberFormat="1" applyFont="1"/>
    <xf numFmtId="0" fontId="115" fillId="0" borderId="0" xfId="0" applyFont="1"/>
    <xf numFmtId="0" fontId="116" fillId="0" borderId="75" xfId="0" applyFont="1" applyBorder="1"/>
    <xf numFmtId="9" fontId="116" fillId="0" borderId="77" xfId="1" applyFont="1" applyBorder="1"/>
    <xf numFmtId="0" fontId="43" fillId="0" borderId="152" xfId="0" applyFont="1" applyBorder="1"/>
    <xf numFmtId="166" fontId="44" fillId="0" borderId="0" xfId="0" applyNumberFormat="1" applyFont="1"/>
    <xf numFmtId="0" fontId="47" fillId="0" borderId="0" xfId="0" applyFont="1"/>
    <xf numFmtId="0" fontId="43" fillId="0" borderId="74" xfId="0" applyFont="1" applyBorder="1" applyAlignment="1">
      <alignment horizontal="center"/>
    </xf>
    <xf numFmtId="0" fontId="43" fillId="0" borderId="0" xfId="10" applyFont="1" applyAlignment="1">
      <alignment horizontal="center"/>
    </xf>
    <xf numFmtId="178" fontId="42" fillId="0" borderId="74" xfId="0" applyNumberFormat="1" applyFont="1" applyBorder="1" applyAlignment="1">
      <alignment vertical="center"/>
    </xf>
    <xf numFmtId="167" fontId="85" fillId="0" borderId="0" xfId="0" applyNumberFormat="1" applyFont="1"/>
    <xf numFmtId="0" fontId="113" fillId="0" borderId="0" xfId="0" applyFont="1" applyAlignment="1">
      <alignment wrapText="1"/>
    </xf>
    <xf numFmtId="167" fontId="42" fillId="0" borderId="74" xfId="0" applyNumberFormat="1" applyFont="1" applyBorder="1"/>
    <xf numFmtId="43" fontId="113" fillId="0" borderId="0" xfId="0" applyNumberFormat="1" applyFont="1" applyAlignment="1">
      <alignment wrapText="1"/>
    </xf>
    <xf numFmtId="10" fontId="42" fillId="0" borderId="74" xfId="0" applyNumberFormat="1" applyFont="1" applyBorder="1"/>
    <xf numFmtId="166" fontId="85" fillId="0" borderId="0" xfId="2" applyNumberFormat="1" applyFont="1" applyBorder="1"/>
    <xf numFmtId="166" fontId="42" fillId="0" borderId="0" xfId="2" applyNumberFormat="1" applyFont="1" applyBorder="1"/>
    <xf numFmtId="166" fontId="85" fillId="0" borderId="0" xfId="0" applyNumberFormat="1" applyFont="1"/>
    <xf numFmtId="9" fontId="42" fillId="0" borderId="0" xfId="1" applyFont="1" applyBorder="1"/>
    <xf numFmtId="3" fontId="113" fillId="0" borderId="0" xfId="0" applyNumberFormat="1" applyFont="1"/>
    <xf numFmtId="0" fontId="42" fillId="0" borderId="155" xfId="0" applyFont="1" applyBorder="1"/>
    <xf numFmtId="166" fontId="85" fillId="0" borderId="67" xfId="2" applyNumberFormat="1" applyFont="1" applyBorder="1"/>
    <xf numFmtId="166" fontId="85" fillId="0" borderId="155" xfId="0" applyNumberFormat="1" applyFont="1" applyBorder="1"/>
    <xf numFmtId="4" fontId="113" fillId="0" borderId="0" xfId="0" applyNumberFormat="1" applyFont="1"/>
    <xf numFmtId="4" fontId="85" fillId="0" borderId="0" xfId="0" applyNumberFormat="1" applyFont="1"/>
    <xf numFmtId="0" fontId="117" fillId="0" borderId="140" xfId="0" applyFont="1" applyBorder="1" applyAlignment="1">
      <alignment wrapText="1"/>
    </xf>
    <xf numFmtId="4" fontId="85" fillId="0" borderId="140" xfId="0" applyNumberFormat="1" applyFont="1" applyBorder="1"/>
    <xf numFmtId="4" fontId="42" fillId="0" borderId="0" xfId="0" applyNumberFormat="1" applyFont="1"/>
    <xf numFmtId="0" fontId="85" fillId="0" borderId="76" xfId="0" applyFont="1" applyBorder="1"/>
    <xf numFmtId="178" fontId="85" fillId="0" borderId="76" xfId="0" applyNumberFormat="1" applyFont="1" applyBorder="1"/>
    <xf numFmtId="0" fontId="112" fillId="0" borderId="0" xfId="0" applyFont="1"/>
    <xf numFmtId="9" fontId="116" fillId="0" borderId="0" xfId="1" applyFont="1" applyBorder="1"/>
    <xf numFmtId="167" fontId="85" fillId="0" borderId="140" xfId="0" applyNumberFormat="1" applyFont="1" applyBorder="1"/>
    <xf numFmtId="9" fontId="116" fillId="14" borderId="74" xfId="1" applyFont="1" applyFill="1" applyBorder="1"/>
    <xf numFmtId="9" fontId="114" fillId="0" borderId="140" xfId="0" applyNumberFormat="1" applyFont="1" applyBorder="1"/>
    <xf numFmtId="166" fontId="42" fillId="0" borderId="155" xfId="0" applyNumberFormat="1" applyFont="1" applyBorder="1"/>
    <xf numFmtId="178" fontId="44" fillId="0" borderId="0" xfId="0" applyNumberFormat="1" applyFont="1"/>
    <xf numFmtId="166" fontId="85" fillId="0" borderId="0" xfId="2" applyNumberFormat="1" applyFont="1"/>
    <xf numFmtId="166" fontId="42" fillId="0" borderId="0" xfId="2" applyNumberFormat="1" applyFont="1"/>
    <xf numFmtId="0" fontId="116" fillId="0" borderId="155" xfId="0" applyFont="1" applyBorder="1"/>
    <xf numFmtId="0" fontId="42" fillId="2" borderId="154" xfId="0" applyFont="1" applyFill="1" applyBorder="1"/>
    <xf numFmtId="0" fontId="42" fillId="2" borderId="65" xfId="0" applyFont="1" applyFill="1" applyBorder="1"/>
    <xf numFmtId="0" fontId="42" fillId="2" borderId="154" xfId="0" applyFont="1" applyFill="1" applyBorder="1" applyAlignment="1">
      <alignment wrapText="1"/>
    </xf>
    <xf numFmtId="0" fontId="42" fillId="2" borderId="153" xfId="0" applyFont="1" applyFill="1" applyBorder="1"/>
    <xf numFmtId="0" fontId="42" fillId="2" borderId="68" xfId="0" applyFont="1" applyFill="1" applyBorder="1"/>
    <xf numFmtId="0" fontId="42" fillId="2" borderId="66" xfId="0" applyFont="1" applyFill="1" applyBorder="1"/>
    <xf numFmtId="184" fontId="52" fillId="3" borderId="65" xfId="0" applyNumberFormat="1" applyFont="1" applyFill="1" applyBorder="1"/>
    <xf numFmtId="184" fontId="52" fillId="3" borderId="154" xfId="0" applyNumberFormat="1" applyFont="1" applyFill="1" applyBorder="1"/>
    <xf numFmtId="184" fontId="42" fillId="33" borderId="157" xfId="1" applyNumberFormat="1" applyFont="1" applyFill="1" applyBorder="1"/>
    <xf numFmtId="184" fontId="42" fillId="33" borderId="157" xfId="0" applyNumberFormat="1" applyFont="1" applyFill="1" applyBorder="1"/>
    <xf numFmtId="184" fontId="42" fillId="33" borderId="156" xfId="0" applyNumberFormat="1" applyFont="1" applyFill="1" applyBorder="1"/>
    <xf numFmtId="3" fontId="42" fillId="2" borderId="96" xfId="0" applyNumberFormat="1" applyFont="1" applyFill="1" applyBorder="1"/>
    <xf numFmtId="3" fontId="42" fillId="14" borderId="98" xfId="0" applyNumberFormat="1" applyFont="1" applyFill="1" applyBorder="1"/>
    <xf numFmtId="3" fontId="52" fillId="3" borderId="63" xfId="1" applyNumberFormat="1" applyFont="1" applyFill="1" applyBorder="1"/>
    <xf numFmtId="1" fontId="0" fillId="0" borderId="0" xfId="0" applyNumberFormat="1"/>
    <xf numFmtId="166" fontId="42" fillId="0" borderId="67" xfId="2" applyNumberFormat="1" applyFont="1" applyBorder="1"/>
    <xf numFmtId="184" fontId="42" fillId="0" borderId="0" xfId="0" applyNumberFormat="1" applyFont="1"/>
    <xf numFmtId="184" fontId="42" fillId="0" borderId="76" xfId="0" applyNumberFormat="1" applyFont="1" applyBorder="1"/>
    <xf numFmtId="184" fontId="85" fillId="0" borderId="140" xfId="0" applyNumberFormat="1" applyFont="1" applyBorder="1"/>
    <xf numFmtId="178" fontId="42" fillId="0" borderId="3" xfId="0" applyNumberFormat="1" applyFont="1" applyBorder="1"/>
    <xf numFmtId="178" fontId="42" fillId="0" borderId="1" xfId="0" applyNumberFormat="1" applyFont="1" applyBorder="1"/>
    <xf numFmtId="178" fontId="42" fillId="0" borderId="215" xfId="0" applyNumberFormat="1" applyFont="1" applyBorder="1"/>
    <xf numFmtId="164" fontId="42" fillId="0" borderId="48" xfId="0" applyNumberFormat="1" applyFont="1" applyBorder="1"/>
    <xf numFmtId="10" fontId="42" fillId="0" borderId="5" xfId="0" applyNumberFormat="1" applyFont="1" applyBorder="1"/>
    <xf numFmtId="194" fontId="42" fillId="0" borderId="23" xfId="0" applyNumberFormat="1" applyFont="1" applyBorder="1"/>
    <xf numFmtId="0" fontId="0" fillId="0" borderId="71" xfId="0" applyBorder="1"/>
    <xf numFmtId="0" fontId="0" fillId="0" borderId="75" xfId="0" applyBorder="1"/>
    <xf numFmtId="1" fontId="0" fillId="0" borderId="76" xfId="0" applyNumberFormat="1" applyBorder="1"/>
    <xf numFmtId="1" fontId="0" fillId="0" borderId="77" xfId="0" applyNumberFormat="1" applyBorder="1"/>
    <xf numFmtId="10" fontId="50" fillId="0" borderId="0" xfId="1" applyNumberFormat="1" applyFont="1" applyFill="1" applyBorder="1"/>
    <xf numFmtId="182" fontId="103" fillId="0" borderId="4" xfId="2" applyNumberFormat="1" applyFont="1" applyFill="1" applyBorder="1"/>
    <xf numFmtId="185" fontId="103" fillId="0" borderId="1" xfId="2" applyNumberFormat="1" applyFont="1" applyBorder="1"/>
    <xf numFmtId="43" fontId="42" fillId="0" borderId="153" xfId="2" applyFont="1" applyBorder="1"/>
    <xf numFmtId="167" fontId="43" fillId="23" borderId="35" xfId="1" applyNumberFormat="1" applyFont="1" applyFill="1" applyBorder="1"/>
    <xf numFmtId="185" fontId="43" fillId="23" borderId="35" xfId="0" applyNumberFormat="1" applyFont="1" applyFill="1" applyBorder="1"/>
    <xf numFmtId="182" fontId="42" fillId="0" borderId="2" xfId="2" applyNumberFormat="1" applyFont="1" applyBorder="1"/>
    <xf numFmtId="182" fontId="43" fillId="23" borderId="44" xfId="0" applyNumberFormat="1" applyFont="1" applyFill="1" applyBorder="1"/>
    <xf numFmtId="185" fontId="42" fillId="0" borderId="154" xfId="2" applyNumberFormat="1" applyFont="1" applyBorder="1"/>
    <xf numFmtId="43" fontId="42" fillId="0" borderId="109" xfId="2" applyFont="1" applyBorder="1"/>
    <xf numFmtId="185" fontId="42" fillId="0" borderId="107" xfId="2" applyNumberFormat="1" applyFont="1" applyBorder="1"/>
    <xf numFmtId="9" fontId="42" fillId="0" borderId="0" xfId="1" applyFont="1"/>
    <xf numFmtId="9" fontId="113" fillId="0" borderId="0" xfId="1" applyFont="1"/>
    <xf numFmtId="185" fontId="42" fillId="0" borderId="114" xfId="2" applyNumberFormat="1" applyFont="1" applyBorder="1"/>
    <xf numFmtId="182" fontId="43" fillId="23" borderId="35" xfId="0" applyNumberFormat="1" applyFont="1" applyFill="1" applyBorder="1"/>
    <xf numFmtId="195" fontId="52" fillId="24" borderId="63" xfId="0" applyNumberFormat="1" applyFont="1" applyFill="1" applyBorder="1"/>
    <xf numFmtId="10" fontId="42" fillId="0" borderId="169" xfId="1" applyNumberFormat="1" applyFont="1" applyBorder="1"/>
    <xf numFmtId="166" fontId="42" fillId="0" borderId="1" xfId="0" applyNumberFormat="1" applyFont="1" applyBorder="1"/>
    <xf numFmtId="166" fontId="42" fillId="0" borderId="168" xfId="0" applyNumberFormat="1" applyFont="1" applyBorder="1"/>
    <xf numFmtId="0" fontId="42" fillId="0" borderId="0" xfId="0" applyFont="1" applyAlignment="1">
      <alignment horizontal="left"/>
    </xf>
    <xf numFmtId="182" fontId="42" fillId="0" borderId="47" xfId="2" applyNumberFormat="1" applyFont="1" applyFill="1" applyBorder="1"/>
    <xf numFmtId="43" fontId="42" fillId="0" borderId="47" xfId="2" applyFont="1" applyFill="1" applyBorder="1"/>
    <xf numFmtId="43" fontId="42" fillId="0" borderId="57" xfId="2" applyFont="1" applyBorder="1"/>
    <xf numFmtId="10" fontId="42" fillId="0" borderId="57" xfId="1" applyNumberFormat="1" applyFont="1" applyBorder="1"/>
    <xf numFmtId="10" fontId="42" fillId="0" borderId="57" xfId="1" applyNumberFormat="1" applyFont="1" applyBorder="1" applyAlignment="1"/>
    <xf numFmtId="182" fontId="103" fillId="0" borderId="47" xfId="2" applyNumberFormat="1" applyFont="1" applyFill="1" applyBorder="1"/>
    <xf numFmtId="166" fontId="42" fillId="0" borderId="48" xfId="0" applyNumberFormat="1" applyFont="1" applyBorder="1"/>
    <xf numFmtId="0" fontId="109" fillId="35" borderId="95" xfId="0" applyFont="1" applyFill="1" applyBorder="1"/>
    <xf numFmtId="0" fontId="109" fillId="35" borderId="125" xfId="0" applyFont="1" applyFill="1" applyBorder="1"/>
    <xf numFmtId="0" fontId="109" fillId="35" borderId="96" xfId="0" applyFont="1" applyFill="1" applyBorder="1"/>
    <xf numFmtId="178" fontId="42" fillId="0" borderId="46" xfId="0" applyNumberFormat="1" applyFont="1" applyBorder="1"/>
    <xf numFmtId="178" fontId="42" fillId="0" borderId="48" xfId="0" applyNumberFormat="1" applyFont="1" applyBorder="1"/>
    <xf numFmtId="0" fontId="42" fillId="0" borderId="211" xfId="0" applyFont="1" applyBorder="1"/>
    <xf numFmtId="178" fontId="42" fillId="0" borderId="229" xfId="0" applyNumberFormat="1" applyFont="1" applyBorder="1"/>
    <xf numFmtId="178" fontId="52" fillId="3" borderId="76" xfId="0" applyNumberFormat="1" applyFont="1" applyFill="1" applyBorder="1"/>
    <xf numFmtId="178" fontId="52" fillId="3" borderId="77" xfId="0" applyNumberFormat="1" applyFont="1" applyFill="1" applyBorder="1"/>
    <xf numFmtId="43" fontId="42" fillId="0" borderId="31" xfId="2" applyFont="1" applyBorder="1"/>
    <xf numFmtId="10" fontId="42" fillId="35" borderId="5" xfId="1" applyNumberFormat="1" applyFont="1" applyFill="1" applyBorder="1"/>
    <xf numFmtId="43" fontId="43" fillId="23" borderId="248" xfId="2" applyFont="1" applyFill="1" applyBorder="1"/>
    <xf numFmtId="10" fontId="43" fillId="23" borderId="83" xfId="1" applyNumberFormat="1" applyFont="1" applyFill="1" applyBorder="1"/>
    <xf numFmtId="0" fontId="120" fillId="0" borderId="0" xfId="4" applyFont="1"/>
    <xf numFmtId="170" fontId="53" fillId="2" borderId="153" xfId="0" applyNumberFormat="1" applyFont="1" applyFill="1" applyBorder="1"/>
    <xf numFmtId="0" fontId="89" fillId="4" borderId="249" xfId="4" applyFont="1" applyFill="1" applyBorder="1" applyAlignment="1">
      <alignment horizontal="center" vertical="center"/>
    </xf>
    <xf numFmtId="170" fontId="53" fillId="0" borderId="153" xfId="0" applyNumberFormat="1" applyFont="1" applyBorder="1"/>
    <xf numFmtId="170" fontId="53" fillId="2" borderId="109" xfId="0" applyNumberFormat="1" applyFont="1" applyFill="1" applyBorder="1"/>
    <xf numFmtId="0" fontId="90" fillId="0" borderId="57" xfId="4" applyFont="1" applyBorder="1" applyAlignment="1">
      <alignment vertical="top"/>
    </xf>
    <xf numFmtId="0" fontId="42" fillId="0" borderId="67" xfId="0" applyFont="1" applyBorder="1" applyAlignment="1">
      <alignment horizontal="left"/>
    </xf>
    <xf numFmtId="0" fontId="46" fillId="0" borderId="125" xfId="0" applyFont="1" applyBorder="1" applyAlignment="1">
      <alignment horizontal="center"/>
    </xf>
    <xf numFmtId="0" fontId="107" fillId="0" borderId="125" xfId="0" applyFont="1" applyBorder="1" applyAlignment="1">
      <alignment horizontal="center"/>
    </xf>
    <xf numFmtId="0" fontId="84" fillId="36" borderId="232" xfId="0" applyFont="1" applyFill="1" applyBorder="1"/>
    <xf numFmtId="0" fontId="43" fillId="16" borderId="72" xfId="10" applyFont="1" applyFill="1" applyBorder="1"/>
    <xf numFmtId="0" fontId="43" fillId="16" borderId="73" xfId="10" applyFont="1" applyFill="1" applyBorder="1"/>
    <xf numFmtId="0" fontId="43" fillId="16" borderId="71" xfId="10" applyFont="1" applyFill="1" applyBorder="1"/>
    <xf numFmtId="0" fontId="45" fillId="0" borderId="0" xfId="0" applyFont="1"/>
    <xf numFmtId="0" fontId="43" fillId="16" borderId="71" xfId="10" applyFont="1" applyFill="1" applyBorder="1" applyAlignment="1">
      <alignment horizontal="left"/>
    </xf>
    <xf numFmtId="0" fontId="43" fillId="23" borderId="57" xfId="10" applyFont="1" applyFill="1" applyBorder="1" applyAlignment="1">
      <alignment horizontal="left" vertical="top"/>
    </xf>
    <xf numFmtId="0" fontId="42" fillId="0" borderId="57" xfId="10" applyFont="1" applyBorder="1" applyAlignment="1">
      <alignment horizontal="left"/>
    </xf>
    <xf numFmtId="166" fontId="43" fillId="5" borderId="38" xfId="2" applyNumberFormat="1" applyFont="1" applyFill="1" applyBorder="1" applyAlignment="1">
      <alignment horizontal="left"/>
    </xf>
    <xf numFmtId="0" fontId="42" fillId="0" borderId="0" xfId="10" applyFont="1" applyAlignment="1">
      <alignment horizontal="left"/>
    </xf>
    <xf numFmtId="0" fontId="42" fillId="0" borderId="75" xfId="10" applyFont="1" applyBorder="1" applyAlignment="1">
      <alignment horizontal="left"/>
    </xf>
    <xf numFmtId="0" fontId="41" fillId="0" borderId="0" xfId="0" applyFont="1"/>
    <xf numFmtId="0" fontId="43" fillId="23" borderId="158" xfId="0" applyFont="1" applyFill="1" applyBorder="1"/>
    <xf numFmtId="0" fontId="52" fillId="3" borderId="250" xfId="0" applyFont="1" applyFill="1" applyBorder="1"/>
    <xf numFmtId="43" fontId="50" fillId="0" borderId="108" xfId="2" applyFont="1" applyFill="1" applyBorder="1"/>
    <xf numFmtId="43" fontId="50" fillId="0" borderId="63" xfId="2" applyFont="1" applyFill="1" applyBorder="1"/>
    <xf numFmtId="0" fontId="50" fillId="37" borderId="86" xfId="4" quotePrefix="1" applyFont="1" applyFill="1" applyBorder="1" applyAlignment="1">
      <alignment horizontal="center" vertical="center"/>
    </xf>
    <xf numFmtId="0" fontId="50" fillId="4" borderId="86" xfId="4" quotePrefix="1" applyFont="1" applyFill="1" applyBorder="1" applyAlignment="1">
      <alignment horizontal="center" vertical="center"/>
    </xf>
    <xf numFmtId="0" fontId="119" fillId="0" borderId="57" xfId="0" applyFont="1" applyBorder="1"/>
    <xf numFmtId="0" fontId="0" fillId="0" borderId="76" xfId="0" applyBorder="1"/>
    <xf numFmtId="0" fontId="0" fillId="0" borderId="77" xfId="0" applyBorder="1"/>
    <xf numFmtId="0" fontId="118" fillId="0" borderId="72" xfId="0" applyFont="1" applyBorder="1"/>
    <xf numFmtId="0" fontId="118" fillId="0" borderId="72" xfId="0" applyFont="1" applyBorder="1" applyAlignment="1">
      <alignment horizontal="center"/>
    </xf>
    <xf numFmtId="10" fontId="0" fillId="0" borderId="57" xfId="1" applyNumberFormat="1" applyFont="1" applyBorder="1"/>
    <xf numFmtId="10" fontId="0" fillId="0" borderId="0" xfId="1" applyNumberFormat="1" applyFont="1" applyBorder="1"/>
    <xf numFmtId="10" fontId="0" fillId="0" borderId="74" xfId="1" applyNumberFormat="1" applyFont="1" applyBorder="1"/>
    <xf numFmtId="10" fontId="113" fillId="0" borderId="57" xfId="1" applyNumberFormat="1" applyFont="1" applyBorder="1"/>
    <xf numFmtId="0" fontId="118" fillId="0" borderId="73" xfId="0" applyFont="1" applyBorder="1" applyAlignment="1">
      <alignment horizontal="center"/>
    </xf>
    <xf numFmtId="170" fontId="53" fillId="0" borderId="154" xfId="0" applyNumberFormat="1" applyFont="1" applyBorder="1"/>
    <xf numFmtId="170" fontId="53" fillId="2" borderId="154" xfId="0" applyNumberFormat="1" applyFont="1" applyFill="1" applyBorder="1"/>
    <xf numFmtId="166" fontId="50" fillId="0" borderId="108" xfId="2" applyNumberFormat="1" applyFont="1" applyFill="1" applyBorder="1"/>
    <xf numFmtId="9" fontId="50" fillId="0" borderId="63" xfId="1" applyFont="1" applyFill="1" applyBorder="1"/>
    <xf numFmtId="166" fontId="52" fillId="3" borderId="130" xfId="0" applyNumberFormat="1" applyFont="1" applyFill="1" applyBorder="1"/>
    <xf numFmtId="9" fontId="0" fillId="0" borderId="0" xfId="1" applyFont="1"/>
    <xf numFmtId="167" fontId="105" fillId="0" borderId="154" xfId="1" applyNumberFormat="1" applyFont="1" applyBorder="1"/>
    <xf numFmtId="167" fontId="105" fillId="0" borderId="107" xfId="1" applyNumberFormat="1" applyFont="1" applyBorder="1"/>
    <xf numFmtId="167" fontId="121" fillId="0" borderId="154" xfId="1" applyNumberFormat="1" applyFont="1" applyBorder="1"/>
    <xf numFmtId="167" fontId="121" fillId="0" borderId="107" xfId="1" applyNumberFormat="1" applyFont="1" applyBorder="1"/>
    <xf numFmtId="167" fontId="121" fillId="0" borderId="153" xfId="1" applyNumberFormat="1" applyFont="1" applyBorder="1"/>
    <xf numFmtId="0" fontId="82" fillId="0" borderId="0" xfId="0" applyFont="1" applyAlignment="1">
      <alignment horizontal="left" vertical="center" wrapText="1" shrinkToFit="1"/>
    </xf>
    <xf numFmtId="3" fontId="12" fillId="30" borderId="37" xfId="0" applyNumberFormat="1" applyFont="1" applyFill="1" applyBorder="1" applyAlignment="1">
      <alignment horizontal="center" vertical="center" wrapText="1"/>
    </xf>
    <xf numFmtId="0" fontId="12" fillId="30" borderId="37" xfId="0" applyFont="1" applyFill="1" applyBorder="1" applyAlignment="1">
      <alignment horizontal="center" vertical="center" wrapText="1"/>
    </xf>
    <xf numFmtId="0" fontId="12" fillId="30" borderId="37" xfId="0" applyFont="1" applyFill="1" applyBorder="1" applyAlignment="1">
      <alignment horizontal="center" vertical="center"/>
    </xf>
    <xf numFmtId="0" fontId="73" fillId="26" borderId="74" xfId="0" applyFont="1" applyFill="1" applyBorder="1" applyAlignment="1">
      <alignment horizontal="left"/>
    </xf>
    <xf numFmtId="0" fontId="72" fillId="28" borderId="37" xfId="0" applyFont="1" applyFill="1" applyBorder="1" applyAlignment="1">
      <alignment horizontal="center" vertical="center"/>
    </xf>
    <xf numFmtId="166" fontId="0" fillId="0" borderId="74" xfId="0" applyNumberFormat="1" applyBorder="1"/>
    <xf numFmtId="3" fontId="0" fillId="0" borderId="74" xfId="0" applyNumberFormat="1" applyBorder="1"/>
    <xf numFmtId="0" fontId="62" fillId="35" borderId="41" xfId="0" applyFont="1" applyFill="1" applyBorder="1" applyAlignment="1">
      <alignment horizontal="center" vertical="center"/>
    </xf>
    <xf numFmtId="0" fontId="1" fillId="0" borderId="73" xfId="0" applyFont="1" applyBorder="1"/>
    <xf numFmtId="3" fontId="1" fillId="0" borderId="74" xfId="0" applyNumberFormat="1" applyFont="1" applyBorder="1"/>
    <xf numFmtId="184" fontId="0" fillId="0" borderId="0" xfId="0" applyNumberFormat="1"/>
    <xf numFmtId="184" fontId="1" fillId="0" borderId="0" xfId="0" applyNumberFormat="1" applyFont="1"/>
    <xf numFmtId="0" fontId="10" fillId="12" borderId="71" xfId="6" applyFont="1" applyFill="1" applyBorder="1"/>
    <xf numFmtId="17" fontId="14" fillId="12" borderId="72" xfId="0" applyNumberFormat="1" applyFont="1" applyFill="1" applyBorder="1"/>
    <xf numFmtId="17" fontId="14" fillId="12" borderId="73" xfId="0" applyNumberFormat="1" applyFont="1" applyFill="1" applyBorder="1"/>
    <xf numFmtId="0" fontId="10" fillId="13" borderId="57" xfId="6" applyFont="1" applyFill="1" applyBorder="1"/>
    <xf numFmtId="0" fontId="14" fillId="0" borderId="74" xfId="0" applyFont="1" applyBorder="1"/>
    <xf numFmtId="0" fontId="10" fillId="12" borderId="57" xfId="6" applyFont="1" applyFill="1" applyBorder="1"/>
    <xf numFmtId="0" fontId="10" fillId="12" borderId="0" xfId="6" applyFont="1" applyFill="1"/>
    <xf numFmtId="0" fontId="9" fillId="0" borderId="74" xfId="6" applyBorder="1"/>
    <xf numFmtId="0" fontId="9" fillId="0" borderId="57" xfId="6" applyBorder="1"/>
    <xf numFmtId="17" fontId="14" fillId="12" borderId="0" xfId="0" applyNumberFormat="1" applyFont="1" applyFill="1"/>
    <xf numFmtId="17" fontId="14" fillId="12" borderId="74" xfId="0" applyNumberFormat="1" applyFont="1" applyFill="1" applyBorder="1"/>
    <xf numFmtId="0" fontId="9" fillId="13" borderId="57" xfId="6" applyFill="1" applyBorder="1"/>
    <xf numFmtId="10" fontId="14" fillId="0" borderId="0" xfId="1" applyNumberFormat="1" applyFont="1" applyBorder="1"/>
    <xf numFmtId="10" fontId="14" fillId="0" borderId="74" xfId="1" applyNumberFormat="1" applyFont="1" applyBorder="1"/>
    <xf numFmtId="10" fontId="9" fillId="0" borderId="0" xfId="6" applyNumberFormat="1"/>
    <xf numFmtId="0" fontId="119" fillId="0" borderId="0" xfId="0" applyFont="1"/>
    <xf numFmtId="0" fontId="108" fillId="2" borderId="65" xfId="3" applyFont="1" applyFill="1" applyBorder="1"/>
    <xf numFmtId="0" fontId="62" fillId="35" borderId="38" xfId="0" applyFont="1" applyFill="1" applyBorder="1" applyAlignment="1">
      <alignment vertical="center"/>
    </xf>
    <xf numFmtId="0" fontId="62" fillId="35" borderId="41" xfId="0" applyFont="1" applyFill="1" applyBorder="1" applyAlignment="1">
      <alignment vertical="center"/>
    </xf>
    <xf numFmtId="0" fontId="62" fillId="35" borderId="42" xfId="0" applyFont="1" applyFill="1" applyBorder="1" applyAlignment="1">
      <alignment vertical="center"/>
    </xf>
    <xf numFmtId="167" fontId="9" fillId="0" borderId="0" xfId="1" applyNumberFormat="1" applyFont="1"/>
    <xf numFmtId="166" fontId="9" fillId="0" borderId="0" xfId="6" applyNumberFormat="1"/>
    <xf numFmtId="195" fontId="9" fillId="0" borderId="0" xfId="6" applyNumberFormat="1"/>
    <xf numFmtId="0" fontId="102" fillId="0" borderId="41" xfId="0" applyFont="1" applyBorder="1"/>
    <xf numFmtId="10" fontId="4" fillId="2" borderId="65" xfId="3" applyNumberFormat="1" applyFill="1" applyBorder="1"/>
    <xf numFmtId="0" fontId="4" fillId="0" borderId="0" xfId="3"/>
    <xf numFmtId="0" fontId="9" fillId="0" borderId="71" xfId="6" applyBorder="1"/>
    <xf numFmtId="0" fontId="102" fillId="0" borderId="37" xfId="0" applyFont="1" applyBorder="1"/>
    <xf numFmtId="167" fontId="9" fillId="0" borderId="57" xfId="1" applyNumberFormat="1" applyFont="1" applyBorder="1"/>
    <xf numFmtId="195" fontId="9" fillId="0" borderId="57" xfId="6" applyNumberFormat="1" applyBorder="1"/>
    <xf numFmtId="167" fontId="9" fillId="0" borderId="0" xfId="1" applyNumberFormat="1" applyFont="1" applyBorder="1"/>
    <xf numFmtId="167" fontId="9" fillId="0" borderId="74" xfId="1" applyNumberFormat="1" applyFont="1" applyBorder="1"/>
    <xf numFmtId="195" fontId="9" fillId="0" borderId="74" xfId="6" applyNumberFormat="1" applyBorder="1"/>
    <xf numFmtId="0" fontId="10" fillId="0" borderId="0" xfId="6" applyFont="1"/>
    <xf numFmtId="0" fontId="9" fillId="0" borderId="75" xfId="6" applyBorder="1"/>
    <xf numFmtId="0" fontId="9" fillId="0" borderId="76" xfId="6" applyBorder="1"/>
    <xf numFmtId="0" fontId="9" fillId="0" borderId="77" xfId="6" applyBorder="1"/>
    <xf numFmtId="9" fontId="42" fillId="0" borderId="42" xfId="1" applyFont="1" applyBorder="1"/>
    <xf numFmtId="166" fontId="116" fillId="0" borderId="77" xfId="0" applyNumberFormat="1" applyFont="1" applyBorder="1"/>
    <xf numFmtId="0" fontId="89" fillId="0" borderId="0" xfId="4" applyFont="1" applyAlignment="1">
      <alignment horizontal="center" vertical="center"/>
    </xf>
    <xf numFmtId="9" fontId="116" fillId="0" borderId="0" xfId="1" applyFont="1"/>
    <xf numFmtId="0" fontId="116" fillId="0" borderId="0" xfId="0" applyFont="1"/>
    <xf numFmtId="9" fontId="0" fillId="4" borderId="0" xfId="0" applyNumberFormat="1" applyFill="1"/>
    <xf numFmtId="0" fontId="43" fillId="23" borderId="177" xfId="0" applyFont="1" applyFill="1" applyBorder="1"/>
    <xf numFmtId="0" fontId="43" fillId="23" borderId="159" xfId="0" applyFont="1" applyFill="1" applyBorder="1"/>
    <xf numFmtId="0" fontId="52" fillId="3" borderId="131" xfId="0" applyFont="1" applyFill="1" applyBorder="1"/>
    <xf numFmtId="166" fontId="52" fillId="3" borderId="132" xfId="0" applyNumberFormat="1" applyFont="1" applyFill="1" applyBorder="1"/>
    <xf numFmtId="166" fontId="0" fillId="0" borderId="77" xfId="0" applyNumberFormat="1" applyBorder="1"/>
    <xf numFmtId="9" fontId="0" fillId="37" borderId="0" xfId="0" applyNumberFormat="1" applyFill="1"/>
    <xf numFmtId="10" fontId="0" fillId="0" borderId="74" xfId="0" applyNumberFormat="1" applyBorder="1"/>
    <xf numFmtId="0" fontId="52" fillId="3" borderId="251" xfId="0" applyFont="1" applyFill="1" applyBorder="1"/>
    <xf numFmtId="0" fontId="52" fillId="3" borderId="252" xfId="0" applyFont="1" applyFill="1" applyBorder="1"/>
    <xf numFmtId="0" fontId="52" fillId="3" borderId="77" xfId="0" applyFont="1" applyFill="1" applyBorder="1"/>
    <xf numFmtId="166" fontId="0" fillId="0" borderId="0" xfId="2" applyNumberFormat="1" applyFont="1" applyBorder="1"/>
    <xf numFmtId="10" fontId="0" fillId="37" borderId="0" xfId="0" applyNumberFormat="1" applyFill="1"/>
    <xf numFmtId="1" fontId="0" fillId="0" borderId="74" xfId="0" applyNumberFormat="1" applyBorder="1"/>
    <xf numFmtId="10" fontId="0" fillId="4" borderId="0" xfId="0" applyNumberFormat="1" applyFill="1"/>
    <xf numFmtId="0" fontId="0" fillId="37" borderId="57" xfId="0" applyFill="1" applyBorder="1"/>
    <xf numFmtId="0" fontId="0" fillId="4" borderId="57" xfId="0" applyFill="1" applyBorder="1"/>
    <xf numFmtId="0" fontId="0" fillId="4" borderId="75" xfId="0" applyFill="1" applyBorder="1"/>
    <xf numFmtId="10" fontId="0" fillId="0" borderId="76" xfId="1" applyNumberFormat="1" applyFont="1" applyBorder="1"/>
    <xf numFmtId="10" fontId="0" fillId="0" borderId="77" xfId="1" applyNumberFormat="1" applyFont="1" applyBorder="1"/>
    <xf numFmtId="182" fontId="42" fillId="0" borderId="5" xfId="0" applyNumberFormat="1" applyFont="1" applyBorder="1"/>
    <xf numFmtId="166" fontId="42" fillId="0" borderId="117" xfId="0" applyNumberFormat="1" applyFont="1" applyBorder="1"/>
    <xf numFmtId="0" fontId="1" fillId="15" borderId="244" xfId="0" applyFont="1" applyFill="1" applyBorder="1" applyAlignment="1">
      <alignment horizontal="center" vertical="center"/>
    </xf>
    <xf numFmtId="0" fontId="1" fillId="15" borderId="245" xfId="0" applyFont="1" applyFill="1" applyBorder="1" applyAlignment="1">
      <alignment horizontal="center" vertical="center"/>
    </xf>
    <xf numFmtId="0" fontId="1" fillId="15" borderId="246" xfId="0" applyFont="1" applyFill="1" applyBorder="1" applyAlignment="1">
      <alignment horizontal="center" vertical="center"/>
    </xf>
    <xf numFmtId="0" fontId="1" fillId="0" borderId="105" xfId="0" applyFont="1" applyBorder="1"/>
    <xf numFmtId="0" fontId="1" fillId="0" borderId="161" xfId="0" applyFont="1" applyBorder="1"/>
    <xf numFmtId="0" fontId="1" fillId="0" borderId="97" xfId="0" applyFont="1" applyBorder="1"/>
    <xf numFmtId="177" fontId="47" fillId="0" borderId="157" xfId="11" applyNumberFormat="1" applyFont="1" applyBorder="1"/>
    <xf numFmtId="178" fontId="53" fillId="0" borderId="162" xfId="0" applyNumberFormat="1" applyFont="1" applyBorder="1" applyAlignment="1">
      <alignment vertical="center"/>
    </xf>
    <xf numFmtId="0" fontId="54" fillId="0" borderId="149" xfId="0" applyFont="1" applyBorder="1" applyAlignment="1">
      <alignment horizontal="left" vertical="center"/>
    </xf>
    <xf numFmtId="0" fontId="1" fillId="16" borderId="71" xfId="10" applyFont="1" applyFill="1" applyBorder="1" applyAlignment="1">
      <alignment horizontal="center"/>
    </xf>
    <xf numFmtId="0" fontId="1" fillId="16" borderId="72" xfId="10" applyFont="1" applyFill="1" applyBorder="1" applyAlignment="1">
      <alignment horizontal="center"/>
    </xf>
    <xf numFmtId="0" fontId="3" fillId="0" borderId="95" xfId="0" applyFont="1" applyBorder="1" applyAlignment="1">
      <alignment horizontal="center" vertical="center"/>
    </xf>
    <xf numFmtId="0" fontId="3" fillId="0" borderId="96" xfId="0" applyFont="1" applyBorder="1" applyAlignment="1">
      <alignment horizontal="center" vertical="center"/>
    </xf>
    <xf numFmtId="0" fontId="1" fillId="17" borderId="57" xfId="10" applyFont="1" applyFill="1" applyBorder="1" applyAlignment="1">
      <alignment horizontal="center" vertical="top"/>
    </xf>
    <xf numFmtId="0" fontId="1" fillId="17" borderId="0" xfId="10" applyFont="1" applyFill="1" applyAlignment="1">
      <alignment horizontal="center"/>
    </xf>
    <xf numFmtId="0" fontId="1" fillId="17" borderId="0" xfId="10" applyFont="1" applyFill="1"/>
    <xf numFmtId="0" fontId="1" fillId="17" borderId="74" xfId="10" applyFont="1" applyFill="1" applyBorder="1" applyAlignment="1">
      <alignment horizontal="center"/>
    </xf>
    <xf numFmtId="177" fontId="6" fillId="0" borderId="0" xfId="11" applyNumberFormat="1" applyFont="1" applyBorder="1"/>
    <xf numFmtId="177" fontId="6" fillId="0" borderId="0" xfId="11" applyNumberFormat="1" applyFont="1" applyFill="1" applyBorder="1"/>
    <xf numFmtId="0" fontId="1" fillId="0" borderId="38" xfId="10" applyFont="1" applyBorder="1"/>
    <xf numFmtId="178" fontId="1" fillId="0" borderId="41" xfId="10" applyNumberFormat="1" applyFont="1" applyBorder="1"/>
    <xf numFmtId="178" fontId="1" fillId="18" borderId="41" xfId="10" applyNumberFormat="1" applyFont="1" applyFill="1" applyBorder="1"/>
    <xf numFmtId="178" fontId="1" fillId="18" borderId="42" xfId="10" applyNumberFormat="1" applyFont="1" applyFill="1" applyBorder="1"/>
    <xf numFmtId="0" fontId="1" fillId="15" borderId="104" xfId="0" applyFont="1" applyFill="1" applyBorder="1"/>
    <xf numFmtId="0" fontId="1" fillId="6" borderId="104" xfId="0" applyFont="1" applyFill="1" applyBorder="1"/>
    <xf numFmtId="0" fontId="1" fillId="13" borderId="104" xfId="0" applyFont="1" applyFill="1" applyBorder="1"/>
    <xf numFmtId="0" fontId="1" fillId="21" borderId="0" xfId="0" applyFont="1" applyFill="1"/>
    <xf numFmtId="169" fontId="5" fillId="0" borderId="0" xfId="0" applyNumberFormat="1" applyFont="1" applyAlignment="1">
      <alignment horizontal="left"/>
    </xf>
    <xf numFmtId="171" fontId="9" fillId="9" borderId="253" xfId="0" applyNumberFormat="1" applyFont="1" applyFill="1" applyBorder="1"/>
    <xf numFmtId="171" fontId="9" fillId="10" borderId="253" xfId="0" applyNumberFormat="1" applyFont="1" applyFill="1" applyBorder="1"/>
    <xf numFmtId="171" fontId="10" fillId="9" borderId="253" xfId="0" applyNumberFormat="1" applyFont="1" applyFill="1" applyBorder="1"/>
    <xf numFmtId="171" fontId="10" fillId="10" borderId="253" xfId="0" applyNumberFormat="1" applyFont="1" applyFill="1" applyBorder="1"/>
    <xf numFmtId="170" fontId="9" fillId="9" borderId="253" xfId="0" applyNumberFormat="1" applyFont="1" applyFill="1" applyBorder="1"/>
    <xf numFmtId="170" fontId="9" fillId="10" borderId="253" xfId="0" applyNumberFormat="1" applyFont="1" applyFill="1" applyBorder="1"/>
    <xf numFmtId="0" fontId="70" fillId="26" borderId="254" xfId="0" applyFont="1" applyFill="1" applyBorder="1" applyAlignment="1">
      <alignment horizontal="center" vertical="center"/>
    </xf>
    <xf numFmtId="3" fontId="72" fillId="27" borderId="257" xfId="0" applyNumberFormat="1" applyFont="1" applyFill="1" applyBorder="1" applyAlignment="1">
      <alignment horizontal="right"/>
    </xf>
    <xf numFmtId="167" fontId="72" fillId="19" borderId="257" xfId="0" applyNumberFormat="1" applyFont="1" applyFill="1" applyBorder="1" applyAlignment="1">
      <alignment horizontal="right" vertical="center" wrapText="1"/>
    </xf>
    <xf numFmtId="167" fontId="72" fillId="27" borderId="257" xfId="0" applyNumberFormat="1" applyFont="1" applyFill="1" applyBorder="1" applyAlignment="1">
      <alignment horizontal="right" vertical="center" wrapText="1"/>
    </xf>
    <xf numFmtId="187" fontId="72" fillId="19" borderId="257" xfId="0" applyNumberFormat="1" applyFont="1" applyFill="1" applyBorder="1" applyAlignment="1">
      <alignment horizontal="right" vertical="center" wrapText="1"/>
    </xf>
    <xf numFmtId="187" fontId="72" fillId="27" borderId="257" xfId="0" applyNumberFormat="1" applyFont="1" applyFill="1" applyBorder="1" applyAlignment="1">
      <alignment horizontal="right" vertical="center" wrapText="1"/>
    </xf>
    <xf numFmtId="0" fontId="72" fillId="14" borderId="157" xfId="0" applyFont="1" applyFill="1" applyBorder="1" applyAlignment="1">
      <alignment horizontal="left"/>
    </xf>
    <xf numFmtId="0" fontId="72" fillId="14" borderId="258" xfId="0" applyFont="1" applyFill="1" applyBorder="1" applyAlignment="1">
      <alignment horizontal="left"/>
    </xf>
    <xf numFmtId="188" fontId="69" fillId="14" borderId="259" xfId="0" applyNumberFormat="1" applyFont="1" applyFill="1" applyBorder="1" applyAlignment="1">
      <alignment horizontal="right" vertical="center" wrapText="1"/>
    </xf>
    <xf numFmtId="173" fontId="69" fillId="14" borderId="260" xfId="0" applyNumberFormat="1" applyFont="1" applyFill="1" applyBorder="1" applyAlignment="1">
      <alignment horizontal="right" vertical="center" wrapText="1"/>
    </xf>
    <xf numFmtId="189" fontId="69" fillId="14" borderId="259" xfId="0" applyNumberFormat="1" applyFont="1" applyFill="1" applyBorder="1" applyAlignment="1">
      <alignment horizontal="right" vertical="center" wrapText="1"/>
    </xf>
    <xf numFmtId="187" fontId="69" fillId="14" borderId="259" xfId="0" applyNumberFormat="1" applyFont="1" applyFill="1" applyBorder="1" applyAlignment="1">
      <alignment horizontal="right" vertical="center" wrapText="1"/>
    </xf>
    <xf numFmtId="2" fontId="69" fillId="14" borderId="260" xfId="0" applyNumberFormat="1" applyFont="1" applyFill="1" applyBorder="1" applyAlignment="1">
      <alignment horizontal="right"/>
    </xf>
    <xf numFmtId="173" fontId="69" fillId="14" borderId="259" xfId="0" applyNumberFormat="1" applyFont="1" applyFill="1" applyBorder="1" applyAlignment="1">
      <alignment horizontal="right" vertical="center" wrapText="1"/>
    </xf>
    <xf numFmtId="170" fontId="53" fillId="2" borderId="261" xfId="0" applyNumberFormat="1" applyFont="1" applyFill="1" applyBorder="1"/>
    <xf numFmtId="0" fontId="50" fillId="0" borderId="262" xfId="4" applyFont="1" applyBorder="1"/>
    <xf numFmtId="175" fontId="0" fillId="0" borderId="263" xfId="0" applyNumberFormat="1" applyBorder="1" applyAlignment="1">
      <alignment horizontal="center"/>
    </xf>
    <xf numFmtId="0" fontId="0" fillId="0" borderId="264" xfId="0" applyBorder="1"/>
    <xf numFmtId="0" fontId="42" fillId="2" borderId="265" xfId="0" applyFont="1" applyFill="1" applyBorder="1"/>
    <xf numFmtId="0" fontId="85" fillId="2" borderId="255" xfId="0" applyFont="1" applyFill="1" applyBorder="1" applyAlignment="1">
      <alignment vertical="center" wrapText="1"/>
    </xf>
    <xf numFmtId="174" fontId="42" fillId="2" borderId="255" xfId="0" applyNumberFormat="1" applyFont="1" applyFill="1" applyBorder="1"/>
    <xf numFmtId="0" fontId="42" fillId="2" borderId="255" xfId="0" applyFont="1" applyFill="1" applyBorder="1"/>
    <xf numFmtId="0" fontId="50" fillId="0" borderId="259" xfId="4" applyFont="1" applyBorder="1"/>
    <xf numFmtId="0" fontId="50" fillId="0" borderId="258" xfId="4" applyFont="1" applyBorder="1"/>
    <xf numFmtId="170" fontId="53" fillId="2" borderId="266" xfId="0" applyNumberFormat="1" applyFont="1" applyFill="1" applyBorder="1"/>
    <xf numFmtId="10" fontId="53" fillId="2" borderId="266" xfId="1" applyNumberFormat="1" applyFont="1" applyFill="1" applyBorder="1"/>
    <xf numFmtId="0" fontId="89" fillId="4" borderId="259" xfId="4" applyFont="1" applyFill="1" applyBorder="1" applyAlignment="1">
      <alignment horizontal="center" vertical="center"/>
    </xf>
    <xf numFmtId="10" fontId="50" fillId="5" borderId="263" xfId="5" applyNumberFormat="1" applyFont="1" applyFill="1" applyBorder="1"/>
    <xf numFmtId="0" fontId="50" fillId="0" borderId="265" xfId="4" applyFont="1" applyBorder="1"/>
    <xf numFmtId="167" fontId="42" fillId="0" borderId="257" xfId="1" applyNumberFormat="1" applyFont="1" applyBorder="1"/>
    <xf numFmtId="0" fontId="42" fillId="0" borderId="257" xfId="0" applyFont="1" applyBorder="1"/>
    <xf numFmtId="10" fontId="42" fillId="0" borderId="257" xfId="0" applyNumberFormat="1" applyFont="1" applyBorder="1"/>
    <xf numFmtId="0" fontId="42" fillId="2" borderId="257" xfId="0" applyFont="1" applyFill="1" applyBorder="1"/>
    <xf numFmtId="10" fontId="42" fillId="2" borderId="257" xfId="0" applyNumberFormat="1" applyFont="1" applyFill="1" applyBorder="1"/>
    <xf numFmtId="10" fontId="42" fillId="14" borderId="257" xfId="0" applyNumberFormat="1" applyFont="1" applyFill="1" applyBorder="1"/>
    <xf numFmtId="0" fontId="89" fillId="4" borderId="259" xfId="4" applyFont="1" applyFill="1" applyBorder="1" applyAlignment="1">
      <alignment horizontal="left" vertical="center"/>
    </xf>
    <xf numFmtId="0" fontId="42" fillId="0" borderId="267" xfId="0" applyFont="1" applyBorder="1" applyAlignment="1">
      <alignment horizontal="center"/>
    </xf>
    <xf numFmtId="0" fontId="42" fillId="2" borderId="264" xfId="0" applyFont="1" applyFill="1" applyBorder="1"/>
    <xf numFmtId="9" fontId="42" fillId="2" borderId="264" xfId="0" applyNumberFormat="1" applyFont="1" applyFill="1" applyBorder="1"/>
    <xf numFmtId="0" fontId="42" fillId="0" borderId="258" xfId="0" applyFont="1" applyBorder="1" applyAlignment="1">
      <alignment horizontal="left"/>
    </xf>
    <xf numFmtId="0" fontId="42" fillId="2" borderId="264" xfId="3" applyNumberFormat="1" applyFont="1" applyFill="1" applyBorder="1"/>
    <xf numFmtId="0" fontId="42" fillId="0" borderId="254" xfId="0" applyFont="1" applyBorder="1"/>
    <xf numFmtId="0" fontId="42" fillId="0" borderId="267" xfId="0" applyFont="1" applyBorder="1"/>
    <xf numFmtId="0" fontId="42" fillId="2" borderId="261" xfId="0" applyFont="1" applyFill="1" applyBorder="1"/>
    <xf numFmtId="182" fontId="42" fillId="14" borderId="254" xfId="13" applyNumberFormat="1" applyFont="1" applyFill="1" applyBorder="1"/>
    <xf numFmtId="9" fontId="42" fillId="14" borderId="254" xfId="1" applyFont="1" applyFill="1" applyBorder="1" applyAlignment="1">
      <alignment horizontal="right"/>
    </xf>
    <xf numFmtId="182" fontId="42" fillId="14" borderId="254" xfId="2" applyNumberFormat="1" applyFont="1" applyFill="1" applyBorder="1"/>
    <xf numFmtId="0" fontId="43" fillId="23" borderId="254" xfId="0" applyFont="1" applyFill="1" applyBorder="1"/>
    <xf numFmtId="0" fontId="43" fillId="23" borderId="264" xfId="0" applyFont="1" applyFill="1" applyBorder="1"/>
    <xf numFmtId="0" fontId="42" fillId="0" borderId="264" xfId="0" applyFont="1" applyBorder="1" applyAlignment="1">
      <alignment horizontal="center"/>
    </xf>
    <xf numFmtId="0" fontId="42" fillId="0" borderId="264" xfId="0" applyFont="1" applyBorder="1"/>
    <xf numFmtId="182" fontId="42" fillId="0" borderId="264" xfId="0" applyNumberFormat="1" applyFont="1" applyBorder="1"/>
    <xf numFmtId="182" fontId="42" fillId="14" borderId="264" xfId="13" applyNumberFormat="1" applyFont="1" applyFill="1" applyBorder="1"/>
    <xf numFmtId="182" fontId="42" fillId="14" borderId="264" xfId="2" applyNumberFormat="1" applyFont="1" applyFill="1" applyBorder="1" applyAlignment="1">
      <alignment horizontal="right"/>
    </xf>
    <xf numFmtId="1" fontId="42" fillId="0" borderId="264" xfId="0" applyNumberFormat="1" applyFont="1" applyBorder="1"/>
    <xf numFmtId="9" fontId="42" fillId="14" borderId="264" xfId="1" applyFont="1" applyFill="1" applyBorder="1"/>
    <xf numFmtId="9" fontId="42" fillId="0" borderId="264" xfId="1" applyFont="1" applyBorder="1"/>
    <xf numFmtId="0" fontId="43" fillId="6" borderId="262" xfId="0" applyFont="1" applyFill="1" applyBorder="1" applyAlignment="1">
      <alignment horizontal="center"/>
    </xf>
    <xf numFmtId="0" fontId="43" fillId="6" borderId="256" xfId="0" applyFont="1" applyFill="1" applyBorder="1" applyAlignment="1">
      <alignment horizontal="center"/>
    </xf>
    <xf numFmtId="0" fontId="43" fillId="6" borderId="261" xfId="0" applyFont="1" applyFill="1" applyBorder="1" applyAlignment="1">
      <alignment horizontal="center"/>
    </xf>
    <xf numFmtId="166" fontId="89" fillId="3" borderId="258" xfId="0" applyNumberFormat="1" applyFont="1" applyFill="1" applyBorder="1"/>
    <xf numFmtId="9" fontId="52" fillId="3" borderId="258" xfId="1" applyFont="1" applyFill="1" applyBorder="1"/>
    <xf numFmtId="166" fontId="52" fillId="3" borderId="258" xfId="0" applyNumberFormat="1" applyFont="1" applyFill="1" applyBorder="1"/>
    <xf numFmtId="166" fontId="52" fillId="3" borderId="260" xfId="0" applyNumberFormat="1" applyFont="1" applyFill="1" applyBorder="1"/>
    <xf numFmtId="182" fontId="42" fillId="14" borderId="254" xfId="2" applyNumberFormat="1" applyFont="1" applyFill="1" applyBorder="1" applyAlignment="1">
      <alignment horizontal="right"/>
    </xf>
    <xf numFmtId="9" fontId="42" fillId="14" borderId="254" xfId="1" applyFont="1" applyFill="1" applyBorder="1"/>
    <xf numFmtId="0" fontId="42" fillId="0" borderId="257" xfId="2" applyNumberFormat="1" applyFont="1" applyBorder="1" applyAlignment="1">
      <alignment horizontal="center"/>
    </xf>
    <xf numFmtId="182" fontId="42" fillId="0" borderId="257" xfId="2" applyNumberFormat="1" applyFont="1" applyBorder="1" applyAlignment="1">
      <alignment vertical="center"/>
    </xf>
    <xf numFmtId="0" fontId="42" fillId="23" borderId="269" xfId="0" applyFont="1" applyFill="1" applyBorder="1"/>
    <xf numFmtId="178" fontId="42" fillId="0" borderId="255" xfId="0" applyNumberFormat="1" applyFont="1" applyBorder="1"/>
    <xf numFmtId="178" fontId="43" fillId="23" borderId="269" xfId="0" applyNumberFormat="1" applyFont="1" applyFill="1" applyBorder="1"/>
    <xf numFmtId="0" fontId="53" fillId="0" borderId="270" xfId="0" applyFont="1" applyBorder="1" applyAlignment="1">
      <alignment horizontal="left" vertical="center" wrapText="1"/>
    </xf>
    <xf numFmtId="0" fontId="84" fillId="8" borderId="269" xfId="0" applyFont="1" applyFill="1" applyBorder="1"/>
    <xf numFmtId="166" fontId="42" fillId="0" borderId="255" xfId="0" applyNumberFormat="1" applyFont="1" applyBorder="1"/>
    <xf numFmtId="178" fontId="42" fillId="0" borderId="258" xfId="0" applyNumberFormat="1" applyFont="1" applyBorder="1"/>
    <xf numFmtId="166" fontId="42" fillId="0" borderId="258" xfId="0" applyNumberFormat="1" applyFont="1" applyBorder="1"/>
    <xf numFmtId="0" fontId="84" fillId="8" borderId="269" xfId="0" applyFont="1" applyFill="1" applyBorder="1" applyAlignment="1">
      <alignment horizontal="center" vertical="center"/>
    </xf>
    <xf numFmtId="166" fontId="43" fillId="23" borderId="269" xfId="0" applyNumberFormat="1" applyFont="1" applyFill="1" applyBorder="1"/>
    <xf numFmtId="178" fontId="42" fillId="0" borderId="254" xfId="0" applyNumberFormat="1" applyFont="1" applyBorder="1"/>
    <xf numFmtId="184" fontId="42" fillId="0" borderId="254" xfId="0" applyNumberFormat="1" applyFont="1" applyBorder="1"/>
    <xf numFmtId="3" fontId="42" fillId="14" borderId="263" xfId="0" applyNumberFormat="1" applyFont="1" applyFill="1" applyBorder="1"/>
    <xf numFmtId="0" fontId="42" fillId="32" borderId="262" xfId="0" applyFont="1" applyFill="1" applyBorder="1"/>
    <xf numFmtId="3" fontId="42" fillId="2" borderId="266" xfId="0" applyNumberFormat="1" applyFont="1" applyFill="1" applyBorder="1"/>
    <xf numFmtId="0" fontId="84" fillId="8" borderId="262" xfId="0" applyFont="1" applyFill="1" applyBorder="1"/>
    <xf numFmtId="3" fontId="42" fillId="14" borderId="266" xfId="0" applyNumberFormat="1" applyFont="1" applyFill="1" applyBorder="1"/>
    <xf numFmtId="0" fontId="84" fillId="8" borderId="259" xfId="0" applyFont="1" applyFill="1" applyBorder="1"/>
    <xf numFmtId="0" fontId="84" fillId="8" borderId="258" xfId="0" applyFont="1" applyFill="1" applyBorder="1"/>
    <xf numFmtId="3" fontId="42" fillId="2" borderId="263" xfId="0" applyNumberFormat="1" applyFont="1" applyFill="1" applyBorder="1"/>
    <xf numFmtId="184" fontId="84" fillId="34" borderId="269" xfId="0" applyNumberFormat="1" applyFont="1" applyFill="1" applyBorder="1"/>
    <xf numFmtId="0" fontId="42" fillId="0" borderId="259" xfId="0" applyFont="1" applyBorder="1"/>
    <xf numFmtId="0" fontId="42" fillId="0" borderId="258" xfId="0" applyFont="1" applyBorder="1"/>
    <xf numFmtId="0" fontId="42" fillId="0" borderId="260" xfId="0" applyFont="1" applyBorder="1"/>
    <xf numFmtId="0" fontId="43" fillId="17" borderId="257" xfId="10" applyFont="1" applyFill="1" applyBorder="1" applyAlignment="1">
      <alignment horizontal="center"/>
    </xf>
    <xf numFmtId="177" fontId="42" fillId="0" borderId="257" xfId="0" applyNumberFormat="1" applyFont="1" applyBorder="1"/>
    <xf numFmtId="0" fontId="0" fillId="0" borderId="257" xfId="0" applyBorder="1"/>
    <xf numFmtId="0" fontId="42" fillId="0" borderId="265" xfId="10" applyFont="1" applyBorder="1"/>
    <xf numFmtId="177" fontId="47" fillId="0" borderId="255" xfId="11" applyNumberFormat="1" applyFont="1" applyBorder="1"/>
    <xf numFmtId="177" fontId="47" fillId="0" borderId="271" xfId="11" applyNumberFormat="1" applyFont="1" applyBorder="1"/>
    <xf numFmtId="0" fontId="42" fillId="0" borderId="265" xfId="10" applyFont="1" applyBorder="1" applyAlignment="1">
      <alignment horizontal="left"/>
    </xf>
    <xf numFmtId="0" fontId="54" fillId="0" borderId="265" xfId="0" applyFont="1" applyBorder="1" applyAlignment="1">
      <alignment horizontal="left" vertical="center" wrapText="1"/>
    </xf>
    <xf numFmtId="0" fontId="58" fillId="0" borderId="259" xfId="0" applyFont="1" applyBorder="1" applyAlignment="1">
      <alignment horizontal="center" vertical="center"/>
    </xf>
    <xf numFmtId="0" fontId="53" fillId="0" borderId="264" xfId="0" applyFont="1" applyBorder="1" applyAlignment="1">
      <alignment vertical="center"/>
    </xf>
    <xf numFmtId="0" fontId="53" fillId="0" borderId="264" xfId="0" applyFont="1" applyBorder="1" applyAlignment="1">
      <alignment horizontal="left" vertical="center"/>
    </xf>
    <xf numFmtId="0" fontId="53" fillId="0" borderId="263" xfId="0" applyFont="1" applyBorder="1" applyAlignment="1">
      <alignment vertical="center"/>
    </xf>
    <xf numFmtId="184" fontId="53" fillId="22" borderId="264" xfId="0" applyNumberFormat="1" applyFont="1" applyFill="1" applyBorder="1" applyAlignment="1">
      <alignment vertical="center"/>
    </xf>
    <xf numFmtId="184" fontId="53" fillId="22" borderId="263" xfId="0" applyNumberFormat="1" applyFont="1" applyFill="1" applyBorder="1" applyAlignment="1">
      <alignment vertical="center"/>
    </xf>
    <xf numFmtId="0" fontId="53" fillId="0" borderId="267" xfId="0" applyFont="1" applyBorder="1" applyAlignment="1">
      <alignment vertical="center"/>
    </xf>
    <xf numFmtId="0" fontId="53" fillId="0" borderId="272" xfId="0" applyFont="1" applyBorder="1" applyAlignment="1">
      <alignment vertical="center"/>
    </xf>
    <xf numFmtId="0" fontId="53" fillId="0" borderId="254" xfId="0" applyFont="1" applyBorder="1" applyAlignment="1">
      <alignment vertical="center"/>
    </xf>
    <xf numFmtId="0" fontId="54" fillId="0" borderId="259" xfId="0" applyFont="1" applyBorder="1" applyAlignment="1">
      <alignment horizontal="left" vertical="center" wrapText="1"/>
    </xf>
    <xf numFmtId="178" fontId="53" fillId="0" borderId="264" xfId="0" applyNumberFormat="1" applyFont="1" applyBorder="1" applyAlignment="1">
      <alignment vertical="center"/>
    </xf>
    <xf numFmtId="178" fontId="53" fillId="0" borderId="263" xfId="0" applyNumberFormat="1" applyFont="1" applyBorder="1" applyAlignment="1">
      <alignment vertical="center"/>
    </xf>
    <xf numFmtId="178" fontId="53" fillId="22" borderId="264" xfId="0" applyNumberFormat="1" applyFont="1" applyFill="1" applyBorder="1" applyAlignment="1">
      <alignment vertical="center"/>
    </xf>
    <xf numFmtId="178" fontId="53" fillId="22" borderId="263" xfId="0" applyNumberFormat="1" applyFont="1" applyFill="1" applyBorder="1" applyAlignment="1">
      <alignment vertical="center"/>
    </xf>
    <xf numFmtId="178" fontId="53" fillId="0" borderId="267" xfId="0" applyNumberFormat="1" applyFont="1" applyBorder="1" applyAlignment="1">
      <alignment vertical="center"/>
    </xf>
    <xf numFmtId="178" fontId="53" fillId="0" borderId="272" xfId="0" applyNumberFormat="1" applyFont="1" applyBorder="1" applyAlignment="1">
      <alignment vertical="center"/>
    </xf>
    <xf numFmtId="178" fontId="53" fillId="0" borderId="254" xfId="0" applyNumberFormat="1" applyFont="1" applyBorder="1" applyAlignment="1">
      <alignment vertical="center"/>
    </xf>
    <xf numFmtId="184" fontId="53" fillId="16" borderId="264" xfId="0" applyNumberFormat="1" applyFont="1" applyFill="1" applyBorder="1" applyAlignment="1">
      <alignment vertical="center"/>
    </xf>
    <xf numFmtId="184" fontId="53" fillId="16" borderId="263" xfId="0" applyNumberFormat="1" applyFont="1" applyFill="1" applyBorder="1" applyAlignment="1">
      <alignment vertical="center"/>
    </xf>
    <xf numFmtId="184" fontId="53" fillId="16" borderId="264" xfId="12" applyNumberFormat="1" applyFont="1" applyFill="1" applyBorder="1" applyAlignment="1">
      <alignment vertical="center"/>
    </xf>
    <xf numFmtId="184" fontId="53" fillId="16" borderId="263" xfId="12" applyNumberFormat="1" applyFont="1" applyFill="1" applyBorder="1" applyAlignment="1">
      <alignment vertical="center"/>
    </xf>
    <xf numFmtId="0" fontId="54" fillId="0" borderId="259" xfId="0" applyFont="1" applyBorder="1" applyAlignment="1">
      <alignment horizontal="left" vertical="center"/>
    </xf>
    <xf numFmtId="0" fontId="59" fillId="0" borderId="265" xfId="0" applyFont="1" applyBorder="1" applyAlignment="1">
      <alignment horizontal="left" vertical="center"/>
    </xf>
    <xf numFmtId="0" fontId="58" fillId="0" borderId="265" xfId="0" applyFont="1" applyBorder="1" applyAlignment="1">
      <alignment horizontal="center" vertical="center"/>
    </xf>
    <xf numFmtId="178" fontId="53" fillId="16" borderId="262" xfId="0" applyNumberFormat="1" applyFont="1" applyFill="1" applyBorder="1" applyAlignment="1">
      <alignment vertical="center"/>
    </xf>
    <xf numFmtId="178" fontId="53" fillId="16" borderId="261" xfId="0" applyNumberFormat="1" applyFont="1" applyFill="1" applyBorder="1" applyAlignment="1">
      <alignment vertical="center"/>
    </xf>
    <xf numFmtId="178" fontId="53" fillId="16" borderId="266" xfId="0" applyNumberFormat="1" applyFont="1" applyFill="1" applyBorder="1" applyAlignment="1">
      <alignment vertical="center"/>
    </xf>
    <xf numFmtId="178" fontId="53" fillId="0" borderId="262" xfId="0" applyNumberFormat="1" applyFont="1" applyBorder="1" applyAlignment="1">
      <alignment vertical="center"/>
    </xf>
    <xf numFmtId="178" fontId="53" fillId="0" borderId="261" xfId="0" applyNumberFormat="1" applyFont="1" applyBorder="1" applyAlignment="1">
      <alignment vertical="center"/>
    </xf>
    <xf numFmtId="178" fontId="53" fillId="0" borderId="266" xfId="0" applyNumberFormat="1" applyFont="1" applyBorder="1" applyAlignment="1">
      <alignment vertical="center"/>
    </xf>
    <xf numFmtId="178" fontId="53" fillId="0" borderId="256" xfId="0" applyNumberFormat="1" applyFont="1" applyBorder="1" applyAlignment="1">
      <alignment vertical="center"/>
    </xf>
    <xf numFmtId="178" fontId="53" fillId="0" borderId="273" xfId="0" applyNumberFormat="1" applyFont="1" applyBorder="1" applyAlignment="1">
      <alignment vertical="center"/>
    </xf>
    <xf numFmtId="178" fontId="53" fillId="0" borderId="274" xfId="0" applyNumberFormat="1" applyFont="1" applyBorder="1" applyAlignment="1">
      <alignment vertical="center"/>
    </xf>
    <xf numFmtId="178" fontId="53" fillId="0" borderId="268" xfId="0" applyNumberFormat="1" applyFont="1" applyBorder="1" applyAlignment="1">
      <alignment vertical="center"/>
    </xf>
    <xf numFmtId="0" fontId="54" fillId="0" borderId="269" xfId="0" applyFont="1" applyBorder="1" applyAlignment="1">
      <alignment horizontal="left" vertical="center" wrapText="1"/>
    </xf>
    <xf numFmtId="181" fontId="53" fillId="0" borderId="264" xfId="0" applyNumberFormat="1" applyFont="1" applyBorder="1" applyAlignment="1">
      <alignment vertical="center"/>
    </xf>
    <xf numFmtId="181" fontId="53" fillId="0" borderId="254" xfId="0" applyNumberFormat="1" applyFont="1" applyBorder="1" applyAlignment="1">
      <alignment vertical="center"/>
    </xf>
    <xf numFmtId="0" fontId="53" fillId="0" borderId="258" xfId="0" applyFont="1" applyBorder="1" applyAlignment="1">
      <alignment vertical="center"/>
    </xf>
    <xf numFmtId="181" fontId="53" fillId="0" borderId="264" xfId="0" applyNumberFormat="1" applyFont="1" applyBorder="1" applyAlignment="1">
      <alignment horizontal="center" vertical="center"/>
    </xf>
    <xf numFmtId="181" fontId="53" fillId="0" borderId="263" xfId="0" applyNumberFormat="1" applyFont="1" applyBorder="1" applyAlignment="1">
      <alignment vertical="center"/>
    </xf>
    <xf numFmtId="0" fontId="54" fillId="0" borderId="265" xfId="0" applyFont="1" applyBorder="1" applyAlignment="1">
      <alignment horizontal="center" vertical="center"/>
    </xf>
    <xf numFmtId="178" fontId="53" fillId="0" borderId="258" xfId="0" applyNumberFormat="1" applyFont="1" applyBorder="1" applyAlignment="1">
      <alignment vertical="center"/>
    </xf>
    <xf numFmtId="178" fontId="53" fillId="13" borderId="264" xfId="0" applyNumberFormat="1" applyFont="1" applyFill="1" applyBorder="1" applyAlignment="1">
      <alignment vertical="center"/>
    </xf>
    <xf numFmtId="178" fontId="53" fillId="0" borderId="259" xfId="0" applyNumberFormat="1" applyFont="1" applyBorder="1" applyAlignment="1">
      <alignment vertical="center"/>
    </xf>
    <xf numFmtId="0" fontId="53" fillId="0" borderId="262" xfId="0" applyFont="1" applyBorder="1" applyAlignment="1">
      <alignment vertical="center"/>
    </xf>
    <xf numFmtId="166" fontId="53" fillId="22" borderId="264" xfId="0" applyNumberFormat="1" applyFont="1" applyFill="1" applyBorder="1" applyAlignment="1">
      <alignment vertical="center"/>
    </xf>
    <xf numFmtId="181" fontId="53" fillId="0" borderId="258" xfId="0" applyNumberFormat="1" applyFont="1" applyBorder="1" applyAlignment="1">
      <alignment vertical="center"/>
    </xf>
    <xf numFmtId="181" fontId="53" fillId="0" borderId="259" xfId="0" applyNumberFormat="1" applyFont="1" applyBorder="1" applyAlignment="1">
      <alignment vertical="center"/>
    </xf>
    <xf numFmtId="0" fontId="54" fillId="0" borderId="259" xfId="0" applyFont="1" applyBorder="1" applyAlignment="1">
      <alignment horizontal="center" vertical="center"/>
    </xf>
    <xf numFmtId="181" fontId="53" fillId="0" borderId="267" xfId="0" applyNumberFormat="1" applyFont="1" applyBorder="1" applyAlignment="1">
      <alignment vertical="center"/>
    </xf>
    <xf numFmtId="181" fontId="53" fillId="22" borderId="254" xfId="0" applyNumberFormat="1" applyFont="1" applyFill="1" applyBorder="1" applyAlignment="1">
      <alignment vertical="center"/>
    </xf>
    <xf numFmtId="181" fontId="53" fillId="22" borderId="263" xfId="0" applyNumberFormat="1" applyFont="1" applyFill="1" applyBorder="1" applyAlignment="1">
      <alignment vertical="center"/>
    </xf>
    <xf numFmtId="181" fontId="53" fillId="22" borderId="259" xfId="0" applyNumberFormat="1" applyFont="1" applyFill="1" applyBorder="1" applyAlignment="1">
      <alignment vertical="center"/>
    </xf>
    <xf numFmtId="0" fontId="53" fillId="0" borderId="259" xfId="0" applyFont="1" applyBorder="1" applyAlignment="1">
      <alignment vertical="center"/>
    </xf>
    <xf numFmtId="181" fontId="53" fillId="0" borderId="262" xfId="0" applyNumberFormat="1" applyFont="1" applyBorder="1" applyAlignment="1">
      <alignment vertical="center"/>
    </xf>
    <xf numFmtId="181" fontId="53" fillId="0" borderId="261" xfId="0" applyNumberFormat="1" applyFont="1" applyBorder="1" applyAlignment="1">
      <alignment vertical="center"/>
    </xf>
    <xf numFmtId="181" fontId="53" fillId="0" borderId="268" xfId="0" applyNumberFormat="1" applyFont="1" applyBorder="1" applyAlignment="1">
      <alignment vertical="center"/>
    </xf>
    <xf numFmtId="0" fontId="59" fillId="0" borderId="269" xfId="0" applyFont="1" applyBorder="1" applyAlignment="1">
      <alignment horizontal="left" vertical="center"/>
    </xf>
    <xf numFmtId="181" fontId="53" fillId="22" borderId="262" xfId="0" applyNumberFormat="1" applyFont="1" applyFill="1" applyBorder="1" applyAlignment="1">
      <alignment vertical="center"/>
    </xf>
    <xf numFmtId="181" fontId="53" fillId="22" borderId="261" xfId="0" applyNumberFormat="1" applyFont="1" applyFill="1" applyBorder="1" applyAlignment="1">
      <alignment vertical="center"/>
    </xf>
    <xf numFmtId="181" fontId="53" fillId="22" borderId="268" xfId="0" applyNumberFormat="1" applyFont="1" applyFill="1" applyBorder="1" applyAlignment="1">
      <alignment vertical="center"/>
    </xf>
    <xf numFmtId="0" fontId="53" fillId="0" borderId="261" xfId="0" applyFont="1" applyBorder="1" applyAlignment="1">
      <alignment vertical="center"/>
    </xf>
    <xf numFmtId="0" fontId="53" fillId="0" borderId="256" xfId="0" applyFont="1" applyBorder="1" applyAlignment="1">
      <alignment vertical="center"/>
    </xf>
    <xf numFmtId="181" fontId="53" fillId="0" borderId="266" xfId="0" applyNumberFormat="1" applyFont="1" applyBorder="1" applyAlignment="1">
      <alignment vertical="center"/>
    </xf>
    <xf numFmtId="0" fontId="53" fillId="0" borderId="265" xfId="0" applyFont="1" applyBorder="1" applyAlignment="1">
      <alignment vertical="center"/>
    </xf>
    <xf numFmtId="0" fontId="1" fillId="17" borderId="264" xfId="10" applyFont="1" applyFill="1" applyBorder="1" applyAlignment="1">
      <alignment horizontal="center"/>
    </xf>
    <xf numFmtId="178" fontId="0" fillId="0" borderId="264" xfId="0" applyNumberFormat="1" applyBorder="1"/>
    <xf numFmtId="0" fontId="42" fillId="14" borderId="259" xfId="0" applyFont="1" applyFill="1" applyBorder="1"/>
    <xf numFmtId="0" fontId="42" fillId="0" borderId="260" xfId="0" applyFont="1" applyBorder="1" applyAlignment="1">
      <alignment horizontal="center"/>
    </xf>
    <xf numFmtId="0" fontId="2" fillId="0" borderId="265" xfId="10" applyFont="1" applyBorder="1"/>
    <xf numFmtId="177" fontId="6" fillId="0" borderId="255" xfId="11" applyNumberFormat="1" applyFont="1" applyBorder="1"/>
    <xf numFmtId="177" fontId="6" fillId="0" borderId="271" xfId="11" applyNumberFormat="1" applyFont="1" applyBorder="1"/>
    <xf numFmtId="0" fontId="0" fillId="0" borderId="267" xfId="0" applyBorder="1"/>
    <xf numFmtId="0" fontId="3" fillId="0" borderId="261" xfId="0" applyFont="1" applyBorder="1"/>
    <xf numFmtId="0" fontId="52" fillId="3" borderId="259" xfId="0" applyFont="1" applyFill="1" applyBorder="1"/>
    <xf numFmtId="0" fontId="52" fillId="3" borderId="258" xfId="0" applyFont="1" applyFill="1" applyBorder="1"/>
    <xf numFmtId="0" fontId="52" fillId="3" borderId="260" xfId="0" applyFont="1" applyFill="1" applyBorder="1"/>
    <xf numFmtId="0" fontId="50" fillId="37" borderId="259" xfId="4" quotePrefix="1" applyFont="1" applyFill="1" applyBorder="1" applyAlignment="1">
      <alignment horizontal="center" vertical="center"/>
    </xf>
    <xf numFmtId="0" fontId="50" fillId="4" borderId="259" xfId="4" quotePrefix="1" applyFont="1" applyFill="1" applyBorder="1" applyAlignment="1">
      <alignment horizontal="center" vertical="center"/>
    </xf>
    <xf numFmtId="0" fontId="66" fillId="11" borderId="275" xfId="0" applyFont="1" applyFill="1" applyBorder="1"/>
    <xf numFmtId="0" fontId="66" fillId="11" borderId="276" xfId="0" applyFont="1" applyFill="1" applyBorder="1"/>
    <xf numFmtId="0" fontId="66" fillId="11" borderId="277" xfId="0" applyFont="1" applyFill="1" applyBorder="1"/>
    <xf numFmtId="0" fontId="10" fillId="10" borderId="275" xfId="0" applyFont="1" applyFill="1" applyBorder="1" applyAlignment="1">
      <alignment horizontal="right"/>
    </xf>
    <xf numFmtId="0" fontId="10" fillId="10" borderId="276" xfId="0" applyFont="1" applyFill="1" applyBorder="1" applyAlignment="1">
      <alignment horizontal="right"/>
    </xf>
    <xf numFmtId="0" fontId="10" fillId="10" borderId="277" xfId="0" applyFont="1" applyFill="1" applyBorder="1" applyAlignment="1">
      <alignment horizontal="right"/>
    </xf>
    <xf numFmtId="171" fontId="10" fillId="10" borderId="275" xfId="0" applyNumberFormat="1" applyFont="1" applyFill="1" applyBorder="1" applyAlignment="1">
      <alignment horizontal="right"/>
    </xf>
    <xf numFmtId="171" fontId="9" fillId="10" borderId="276" xfId="0" applyNumberFormat="1" applyFont="1" applyFill="1" applyBorder="1"/>
    <xf numFmtId="171" fontId="9" fillId="10" borderId="277" xfId="0" applyNumberFormat="1" applyFont="1" applyFill="1" applyBorder="1"/>
    <xf numFmtId="171" fontId="9" fillId="10" borderId="275" xfId="0" applyNumberFormat="1" applyFont="1" applyFill="1" applyBorder="1"/>
    <xf numFmtId="170" fontId="10" fillId="10" borderId="275" xfId="0" applyNumberFormat="1" applyFont="1" applyFill="1" applyBorder="1" applyAlignment="1">
      <alignment horizontal="right"/>
    </xf>
    <xf numFmtId="170" fontId="9" fillId="10" borderId="276" xfId="0" applyNumberFormat="1" applyFont="1" applyFill="1" applyBorder="1"/>
    <xf numFmtId="170" fontId="9" fillId="10" borderId="277" xfId="0" applyNumberFormat="1" applyFont="1" applyFill="1" applyBorder="1"/>
    <xf numFmtId="170" fontId="9" fillId="10" borderId="275" xfId="0" applyNumberFormat="1" applyFont="1" applyFill="1" applyBorder="1"/>
    <xf numFmtId="0" fontId="71" fillId="27" borderId="278" xfId="0" applyFont="1" applyFill="1" applyBorder="1"/>
    <xf numFmtId="0" fontId="72" fillId="27" borderId="278" xfId="0" applyFont="1" applyFill="1" applyBorder="1" applyAlignment="1">
      <alignment horizontal="right"/>
    </xf>
    <xf numFmtId="3" fontId="72" fillId="27" borderId="279" xfId="0" applyNumberFormat="1" applyFont="1" applyFill="1" applyBorder="1" applyAlignment="1">
      <alignment horizontal="right"/>
    </xf>
    <xf numFmtId="0" fontId="91" fillId="35" borderId="71" xfId="4" applyFont="1" applyFill="1" applyBorder="1" applyAlignment="1">
      <alignment horizontal="left" vertical="center"/>
    </xf>
    <xf numFmtId="0" fontId="91" fillId="35" borderId="73" xfId="4" applyFont="1" applyFill="1" applyBorder="1" applyAlignment="1">
      <alignment horizontal="left" vertical="center"/>
    </xf>
    <xf numFmtId="0" fontId="102" fillId="0" borderId="41" xfId="0" applyFont="1" applyBorder="1" applyAlignment="1">
      <alignment horizontal="center"/>
    </xf>
    <xf numFmtId="0" fontId="102" fillId="0" borderId="38" xfId="0" applyFont="1" applyBorder="1" applyAlignment="1">
      <alignment horizontal="center"/>
    </xf>
    <xf numFmtId="0" fontId="102" fillId="0" borderId="42" xfId="0" applyFont="1" applyBorder="1" applyAlignment="1">
      <alignment horizontal="center"/>
    </xf>
    <xf numFmtId="0" fontId="102" fillId="7" borderId="39" xfId="0" applyFont="1" applyFill="1" applyBorder="1" applyAlignment="1">
      <alignment horizontal="center"/>
    </xf>
    <xf numFmtId="0" fontId="102" fillId="7" borderId="41" xfId="0" applyFont="1" applyFill="1" applyBorder="1" applyAlignment="1">
      <alignment horizontal="center"/>
    </xf>
    <xf numFmtId="0" fontId="102" fillId="7" borderId="40" xfId="0" applyFont="1" applyFill="1" applyBorder="1" applyAlignment="1">
      <alignment horizontal="center"/>
    </xf>
    <xf numFmtId="0" fontId="102" fillId="19" borderId="39" xfId="0" applyFont="1" applyFill="1" applyBorder="1" applyAlignment="1">
      <alignment horizontal="center"/>
    </xf>
    <xf numFmtId="0" fontId="102" fillId="19" borderId="40" xfId="0" applyFont="1" applyFill="1" applyBorder="1" applyAlignment="1">
      <alignment horizontal="center"/>
    </xf>
    <xf numFmtId="0" fontId="91" fillId="35" borderId="38" xfId="4" applyFont="1" applyFill="1" applyBorder="1" applyAlignment="1">
      <alignment horizontal="left" vertical="center"/>
    </xf>
    <xf numFmtId="0" fontId="91" fillId="35" borderId="42" xfId="4" applyFont="1" applyFill="1" applyBorder="1" applyAlignment="1">
      <alignment horizontal="left" vertical="center"/>
    </xf>
    <xf numFmtId="0" fontId="42" fillId="0" borderId="0" xfId="0" applyFont="1" applyAlignment="1">
      <alignment horizontal="center"/>
    </xf>
    <xf numFmtId="0" fontId="42" fillId="6" borderId="127" xfId="0" applyFont="1" applyFill="1" applyBorder="1" applyAlignment="1">
      <alignment horizontal="center"/>
    </xf>
    <xf numFmtId="0" fontId="42" fillId="6" borderId="128" xfId="0" applyFont="1" applyFill="1" applyBorder="1" applyAlignment="1">
      <alignment horizontal="center"/>
    </xf>
    <xf numFmtId="0" fontId="42" fillId="6" borderId="129" xfId="0" applyFont="1" applyFill="1" applyBorder="1" applyAlignment="1">
      <alignment horizontal="center"/>
    </xf>
    <xf numFmtId="0" fontId="102" fillId="7" borderId="38" xfId="0" applyFont="1" applyFill="1" applyBorder="1" applyAlignment="1">
      <alignment horizontal="center"/>
    </xf>
    <xf numFmtId="0" fontId="102" fillId="7" borderId="42" xfId="0" applyFont="1" applyFill="1" applyBorder="1" applyAlignment="1">
      <alignment horizontal="center"/>
    </xf>
    <xf numFmtId="0" fontId="4" fillId="0" borderId="161" xfId="3" applyBorder="1" applyAlignment="1">
      <alignment horizontal="center"/>
    </xf>
    <xf numFmtId="0" fontId="4" fillId="0" borderId="264" xfId="3" applyBorder="1" applyAlignment="1">
      <alignment horizontal="center"/>
    </xf>
    <xf numFmtId="0" fontId="0" fillId="0" borderId="264" xfId="0" applyBorder="1" applyAlignment="1">
      <alignment horizontal="center"/>
    </xf>
    <xf numFmtId="0" fontId="0" fillId="0" borderId="263" xfId="0" applyBorder="1" applyAlignment="1">
      <alignment horizontal="center"/>
    </xf>
    <xf numFmtId="0" fontId="0" fillId="0" borderId="0" xfId="0" applyAlignment="1">
      <alignment horizontal="left" wrapText="1"/>
    </xf>
    <xf numFmtId="0" fontId="0" fillId="0" borderId="71" xfId="0" applyBorder="1" applyAlignment="1">
      <alignment horizontal="left" vertical="center" wrapText="1"/>
    </xf>
    <xf numFmtId="0" fontId="0" fillId="0" borderId="99" xfId="0" applyBorder="1" applyAlignment="1">
      <alignment horizontal="left" vertical="center" wrapText="1"/>
    </xf>
    <xf numFmtId="0" fontId="0" fillId="0" borderId="38" xfId="0" applyBorder="1" applyAlignment="1">
      <alignment horizontal="left" vertical="center" wrapText="1"/>
    </xf>
    <xf numFmtId="0" fontId="0" fillId="0" borderId="37" xfId="0" applyBorder="1" applyAlignment="1">
      <alignment horizontal="left" vertical="center" wrapText="1"/>
    </xf>
    <xf numFmtId="0" fontId="4" fillId="0" borderId="95" xfId="3" quotePrefix="1" applyBorder="1" applyAlignment="1">
      <alignment horizontal="center"/>
    </xf>
    <xf numFmtId="0" fontId="4" fillId="0" borderId="125" xfId="3" applyBorder="1" applyAlignment="1">
      <alignment horizontal="center"/>
    </xf>
    <xf numFmtId="0" fontId="0" fillId="0" borderId="125" xfId="0" applyBorder="1" applyAlignment="1">
      <alignment horizontal="center"/>
    </xf>
    <xf numFmtId="0" fontId="0" fillId="0" borderId="96" xfId="0" applyBorder="1" applyAlignment="1">
      <alignment horizontal="center"/>
    </xf>
    <xf numFmtId="0" fontId="1" fillId="0" borderId="38" xfId="0" applyFont="1" applyBorder="1" applyAlignment="1">
      <alignment horizontal="center" vertical="center"/>
    </xf>
    <xf numFmtId="0" fontId="1" fillId="0" borderId="37" xfId="0" applyFont="1" applyBorder="1" applyAlignment="1">
      <alignment horizontal="center" vertical="center"/>
    </xf>
    <xf numFmtId="0" fontId="1" fillId="0" borderId="71" xfId="0" applyFont="1" applyBorder="1" applyAlignment="1">
      <alignment horizontal="center" vertical="center"/>
    </xf>
    <xf numFmtId="0" fontId="31" fillId="0" borderId="0" xfId="0" applyFont="1" applyAlignment="1">
      <alignment horizontal="center"/>
    </xf>
    <xf numFmtId="0" fontId="4" fillId="21" borderId="0" xfId="3" applyFill="1" applyBorder="1" applyAlignment="1">
      <alignment horizontal="left"/>
    </xf>
    <xf numFmtId="0" fontId="4" fillId="0" borderId="161" xfId="3" quotePrefix="1" applyBorder="1" applyAlignment="1">
      <alignment horizontal="center"/>
    </xf>
    <xf numFmtId="0" fontId="4" fillId="0" borderId="264" xfId="3" quotePrefix="1" applyBorder="1" applyAlignment="1">
      <alignment horizontal="center"/>
    </xf>
    <xf numFmtId="0" fontId="4" fillId="0" borderId="161" xfId="3" applyBorder="1" applyAlignment="1">
      <alignment horizontal="center" wrapText="1"/>
    </xf>
    <xf numFmtId="0" fontId="4" fillId="0" borderId="264" xfId="3" applyBorder="1" applyAlignment="1">
      <alignment horizontal="center" wrapText="1"/>
    </xf>
    <xf numFmtId="0" fontId="0" fillId="0" borderId="264" xfId="0" applyBorder="1" applyAlignment="1">
      <alignment horizontal="center" wrapText="1"/>
    </xf>
    <xf numFmtId="0" fontId="0" fillId="0" borderId="263" xfId="0" applyBorder="1" applyAlignment="1">
      <alignment horizontal="center" wrapText="1"/>
    </xf>
    <xf numFmtId="0" fontId="4" fillId="0" borderId="97" xfId="3" applyBorder="1" applyAlignment="1">
      <alignment horizontal="center"/>
    </xf>
    <xf numFmtId="0" fontId="4" fillId="0" borderId="160" xfId="3" applyBorder="1" applyAlignment="1">
      <alignment horizontal="center"/>
    </xf>
    <xf numFmtId="0" fontId="0" fillId="0" borderId="160" xfId="0" applyBorder="1" applyAlignment="1">
      <alignment horizontal="center"/>
    </xf>
    <xf numFmtId="0" fontId="0" fillId="0" borderId="98" xfId="0" applyBorder="1" applyAlignment="1">
      <alignment horizontal="center"/>
    </xf>
    <xf numFmtId="0" fontId="91" fillId="35" borderId="41" xfId="4" applyFont="1" applyFill="1" applyBorder="1" applyAlignment="1">
      <alignment horizontal="left" vertical="center"/>
    </xf>
    <xf numFmtId="0" fontId="92" fillId="35" borderId="71" xfId="4" applyFont="1" applyFill="1" applyBorder="1" applyAlignment="1">
      <alignment horizontal="center" vertical="center"/>
    </xf>
    <xf numFmtId="0" fontId="92" fillId="35" borderId="72" xfId="4" applyFont="1" applyFill="1" applyBorder="1" applyAlignment="1">
      <alignment horizontal="center" vertical="center"/>
    </xf>
    <xf numFmtId="0" fontId="88" fillId="0" borderId="71" xfId="4" applyFont="1" applyBorder="1" applyAlignment="1">
      <alignment horizontal="center" vertical="center"/>
    </xf>
    <xf numFmtId="0" fontId="88" fillId="0" borderId="73" xfId="4" applyFont="1" applyBorder="1" applyAlignment="1">
      <alignment horizontal="center" vertical="center"/>
    </xf>
    <xf numFmtId="0" fontId="90" fillId="0" borderId="38" xfId="4" applyFont="1" applyBorder="1" applyAlignment="1">
      <alignment horizontal="center" vertical="top"/>
    </xf>
    <xf numFmtId="0" fontId="90" fillId="0" borderId="42" xfId="4" applyFont="1" applyBorder="1" applyAlignment="1">
      <alignment horizontal="center" vertical="top"/>
    </xf>
    <xf numFmtId="0" fontId="92" fillId="35" borderId="38" xfId="4" applyFont="1" applyFill="1" applyBorder="1" applyAlignment="1">
      <alignment horizontal="center" vertical="center"/>
    </xf>
    <xf numFmtId="0" fontId="92" fillId="35" borderId="42" xfId="4" applyFont="1" applyFill="1" applyBorder="1" applyAlignment="1">
      <alignment horizontal="center" vertical="center"/>
    </xf>
    <xf numFmtId="0" fontId="88" fillId="0" borderId="38" xfId="0" applyFont="1" applyBorder="1" applyAlignment="1">
      <alignment horizontal="center" vertical="center"/>
    </xf>
    <xf numFmtId="0" fontId="88" fillId="0" borderId="42" xfId="0" applyFont="1" applyBorder="1" applyAlignment="1">
      <alignment horizontal="center" vertical="center"/>
    </xf>
    <xf numFmtId="0" fontId="92" fillId="35" borderId="170" xfId="4" applyFont="1" applyFill="1" applyBorder="1" applyAlignment="1">
      <alignment horizontal="center" vertical="center"/>
    </xf>
    <xf numFmtId="0" fontId="92" fillId="35" borderId="174" xfId="4" applyFont="1" applyFill="1" applyBorder="1" applyAlignment="1">
      <alignment horizontal="center" vertical="center"/>
    </xf>
    <xf numFmtId="0" fontId="4" fillId="0" borderId="38" xfId="3" applyBorder="1" applyAlignment="1">
      <alignment horizontal="center" vertical="center" wrapText="1"/>
    </xf>
    <xf numFmtId="0" fontId="96" fillId="0" borderId="42" xfId="3" applyFont="1" applyBorder="1" applyAlignment="1">
      <alignment horizontal="center" vertical="center" wrapText="1"/>
    </xf>
    <xf numFmtId="0" fontId="92" fillId="35" borderId="41" xfId="4" applyFont="1" applyFill="1" applyBorder="1" applyAlignment="1">
      <alignment horizontal="center" vertical="center"/>
    </xf>
    <xf numFmtId="0" fontId="88" fillId="0" borderId="38" xfId="4" applyFont="1" applyBorder="1" applyAlignment="1">
      <alignment horizontal="center" vertical="center"/>
    </xf>
    <xf numFmtId="0" fontId="88" fillId="0" borderId="41" xfId="4" applyFont="1" applyBorder="1" applyAlignment="1">
      <alignment horizontal="center" vertical="center"/>
    </xf>
    <xf numFmtId="0" fontId="88" fillId="0" borderId="38" xfId="0" applyFont="1" applyBorder="1" applyAlignment="1">
      <alignment horizontal="center" vertical="center" wrapText="1"/>
    </xf>
    <xf numFmtId="0" fontId="88" fillId="0" borderId="42" xfId="0" applyFont="1" applyBorder="1" applyAlignment="1">
      <alignment horizontal="center" vertical="center" wrapText="1"/>
    </xf>
    <xf numFmtId="0" fontId="96" fillId="0" borderId="38" xfId="3" applyFont="1" applyBorder="1" applyAlignment="1">
      <alignment horizontal="center" vertical="center" wrapText="1"/>
    </xf>
    <xf numFmtId="0" fontId="42" fillId="2" borderId="0" xfId="0" applyFont="1" applyFill="1"/>
    <xf numFmtId="0" fontId="42" fillId="2" borderId="74" xfId="0" applyFont="1" applyFill="1" applyBorder="1"/>
    <xf numFmtId="0" fontId="86" fillId="0" borderId="0" xfId="3" applyFont="1" applyBorder="1" applyAlignment="1"/>
    <xf numFmtId="0" fontId="86" fillId="0" borderId="74" xfId="3" applyFont="1" applyBorder="1" applyAlignment="1"/>
    <xf numFmtId="0" fontId="4" fillId="2" borderId="76" xfId="3" applyFill="1" applyBorder="1" applyAlignment="1"/>
    <xf numFmtId="0" fontId="86" fillId="2" borderId="76" xfId="3" applyFont="1" applyFill="1" applyBorder="1" applyAlignment="1"/>
    <xf numFmtId="0" fontId="86" fillId="2" borderId="77" xfId="3" applyFont="1" applyFill="1" applyBorder="1" applyAlignment="1"/>
    <xf numFmtId="0" fontId="92" fillId="35" borderId="93" xfId="15" applyFont="1" applyFill="1" applyBorder="1" applyAlignment="1">
      <alignment vertical="center"/>
    </xf>
    <xf numFmtId="0" fontId="92" fillId="35" borderId="72" xfId="15" applyFont="1" applyFill="1" applyBorder="1" applyAlignment="1">
      <alignment vertical="center"/>
    </xf>
    <xf numFmtId="0" fontId="92" fillId="35" borderId="73" xfId="15" applyFont="1" applyFill="1" applyBorder="1" applyAlignment="1">
      <alignment vertical="center"/>
    </xf>
    <xf numFmtId="0" fontId="42" fillId="2" borderId="72" xfId="0" applyFont="1" applyFill="1" applyBorder="1"/>
    <xf numFmtId="0" fontId="42" fillId="2" borderId="73" xfId="0" applyFont="1" applyFill="1" applyBorder="1"/>
    <xf numFmtId="0" fontId="97" fillId="35" borderId="38" xfId="0" applyFont="1" applyFill="1" applyBorder="1" applyAlignment="1">
      <alignment horizontal="left" vertical="center"/>
    </xf>
    <xf numFmtId="0" fontId="97" fillId="35" borderId="41" xfId="0" applyFont="1" applyFill="1" applyBorder="1" applyAlignment="1">
      <alignment horizontal="left" vertical="center"/>
    </xf>
    <xf numFmtId="0" fontId="50" fillId="23" borderId="57" xfId="14" applyFont="1" applyFill="1" applyBorder="1" applyAlignment="1">
      <alignment horizontal="left" vertical="center"/>
    </xf>
    <xf numFmtId="0" fontId="50" fillId="23" borderId="62" xfId="14" applyFont="1" applyFill="1" applyBorder="1" applyAlignment="1">
      <alignment horizontal="left" vertical="center"/>
    </xf>
    <xf numFmtId="0" fontId="50" fillId="23" borderId="57" xfId="15" applyFont="1" applyFill="1" applyBorder="1" applyAlignment="1">
      <alignment horizontal="left" vertical="center"/>
    </xf>
    <xf numFmtId="0" fontId="50" fillId="23" borderId="62" xfId="15" applyFont="1" applyFill="1" applyBorder="1" applyAlignment="1">
      <alignment horizontal="left" vertical="center"/>
    </xf>
    <xf numFmtId="0" fontId="102" fillId="6" borderId="39" xfId="0" applyFont="1" applyFill="1" applyBorder="1" applyAlignment="1">
      <alignment horizontal="center"/>
    </xf>
    <xf numFmtId="0" fontId="102" fillId="6" borderId="40" xfId="0" applyFont="1" applyFill="1" applyBorder="1" applyAlignment="1">
      <alignment horizontal="center"/>
    </xf>
    <xf numFmtId="0" fontId="46" fillId="0" borderId="38" xfId="0" applyFont="1" applyBorder="1" applyAlignment="1">
      <alignment horizontal="center"/>
    </xf>
    <xf numFmtId="0" fontId="46" fillId="0" borderId="41" xfId="0" applyFont="1" applyBorder="1" applyAlignment="1">
      <alignment horizontal="center"/>
    </xf>
    <xf numFmtId="0" fontId="46" fillId="0" borderId="102" xfId="0" applyFont="1" applyBorder="1" applyAlignment="1">
      <alignment horizontal="center"/>
    </xf>
    <xf numFmtId="0" fontId="42" fillId="0" borderId="176" xfId="0" applyFont="1" applyBorder="1" applyAlignment="1">
      <alignment horizontal="center" wrapText="1"/>
    </xf>
    <xf numFmtId="0" fontId="42" fillId="0" borderId="41" xfId="0" applyFont="1" applyBorder="1" applyAlignment="1">
      <alignment horizontal="center" wrapText="1"/>
    </xf>
    <xf numFmtId="0" fontId="42" fillId="0" borderId="42" xfId="0" applyFont="1" applyBorder="1" applyAlignment="1">
      <alignment horizontal="center" wrapText="1"/>
    </xf>
    <xf numFmtId="0" fontId="43" fillId="6" borderId="254" xfId="0" applyFont="1" applyFill="1" applyBorder="1" applyAlignment="1">
      <alignment horizontal="center"/>
    </xf>
    <xf numFmtId="0" fontId="43" fillId="6" borderId="260" xfId="0" applyFont="1" applyFill="1" applyBorder="1" applyAlignment="1">
      <alignment horizontal="center"/>
    </xf>
    <xf numFmtId="0" fontId="43" fillId="0" borderId="262" xfId="0" applyFont="1" applyBorder="1" applyAlignment="1">
      <alignment horizontal="center" vertical="center"/>
    </xf>
    <xf numFmtId="0" fontId="43" fillId="0" borderId="110" xfId="0" applyFont="1" applyBorder="1" applyAlignment="1">
      <alignment horizontal="center" vertical="center"/>
    </xf>
    <xf numFmtId="0" fontId="43" fillId="0" borderId="105" xfId="0" applyFont="1" applyBorder="1" applyAlignment="1">
      <alignment horizontal="center" vertical="center"/>
    </xf>
    <xf numFmtId="0" fontId="43" fillId="0" borderId="106" xfId="0" applyFont="1" applyBorder="1" applyAlignment="1">
      <alignment horizontal="center" vertical="center"/>
    </xf>
    <xf numFmtId="0" fontId="92" fillId="35" borderId="73" xfId="4" applyFont="1" applyFill="1" applyBorder="1" applyAlignment="1">
      <alignment horizontal="center" vertical="center"/>
    </xf>
    <xf numFmtId="184" fontId="52" fillId="3" borderId="79" xfId="0" applyNumberFormat="1" applyFont="1" applyFill="1" applyBorder="1" applyAlignment="1">
      <alignment horizontal="center"/>
    </xf>
    <xf numFmtId="184" fontId="52" fillId="3" borderId="80" xfId="0" applyNumberFormat="1" applyFont="1" applyFill="1" applyBorder="1" applyAlignment="1">
      <alignment horizontal="center"/>
    </xf>
    <xf numFmtId="0" fontId="43" fillId="23" borderId="65" xfId="0" applyFont="1" applyFill="1" applyBorder="1" applyAlignment="1">
      <alignment horizontal="center"/>
    </xf>
    <xf numFmtId="0" fontId="52" fillId="3" borderId="264" xfId="0" applyFont="1" applyFill="1" applyBorder="1" applyAlignment="1">
      <alignment horizontal="center"/>
    </xf>
    <xf numFmtId="184" fontId="43" fillId="33" borderId="264" xfId="13" applyNumberFormat="1" applyFont="1" applyFill="1" applyBorder="1" applyAlignment="1">
      <alignment horizontal="center"/>
    </xf>
    <xf numFmtId="182" fontId="42" fillId="0" borderId="254" xfId="2" applyNumberFormat="1" applyFont="1" applyBorder="1" applyAlignment="1">
      <alignment horizontal="center"/>
    </xf>
    <xf numFmtId="182" fontId="42" fillId="0" borderId="267" xfId="2" applyNumberFormat="1" applyFont="1" applyBorder="1" applyAlignment="1">
      <alignment horizontal="center"/>
    </xf>
    <xf numFmtId="0" fontId="42" fillId="0" borderId="254" xfId="0" applyFont="1" applyBorder="1" applyAlignment="1">
      <alignment horizontal="center"/>
    </xf>
    <xf numFmtId="0" fontId="42" fillId="0" borderId="267" xfId="0" applyFont="1" applyBorder="1" applyAlignment="1">
      <alignment horizontal="center"/>
    </xf>
    <xf numFmtId="184" fontId="52" fillId="3" borderId="81" xfId="0" applyNumberFormat="1" applyFont="1" applyFill="1" applyBorder="1" applyAlignment="1">
      <alignment horizontal="center"/>
    </xf>
    <xf numFmtId="0" fontId="62" fillId="35" borderId="38" xfId="0" applyFont="1" applyFill="1" applyBorder="1" applyAlignment="1">
      <alignment horizontal="center"/>
    </xf>
    <xf numFmtId="0" fontId="62" fillId="35" borderId="41" xfId="0" applyFont="1" applyFill="1" applyBorder="1" applyAlignment="1">
      <alignment horizontal="center"/>
    </xf>
    <xf numFmtId="0" fontId="62" fillId="35" borderId="42" xfId="0" applyFont="1" applyFill="1" applyBorder="1" applyAlignment="1">
      <alignment horizontal="center"/>
    </xf>
    <xf numFmtId="0" fontId="52" fillId="4" borderId="262" xfId="4" applyFont="1" applyFill="1" applyBorder="1" applyAlignment="1">
      <alignment horizontal="left" vertical="center" wrapText="1"/>
    </xf>
    <xf numFmtId="0" fontId="89" fillId="4" borderId="110" xfId="4" applyFont="1" applyFill="1" applyBorder="1" applyAlignment="1">
      <alignment horizontal="left" vertical="center" wrapText="1"/>
    </xf>
    <xf numFmtId="10" fontId="50" fillId="5" borderId="266" xfId="5" applyNumberFormat="1" applyFont="1" applyFill="1" applyBorder="1" applyAlignment="1">
      <alignment horizontal="right" vertical="center"/>
    </xf>
    <xf numFmtId="10" fontId="50" fillId="5" borderId="90" xfId="5" applyNumberFormat="1" applyFont="1" applyFill="1" applyBorder="1" applyAlignment="1">
      <alignment horizontal="right" vertical="center"/>
    </xf>
    <xf numFmtId="0" fontId="52" fillId="35" borderId="38" xfId="0" applyFont="1" applyFill="1" applyBorder="1" applyAlignment="1">
      <alignment horizontal="center" vertical="center"/>
    </xf>
    <xf numFmtId="0" fontId="52" fillId="35" borderId="41" xfId="0" applyFont="1" applyFill="1" applyBorder="1" applyAlignment="1">
      <alignment horizontal="center" vertical="center"/>
    </xf>
    <xf numFmtId="0" fontId="52" fillId="35" borderId="42" xfId="0" applyFont="1" applyFill="1" applyBorder="1" applyAlignment="1">
      <alignment horizontal="center" vertical="center"/>
    </xf>
    <xf numFmtId="0" fontId="50" fillId="0" borderId="0" xfId="13" applyNumberFormat="1" applyFont="1" applyFill="1" applyBorder="1" applyAlignment="1">
      <alignment horizontal="center" vertical="center"/>
    </xf>
    <xf numFmtId="0" fontId="42" fillId="2" borderId="154" xfId="0" applyFont="1" applyFill="1" applyBorder="1" applyAlignment="1">
      <alignment horizontal="left" wrapText="1"/>
    </xf>
    <xf numFmtId="0" fontId="42" fillId="2" borderId="65" xfId="0" applyFont="1" applyFill="1" applyBorder="1" applyAlignment="1">
      <alignment horizontal="left" wrapText="1"/>
    </xf>
    <xf numFmtId="0" fontId="46" fillId="0" borderId="264" xfId="0" applyFont="1" applyBorder="1" applyAlignment="1">
      <alignment horizontal="center"/>
    </xf>
    <xf numFmtId="0" fontId="91" fillId="0" borderId="0" xfId="4" applyFont="1" applyAlignment="1">
      <alignment horizontal="left" vertical="center"/>
    </xf>
    <xf numFmtId="184" fontId="42" fillId="23" borderId="255" xfId="0" applyNumberFormat="1" applyFont="1" applyFill="1" applyBorder="1" applyAlignment="1">
      <alignment horizontal="center"/>
    </xf>
    <xf numFmtId="184" fontId="42" fillId="23" borderId="268" xfId="0" applyNumberFormat="1" applyFont="1" applyFill="1" applyBorder="1" applyAlignment="1">
      <alignment horizontal="center"/>
    </xf>
    <xf numFmtId="0" fontId="46" fillId="0" borderId="267" xfId="0" applyFont="1" applyBorder="1" applyAlignment="1">
      <alignment horizontal="center"/>
    </xf>
    <xf numFmtId="0" fontId="41" fillId="35" borderId="38" xfId="0" applyFont="1" applyFill="1" applyBorder="1" applyAlignment="1">
      <alignment horizontal="center"/>
    </xf>
    <xf numFmtId="0" fontId="41" fillId="35" borderId="41" xfId="0" applyFont="1" applyFill="1" applyBorder="1" applyAlignment="1">
      <alignment horizontal="center"/>
    </xf>
    <xf numFmtId="0" fontId="41" fillId="35" borderId="42" xfId="0" applyFont="1" applyFill="1" applyBorder="1" applyAlignment="1">
      <alignment horizontal="center"/>
    </xf>
    <xf numFmtId="0" fontId="4" fillId="0" borderId="90" xfId="3" applyBorder="1" applyAlignment="1">
      <alignment horizontal="center" vertical="center" wrapText="1"/>
    </xf>
    <xf numFmtId="0" fontId="4" fillId="0" borderId="92" xfId="3" applyBorder="1" applyAlignment="1">
      <alignment horizontal="center" vertical="center" wrapText="1"/>
    </xf>
    <xf numFmtId="0" fontId="41" fillId="35" borderId="254" xfId="0" applyFont="1" applyFill="1" applyBorder="1" applyAlignment="1">
      <alignment horizontal="center"/>
    </xf>
    <xf numFmtId="0" fontId="41" fillId="35" borderId="258" xfId="0" applyFont="1" applyFill="1" applyBorder="1" applyAlignment="1">
      <alignment horizontal="center"/>
    </xf>
    <xf numFmtId="0" fontId="42" fillId="33" borderId="161" xfId="0" applyFont="1" applyFill="1" applyBorder="1" applyAlignment="1">
      <alignment horizontal="left"/>
    </xf>
    <xf numFmtId="0" fontId="42" fillId="33" borderId="254" xfId="0" applyFont="1" applyFill="1" applyBorder="1" applyAlignment="1">
      <alignment horizontal="left"/>
    </xf>
    <xf numFmtId="0" fontId="42" fillId="0" borderId="0" xfId="0" applyFont="1" applyAlignment="1">
      <alignment horizontal="left"/>
    </xf>
    <xf numFmtId="0" fontId="42" fillId="23" borderId="161" xfId="0" applyFont="1" applyFill="1" applyBorder="1" applyAlignment="1">
      <alignment horizontal="left"/>
    </xf>
    <xf numFmtId="0" fontId="42" fillId="23" borderId="254" xfId="0" applyFont="1" applyFill="1" applyBorder="1" applyAlignment="1">
      <alignment horizontal="left"/>
    </xf>
    <xf numFmtId="178" fontId="42" fillId="23" borderId="99" xfId="0" applyNumberFormat="1" applyFont="1" applyFill="1" applyBorder="1" applyAlignment="1">
      <alignment horizontal="center" vertical="center"/>
    </xf>
    <xf numFmtId="178" fontId="42" fillId="23" borderId="62" xfId="0" applyNumberFormat="1" applyFont="1" applyFill="1" applyBorder="1" applyAlignment="1">
      <alignment horizontal="center" vertical="center"/>
    </xf>
    <xf numFmtId="178" fontId="42" fillId="23" borderId="133" xfId="0" applyNumberFormat="1" applyFont="1" applyFill="1" applyBorder="1" applyAlignment="1">
      <alignment horizontal="center" vertical="center"/>
    </xf>
    <xf numFmtId="184" fontId="42" fillId="33" borderId="149" xfId="0" applyNumberFormat="1" applyFont="1" applyFill="1" applyBorder="1" applyAlignment="1">
      <alignment horizontal="center" vertical="center"/>
    </xf>
    <xf numFmtId="0" fontId="64" fillId="23" borderId="151" xfId="0" applyFont="1" applyFill="1" applyBorder="1" applyAlignment="1">
      <alignment horizontal="center"/>
    </xf>
    <xf numFmtId="0" fontId="64" fillId="23" borderId="174" xfId="0" applyFont="1" applyFill="1" applyBorder="1" applyAlignment="1">
      <alignment horizontal="center"/>
    </xf>
    <xf numFmtId="0" fontId="64" fillId="23" borderId="71" xfId="0" applyFont="1" applyFill="1" applyBorder="1" applyAlignment="1">
      <alignment horizontal="center"/>
    </xf>
    <xf numFmtId="0" fontId="64" fillId="23" borderId="72" xfId="0" applyFont="1" applyFill="1" applyBorder="1" applyAlignment="1">
      <alignment horizontal="center"/>
    </xf>
    <xf numFmtId="0" fontId="64" fillId="23" borderId="73" xfId="0" applyFont="1" applyFill="1" applyBorder="1" applyAlignment="1">
      <alignment horizontal="center"/>
    </xf>
    <xf numFmtId="166" fontId="52" fillId="24" borderId="75" xfId="0" applyNumberFormat="1" applyFont="1" applyFill="1" applyBorder="1" applyAlignment="1">
      <alignment horizontal="left"/>
    </xf>
    <xf numFmtId="166" fontId="52" fillId="24" borderId="76" xfId="0" applyNumberFormat="1" applyFont="1" applyFill="1" applyBorder="1" applyAlignment="1">
      <alignment horizontal="left"/>
    </xf>
    <xf numFmtId="0" fontId="84" fillId="34" borderId="265" xfId="0" applyFont="1" applyFill="1" applyBorder="1" applyAlignment="1">
      <alignment horizontal="left"/>
    </xf>
    <xf numFmtId="0" fontId="84" fillId="34" borderId="255" xfId="0" applyFont="1" applyFill="1" applyBorder="1" applyAlignment="1">
      <alignment horizontal="left"/>
    </xf>
    <xf numFmtId="0" fontId="52" fillId="35" borderId="95" xfId="0" applyFont="1" applyFill="1" applyBorder="1" applyAlignment="1">
      <alignment horizontal="center"/>
    </xf>
    <xf numFmtId="0" fontId="52" fillId="35" borderId="125" xfId="0" applyFont="1" applyFill="1" applyBorder="1" applyAlignment="1">
      <alignment horizontal="center"/>
    </xf>
    <xf numFmtId="0" fontId="52" fillId="35" borderId="126" xfId="0" applyFont="1" applyFill="1" applyBorder="1" applyAlignment="1">
      <alignment horizontal="center"/>
    </xf>
    <xf numFmtId="0" fontId="42" fillId="32" borderId="161" xfId="0" applyFont="1" applyFill="1" applyBorder="1" applyAlignment="1">
      <alignment horizontal="left"/>
    </xf>
    <xf numFmtId="0" fontId="42" fillId="32" borderId="254" xfId="0" applyFont="1" applyFill="1" applyBorder="1" applyAlignment="1">
      <alignment horizontal="left"/>
    </xf>
    <xf numFmtId="0" fontId="84" fillId="36" borderId="131" xfId="0" applyFont="1" applyFill="1" applyBorder="1" applyAlignment="1">
      <alignment horizontal="left"/>
    </xf>
    <xf numFmtId="0" fontId="84" fillId="36" borderId="130" xfId="0" applyFont="1" applyFill="1" applyBorder="1" applyAlignment="1">
      <alignment horizontal="left"/>
    </xf>
    <xf numFmtId="0" fontId="62" fillId="35" borderId="71" xfId="0" applyFont="1" applyFill="1" applyBorder="1" applyAlignment="1">
      <alignment horizontal="center" vertical="center"/>
    </xf>
    <xf numFmtId="0" fontId="62" fillId="35" borderId="72" xfId="0" applyFont="1" applyFill="1" applyBorder="1" applyAlignment="1">
      <alignment horizontal="center" vertical="center"/>
    </xf>
    <xf numFmtId="0" fontId="62" fillId="35" borderId="73" xfId="0" applyFont="1" applyFill="1" applyBorder="1" applyAlignment="1">
      <alignment horizontal="center" vertical="center"/>
    </xf>
    <xf numFmtId="0" fontId="26" fillId="35" borderId="38" xfId="4" applyFont="1" applyFill="1" applyBorder="1" applyAlignment="1">
      <alignment horizontal="center" vertical="center"/>
    </xf>
    <xf numFmtId="0" fontId="26" fillId="35" borderId="41" xfId="4" applyFont="1" applyFill="1" applyBorder="1" applyAlignment="1">
      <alignment horizontal="center" vertical="center"/>
    </xf>
    <xf numFmtId="0" fontId="26" fillId="35" borderId="42" xfId="4" applyFont="1" applyFill="1" applyBorder="1" applyAlignment="1">
      <alignment horizontal="center" vertical="center"/>
    </xf>
    <xf numFmtId="0" fontId="62" fillId="35" borderId="38" xfId="0" applyFont="1" applyFill="1" applyBorder="1" applyAlignment="1">
      <alignment horizontal="center" vertical="center"/>
    </xf>
    <xf numFmtId="0" fontId="62" fillId="35" borderId="41" xfId="0" applyFont="1" applyFill="1" applyBorder="1" applyAlignment="1">
      <alignment horizontal="center" vertical="center"/>
    </xf>
    <xf numFmtId="0" fontId="62" fillId="35" borderId="42" xfId="0" applyFont="1" applyFill="1" applyBorder="1" applyAlignment="1">
      <alignment horizontal="center" vertical="center"/>
    </xf>
    <xf numFmtId="0" fontId="1" fillId="16" borderId="71" xfId="10" applyFont="1" applyFill="1" applyBorder="1" applyAlignment="1">
      <alignment horizontal="center"/>
    </xf>
    <xf numFmtId="0" fontId="1" fillId="16" borderId="72" xfId="10" applyFont="1" applyFill="1" applyBorder="1" applyAlignment="1">
      <alignment horizontal="center"/>
    </xf>
    <xf numFmtId="0" fontId="1" fillId="16" borderId="73" xfId="10" applyFont="1" applyFill="1" applyBorder="1" applyAlignment="1">
      <alignment horizontal="center"/>
    </xf>
    <xf numFmtId="0" fontId="31" fillId="0" borderId="254" xfId="0" applyFont="1" applyBorder="1" applyAlignment="1">
      <alignment horizontal="center"/>
    </xf>
    <xf numFmtId="0" fontId="0" fillId="0" borderId="258" xfId="0" applyBorder="1" applyAlignment="1">
      <alignment horizontal="center"/>
    </xf>
    <xf numFmtId="0" fontId="0" fillId="0" borderId="267" xfId="0" applyBorder="1" applyAlignment="1">
      <alignment horizontal="center"/>
    </xf>
    <xf numFmtId="0" fontId="8" fillId="7" borderId="39" xfId="0" applyFont="1" applyFill="1" applyBorder="1" applyAlignment="1">
      <alignment horizontal="center"/>
    </xf>
    <xf numFmtId="0" fontId="8" fillId="7" borderId="40" xfId="0" applyFont="1" applyFill="1" applyBorder="1" applyAlignment="1">
      <alignment horizontal="center"/>
    </xf>
    <xf numFmtId="0" fontId="8" fillId="7" borderId="41" xfId="0" applyFont="1" applyFill="1" applyBorder="1" applyAlignment="1">
      <alignment horizontal="center"/>
    </xf>
    <xf numFmtId="0" fontId="8" fillId="0" borderId="38" xfId="0" applyFont="1" applyBorder="1" applyAlignment="1">
      <alignment horizontal="center"/>
    </xf>
    <xf numFmtId="0" fontId="8" fillId="0" borderId="41" xfId="0" applyFont="1" applyBorder="1" applyAlignment="1">
      <alignment horizontal="center"/>
    </xf>
    <xf numFmtId="0" fontId="8" fillId="6" borderId="39" xfId="0" applyFont="1" applyFill="1" applyBorder="1" applyAlignment="1">
      <alignment horizontal="center"/>
    </xf>
    <xf numFmtId="0" fontId="8" fillId="6" borderId="40" xfId="0" applyFont="1" applyFill="1" applyBorder="1" applyAlignment="1">
      <alignment horizontal="center"/>
    </xf>
    <xf numFmtId="0" fontId="8" fillId="0" borderId="42" xfId="0" applyFont="1" applyBorder="1" applyAlignment="1">
      <alignment horizontal="center"/>
    </xf>
    <xf numFmtId="0" fontId="42" fillId="5" borderId="71" xfId="0" applyFont="1" applyFill="1" applyBorder="1" applyAlignment="1">
      <alignment horizontal="center"/>
    </xf>
    <xf numFmtId="0" fontId="42" fillId="5" borderId="73" xfId="0" applyFont="1" applyFill="1" applyBorder="1" applyAlignment="1">
      <alignment horizontal="center"/>
    </xf>
    <xf numFmtId="0" fontId="111" fillId="35" borderId="71" xfId="0" applyFont="1" applyFill="1" applyBorder="1" applyAlignment="1">
      <alignment horizontal="center"/>
    </xf>
    <xf numFmtId="0" fontId="111" fillId="35" borderId="72" xfId="0" applyFont="1" applyFill="1" applyBorder="1" applyAlignment="1">
      <alignment horizontal="center"/>
    </xf>
    <xf numFmtId="0" fontId="111" fillId="35" borderId="73" xfId="0" applyFont="1" applyFill="1" applyBorder="1" applyAlignment="1">
      <alignment horizontal="center"/>
    </xf>
    <xf numFmtId="0" fontId="111" fillId="35" borderId="57" xfId="0" applyFont="1" applyFill="1" applyBorder="1" applyAlignment="1">
      <alignment horizontal="center"/>
    </xf>
    <xf numFmtId="0" fontId="111" fillId="35" borderId="0" xfId="0" applyFont="1" applyFill="1" applyAlignment="1">
      <alignment horizontal="center"/>
    </xf>
    <xf numFmtId="0" fontId="111" fillId="35" borderId="74" xfId="0" applyFont="1" applyFill="1" applyBorder="1" applyAlignment="1">
      <alignment horizontal="center"/>
    </xf>
    <xf numFmtId="0" fontId="111" fillId="35" borderId="163" xfId="0" applyFont="1" applyFill="1" applyBorder="1" applyAlignment="1">
      <alignment horizontal="center"/>
    </xf>
    <xf numFmtId="0" fontId="111" fillId="35" borderId="123" xfId="0" applyFont="1" applyFill="1" applyBorder="1" applyAlignment="1">
      <alignment horizontal="center"/>
    </xf>
    <xf numFmtId="0" fontId="111" fillId="35" borderId="164" xfId="0" applyFont="1" applyFill="1" applyBorder="1" applyAlignment="1">
      <alignment horizontal="center"/>
    </xf>
    <xf numFmtId="0" fontId="7" fillId="35" borderId="38" xfId="0" applyFont="1" applyFill="1" applyBorder="1" applyAlignment="1">
      <alignment horizontal="center"/>
    </xf>
    <xf numFmtId="0" fontId="7" fillId="35" borderId="41" xfId="0" applyFont="1" applyFill="1" applyBorder="1" applyAlignment="1">
      <alignment horizontal="center"/>
    </xf>
    <xf numFmtId="0" fontId="7" fillId="35" borderId="42" xfId="0" applyFont="1" applyFill="1" applyBorder="1" applyAlignment="1">
      <alignment horizontal="center"/>
    </xf>
  </cellXfs>
  <cellStyles count="17">
    <cellStyle name="Comma" xfId="2" builtinId="3"/>
    <cellStyle name="Comma 2" xfId="13" xr:uid="{823CAFF5-EFC0-AD42-B1D4-4E9F58AD7D2B}"/>
    <cellStyle name="Comma 3" xfId="11" xr:uid="{B3DD9FE2-396D-EF4A-904F-55A15D3D5BC0}"/>
    <cellStyle name="Currency" xfId="12" builtinId="4"/>
    <cellStyle name="Heading 1" xfId="8" builtinId="16"/>
    <cellStyle name="Heading 2" xfId="9" builtinId="17"/>
    <cellStyle name="Hyperlink" xfId="3" builtinId="8"/>
    <cellStyle name="Hyperlink 2" xfId="16" xr:uid="{CCDA63C8-57C3-884E-89DF-AE050351EF4D}"/>
    <cellStyle name="Normal" xfId="0" builtinId="0"/>
    <cellStyle name="Normal 16" xfId="10" xr:uid="{038DDA71-C725-0846-8ECF-EFCFAB965E6F}"/>
    <cellStyle name="Normal 2" xfId="6" xr:uid="{FF394FE9-247E-4643-9BEE-BB5B2D5453A5}"/>
    <cellStyle name="Normal 2 2" xfId="14" xr:uid="{CB6BCFC1-3A7D-F94B-853F-F9D72BCCD2A9}"/>
    <cellStyle name="Normal 4" xfId="4" xr:uid="{A3EE4C30-4DDB-BB41-BA6D-69752AD26433}"/>
    <cellStyle name="Normal 5" xfId="15" xr:uid="{8498E15C-E3DA-A24C-BEEF-E86B26A282EA}"/>
    <cellStyle name="Per cent" xfId="1" builtinId="5"/>
    <cellStyle name="Per cent 3" xfId="5" xr:uid="{92E740EB-B8A9-E843-BA25-498EDE99F055}"/>
    <cellStyle name="Title" xfId="7" builtinId="15"/>
  </cellStyles>
  <dxfs count="55">
    <dxf>
      <font>
        <color rgb="FF92D050"/>
      </font>
    </dxf>
    <dxf>
      <font>
        <color rgb="FFFFC000"/>
      </font>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2" defaultPivotStyle="PivotStyleLight16"/>
  <colors>
    <mruColors>
      <color rgb="FFBC9057"/>
      <color rgb="FF156082"/>
      <color rgb="FF0E9ED5"/>
      <color rgb="FFE5D6CC"/>
      <color rgb="FFA6C9ED"/>
      <color rgb="FFE6F2F7"/>
      <color rgb="FFEFDFD0"/>
      <color rgb="FFDECF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GOP &amp; EBITDA Comparison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H"/>
        </a:p>
      </c:txPr>
    </c:title>
    <c:autoTitleDeleted val="0"/>
    <c:plotArea>
      <c:layout/>
      <c:barChart>
        <c:barDir val="col"/>
        <c:grouping val="clustered"/>
        <c:varyColors val="0"/>
        <c:ser>
          <c:idx val="0"/>
          <c:order val="0"/>
          <c:tx>
            <c:strRef>
              <c:f>'APPENDIX 2-Graph Presentation'!$A$6</c:f>
              <c:strCache>
                <c:ptCount val="1"/>
                <c:pt idx="0">
                  <c:v>GOP without Renovations</c:v>
                </c:pt>
              </c:strCache>
            </c:strRef>
          </c:tx>
          <c:spPr>
            <a:solidFill>
              <a:srgbClr val="BC9057"/>
            </a:solidFill>
            <a:ln>
              <a:noFill/>
            </a:ln>
            <a:effectLst/>
          </c:spPr>
          <c:invertIfNegative val="0"/>
          <c:cat>
            <c:numRef>
              <c:f>'APPENDIX 2-Graph Presentation'!$B$4:$K$4</c:f>
              <c:numCache>
                <c:formatCode>General</c:formatCode>
                <c:ptCount val="10"/>
                <c:pt idx="0">
                  <c:v>2026</c:v>
                </c:pt>
                <c:pt idx="1">
                  <c:v>2027</c:v>
                </c:pt>
                <c:pt idx="2">
                  <c:v>2028</c:v>
                </c:pt>
                <c:pt idx="3">
                  <c:v>2029</c:v>
                </c:pt>
                <c:pt idx="4">
                  <c:v>2030</c:v>
                </c:pt>
                <c:pt idx="5">
                  <c:v>2031</c:v>
                </c:pt>
                <c:pt idx="6">
                  <c:v>2032</c:v>
                </c:pt>
                <c:pt idx="7">
                  <c:v>2033</c:v>
                </c:pt>
                <c:pt idx="8">
                  <c:v>2034</c:v>
                </c:pt>
                <c:pt idx="9">
                  <c:v>2035</c:v>
                </c:pt>
              </c:numCache>
            </c:numRef>
          </c:cat>
          <c:val>
            <c:numRef>
              <c:f>'APPENDIX 2-Graph Presentation'!$B$5:$K$5</c:f>
              <c:numCache>
                <c:formatCode>#,##0</c:formatCode>
                <c:ptCount val="10"/>
                <c:pt idx="0">
                  <c:v>2246678.4631292666</c:v>
                </c:pt>
                <c:pt idx="1">
                  <c:v>2526467.0326686092</c:v>
                </c:pt>
                <c:pt idx="2">
                  <c:v>2777202.8800657718</c:v>
                </c:pt>
                <c:pt idx="3">
                  <c:v>3516944.6119435211</c:v>
                </c:pt>
                <c:pt idx="4">
                  <c:v>3722151.5168315037</c:v>
                </c:pt>
                <c:pt idx="5">
                  <c:v>3747986.2577490052</c:v>
                </c:pt>
                <c:pt idx="6">
                  <c:v>3778166.808273939</c:v>
                </c:pt>
                <c:pt idx="7">
                  <c:v>3781851.4937010705</c:v>
                </c:pt>
                <c:pt idx="8">
                  <c:v>3798647.5078895036</c:v>
                </c:pt>
                <c:pt idx="9">
                  <c:v>3815345.058885579</c:v>
                </c:pt>
              </c:numCache>
            </c:numRef>
          </c:val>
          <c:extLst>
            <c:ext xmlns:c16="http://schemas.microsoft.com/office/drawing/2014/chart" uri="{C3380CC4-5D6E-409C-BE32-E72D297353CC}">
              <c16:uniqueId val="{00000000-7E0E-DF4E-9333-CD11DF07F174}"/>
            </c:ext>
          </c:extLst>
        </c:ser>
        <c:ser>
          <c:idx val="1"/>
          <c:order val="1"/>
          <c:tx>
            <c:strRef>
              <c:f>'APPENDIX 2-Graph Presentation'!$A$5</c:f>
              <c:strCache>
                <c:ptCount val="1"/>
                <c:pt idx="0">
                  <c:v>GOP with Renovations</c:v>
                </c:pt>
              </c:strCache>
            </c:strRef>
          </c:tx>
          <c:spPr>
            <a:solidFill>
              <a:srgbClr val="0E9ED5"/>
            </a:solidFill>
            <a:ln>
              <a:noFill/>
            </a:ln>
            <a:effectLst/>
          </c:spPr>
          <c:invertIfNegative val="0"/>
          <c:cat>
            <c:numRef>
              <c:f>'APPENDIX 2-Graph Presentation'!$B$4:$K$4</c:f>
              <c:numCache>
                <c:formatCode>General</c:formatCode>
                <c:ptCount val="10"/>
                <c:pt idx="0">
                  <c:v>2026</c:v>
                </c:pt>
                <c:pt idx="1">
                  <c:v>2027</c:v>
                </c:pt>
                <c:pt idx="2">
                  <c:v>2028</c:v>
                </c:pt>
                <c:pt idx="3">
                  <c:v>2029</c:v>
                </c:pt>
                <c:pt idx="4">
                  <c:v>2030</c:v>
                </c:pt>
                <c:pt idx="5">
                  <c:v>2031</c:v>
                </c:pt>
                <c:pt idx="6">
                  <c:v>2032</c:v>
                </c:pt>
                <c:pt idx="7">
                  <c:v>2033</c:v>
                </c:pt>
                <c:pt idx="8">
                  <c:v>2034</c:v>
                </c:pt>
                <c:pt idx="9">
                  <c:v>2035</c:v>
                </c:pt>
              </c:numCache>
            </c:numRef>
          </c:cat>
          <c:val>
            <c:numRef>
              <c:f>'APPENDIX 2-Graph Presentation'!$B$6:$K$6</c:f>
              <c:numCache>
                <c:formatCode>#,##0</c:formatCode>
                <c:ptCount val="10"/>
                <c:pt idx="0">
                  <c:v>1844673.285322939</c:v>
                </c:pt>
                <c:pt idx="1">
                  <c:v>1845766.909889899</c:v>
                </c:pt>
                <c:pt idx="2">
                  <c:v>1855662.4893640154</c:v>
                </c:pt>
                <c:pt idx="3">
                  <c:v>1847011.0857509119</c:v>
                </c:pt>
                <c:pt idx="4">
                  <c:v>1847141.3680777424</c:v>
                </c:pt>
                <c:pt idx="5">
                  <c:v>1840520.0468761446</c:v>
                </c:pt>
                <c:pt idx="6">
                  <c:v>1842842.7794254897</c:v>
                </c:pt>
                <c:pt idx="7">
                  <c:v>1825824.8053231493</c:v>
                </c:pt>
                <c:pt idx="8">
                  <c:v>1817724.8114724997</c:v>
                </c:pt>
                <c:pt idx="9">
                  <c:v>1809105.3553734429</c:v>
                </c:pt>
              </c:numCache>
            </c:numRef>
          </c:val>
          <c:extLst>
            <c:ext xmlns:c16="http://schemas.microsoft.com/office/drawing/2014/chart" uri="{C3380CC4-5D6E-409C-BE32-E72D297353CC}">
              <c16:uniqueId val="{00000001-7E0E-DF4E-9333-CD11DF07F174}"/>
            </c:ext>
          </c:extLst>
        </c:ser>
        <c:dLbls>
          <c:showLegendKey val="0"/>
          <c:showVal val="0"/>
          <c:showCatName val="0"/>
          <c:showSerName val="0"/>
          <c:showPercent val="0"/>
          <c:showBubbleSize val="0"/>
        </c:dLbls>
        <c:gapWidth val="112"/>
        <c:axId val="386501216"/>
        <c:axId val="214909647"/>
      </c:barChart>
      <c:lineChart>
        <c:grouping val="standard"/>
        <c:varyColors val="0"/>
        <c:ser>
          <c:idx val="2"/>
          <c:order val="2"/>
          <c:tx>
            <c:strRef>
              <c:f>'APPENDIX 2-Graph Presentation'!$A$9</c:f>
              <c:strCache>
                <c:ptCount val="1"/>
                <c:pt idx="0">
                  <c:v>EBITDA with Renovations</c:v>
                </c:pt>
              </c:strCache>
            </c:strRef>
          </c:tx>
          <c:spPr>
            <a:ln w="28575" cap="rnd">
              <a:solidFill>
                <a:schemeClr val="accent2">
                  <a:lumMod val="40000"/>
                  <a:lumOff val="60000"/>
                </a:schemeClr>
              </a:solidFill>
              <a:round/>
            </a:ln>
            <a:effectLst/>
          </c:spPr>
          <c:marker>
            <c:symbol val="none"/>
          </c:marker>
          <c:val>
            <c:numRef>
              <c:f>'APPENDIX 2-Graph Presentation'!$B$9:$K$9</c:f>
              <c:numCache>
                <c:formatCode>#,##0</c:formatCode>
                <c:ptCount val="10"/>
                <c:pt idx="0">
                  <c:v>1543913.7503006863</c:v>
                </c:pt>
                <c:pt idx="1">
                  <c:v>1770470.1329690199</c:v>
                </c:pt>
                <c:pt idx="2">
                  <c:v>1956711.2368456507</c:v>
                </c:pt>
                <c:pt idx="3">
                  <c:v>2546363.4652525028</c:v>
                </c:pt>
                <c:pt idx="4">
                  <c:v>2705809.3400330381</c:v>
                </c:pt>
                <c:pt idx="5">
                  <c:v>2721493.9291204736</c:v>
                </c:pt>
                <c:pt idx="6">
                  <c:v>2740548.7494552881</c:v>
                </c:pt>
                <c:pt idx="7">
                  <c:v>2738275.4475251948</c:v>
                </c:pt>
                <c:pt idx="8">
                  <c:v>2746387.3820961909</c:v>
                </c:pt>
                <c:pt idx="9">
                  <c:v>2754304.2838253365</c:v>
                </c:pt>
              </c:numCache>
            </c:numRef>
          </c:val>
          <c:smooth val="0"/>
          <c:extLst>
            <c:ext xmlns:c16="http://schemas.microsoft.com/office/drawing/2014/chart" uri="{C3380CC4-5D6E-409C-BE32-E72D297353CC}">
              <c16:uniqueId val="{00000002-7E0E-DF4E-9333-CD11DF07F174}"/>
            </c:ext>
          </c:extLst>
        </c:ser>
        <c:ser>
          <c:idx val="3"/>
          <c:order val="3"/>
          <c:tx>
            <c:strRef>
              <c:f>'APPENDIX 2-Graph Presentation'!$A$10</c:f>
              <c:strCache>
                <c:ptCount val="1"/>
                <c:pt idx="0">
                  <c:v>EBITDA without Renovations</c:v>
                </c:pt>
              </c:strCache>
            </c:strRef>
          </c:tx>
          <c:spPr>
            <a:ln w="28575" cap="rnd">
              <a:solidFill>
                <a:schemeClr val="tx2">
                  <a:lumMod val="25000"/>
                  <a:lumOff val="75000"/>
                </a:schemeClr>
              </a:solidFill>
              <a:round/>
            </a:ln>
            <a:effectLst/>
          </c:spPr>
          <c:marker>
            <c:symbol val="none"/>
          </c:marker>
          <c:val>
            <c:numRef>
              <c:f>'APPENDIX 2-Graph Presentation'!$B$10:$K$10</c:f>
              <c:numCache>
                <c:formatCode>#,##0</c:formatCode>
                <c:ptCount val="10"/>
                <c:pt idx="0">
                  <c:v>1544754.2870320673</c:v>
                </c:pt>
                <c:pt idx="1">
                  <c:v>1543862.1665493797</c:v>
                </c:pt>
                <c:pt idx="2">
                  <c:v>1551040.1875566253</c:v>
                </c:pt>
                <c:pt idx="3">
                  <c:v>1541074.6981392328</c:v>
                </c:pt>
                <c:pt idx="4">
                  <c:v>1539158.6695333601</c:v>
                </c:pt>
                <c:pt idx="5">
                  <c:v>1530968.6087182206</c:v>
                </c:pt>
                <c:pt idx="6">
                  <c:v>1530978.7921389891</c:v>
                </c:pt>
                <c:pt idx="7">
                  <c:v>1513098.0419653577</c:v>
                </c:pt>
                <c:pt idx="8">
                  <c:v>1503391.2599024349</c:v>
                </c:pt>
                <c:pt idx="9">
                  <c:v>1493152.1287435722</c:v>
                </c:pt>
              </c:numCache>
            </c:numRef>
          </c:val>
          <c:smooth val="0"/>
          <c:extLst>
            <c:ext xmlns:c16="http://schemas.microsoft.com/office/drawing/2014/chart" uri="{C3380CC4-5D6E-409C-BE32-E72D297353CC}">
              <c16:uniqueId val="{00000003-7E0E-DF4E-9333-CD11DF07F174}"/>
            </c:ext>
          </c:extLst>
        </c:ser>
        <c:dLbls>
          <c:showLegendKey val="0"/>
          <c:showVal val="0"/>
          <c:showCatName val="0"/>
          <c:showSerName val="0"/>
          <c:showPercent val="0"/>
          <c:showBubbleSize val="0"/>
        </c:dLbls>
        <c:marker val="1"/>
        <c:smooth val="0"/>
        <c:axId val="386501216"/>
        <c:axId val="214909647"/>
      </c:lineChart>
      <c:catAx>
        <c:axId val="38650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CH"/>
          </a:p>
        </c:txPr>
        <c:crossAx val="214909647"/>
        <c:crosses val="autoZero"/>
        <c:auto val="1"/>
        <c:lblAlgn val="ctr"/>
        <c:lblOffset val="100"/>
        <c:noMultiLvlLbl val="0"/>
      </c:catAx>
      <c:valAx>
        <c:axId val="214909647"/>
        <c:scaling>
          <c:orientation val="minMax"/>
          <c:max val="4000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CH"/>
          </a:p>
        </c:txPr>
        <c:crossAx val="386501216"/>
        <c:crosses val="autoZero"/>
        <c:crossBetween val="between"/>
        <c:majorUnit val="50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H"/>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EBITDA Comparison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H"/>
        </a:p>
      </c:txPr>
    </c:title>
    <c:autoTitleDeleted val="0"/>
    <c:plotArea>
      <c:layout/>
      <c:barChart>
        <c:barDir val="col"/>
        <c:grouping val="clustered"/>
        <c:varyColors val="0"/>
        <c:ser>
          <c:idx val="0"/>
          <c:order val="0"/>
          <c:tx>
            <c:strRef>
              <c:f>'APPENDIX 2-Graph Presentation'!$A$9</c:f>
              <c:strCache>
                <c:ptCount val="1"/>
                <c:pt idx="0">
                  <c:v>EBITDA with Renovations</c:v>
                </c:pt>
              </c:strCache>
            </c:strRef>
          </c:tx>
          <c:spPr>
            <a:solidFill>
              <a:srgbClr val="BC9057"/>
            </a:solidFill>
            <a:ln>
              <a:noFill/>
            </a:ln>
            <a:effectLst/>
          </c:spPr>
          <c:invertIfNegative val="0"/>
          <c:cat>
            <c:numRef>
              <c:f>'APPENDIX 2-Graph Presentation'!$B$4:$K$4</c:f>
              <c:numCache>
                <c:formatCode>General</c:formatCode>
                <c:ptCount val="10"/>
                <c:pt idx="0">
                  <c:v>2026</c:v>
                </c:pt>
                <c:pt idx="1">
                  <c:v>2027</c:v>
                </c:pt>
                <c:pt idx="2">
                  <c:v>2028</c:v>
                </c:pt>
                <c:pt idx="3">
                  <c:v>2029</c:v>
                </c:pt>
                <c:pt idx="4">
                  <c:v>2030</c:v>
                </c:pt>
                <c:pt idx="5">
                  <c:v>2031</c:v>
                </c:pt>
                <c:pt idx="6">
                  <c:v>2032</c:v>
                </c:pt>
                <c:pt idx="7">
                  <c:v>2033</c:v>
                </c:pt>
                <c:pt idx="8">
                  <c:v>2034</c:v>
                </c:pt>
                <c:pt idx="9">
                  <c:v>2035</c:v>
                </c:pt>
              </c:numCache>
            </c:numRef>
          </c:cat>
          <c:val>
            <c:numRef>
              <c:f>'APPENDIX 2-Graph Presentation'!$B$9:$K$9</c:f>
              <c:numCache>
                <c:formatCode>#,##0</c:formatCode>
                <c:ptCount val="10"/>
                <c:pt idx="0">
                  <c:v>1543913.7503006863</c:v>
                </c:pt>
                <c:pt idx="1">
                  <c:v>1770470.1329690199</c:v>
                </c:pt>
                <c:pt idx="2">
                  <c:v>1956711.2368456507</c:v>
                </c:pt>
                <c:pt idx="3">
                  <c:v>2546363.4652525028</c:v>
                </c:pt>
                <c:pt idx="4">
                  <c:v>2705809.3400330381</c:v>
                </c:pt>
                <c:pt idx="5">
                  <c:v>2721493.9291204736</c:v>
                </c:pt>
                <c:pt idx="6">
                  <c:v>2740548.7494552881</c:v>
                </c:pt>
                <c:pt idx="7">
                  <c:v>2738275.4475251948</c:v>
                </c:pt>
                <c:pt idx="8">
                  <c:v>2746387.3820961909</c:v>
                </c:pt>
                <c:pt idx="9">
                  <c:v>2754304.2838253365</c:v>
                </c:pt>
              </c:numCache>
            </c:numRef>
          </c:val>
          <c:extLst>
            <c:ext xmlns:c16="http://schemas.microsoft.com/office/drawing/2014/chart" uri="{C3380CC4-5D6E-409C-BE32-E72D297353CC}">
              <c16:uniqueId val="{00000000-7E0E-DF4E-9333-CD11DF07F174}"/>
            </c:ext>
          </c:extLst>
        </c:ser>
        <c:ser>
          <c:idx val="1"/>
          <c:order val="1"/>
          <c:tx>
            <c:strRef>
              <c:f>'APPENDIX 2-Graph Presentation'!$A$10</c:f>
              <c:strCache>
                <c:ptCount val="1"/>
                <c:pt idx="0">
                  <c:v>EBITDA without Renovations</c:v>
                </c:pt>
              </c:strCache>
            </c:strRef>
          </c:tx>
          <c:spPr>
            <a:solidFill>
              <a:srgbClr val="0E9ED5"/>
            </a:solidFill>
            <a:ln>
              <a:noFill/>
            </a:ln>
            <a:effectLst/>
          </c:spPr>
          <c:invertIfNegative val="0"/>
          <c:cat>
            <c:numRef>
              <c:f>'APPENDIX 2-Graph Presentation'!$B$4:$K$4</c:f>
              <c:numCache>
                <c:formatCode>General</c:formatCode>
                <c:ptCount val="10"/>
                <c:pt idx="0">
                  <c:v>2026</c:v>
                </c:pt>
                <c:pt idx="1">
                  <c:v>2027</c:v>
                </c:pt>
                <c:pt idx="2">
                  <c:v>2028</c:v>
                </c:pt>
                <c:pt idx="3">
                  <c:v>2029</c:v>
                </c:pt>
                <c:pt idx="4">
                  <c:v>2030</c:v>
                </c:pt>
                <c:pt idx="5">
                  <c:v>2031</c:v>
                </c:pt>
                <c:pt idx="6">
                  <c:v>2032</c:v>
                </c:pt>
                <c:pt idx="7">
                  <c:v>2033</c:v>
                </c:pt>
                <c:pt idx="8">
                  <c:v>2034</c:v>
                </c:pt>
                <c:pt idx="9">
                  <c:v>2035</c:v>
                </c:pt>
              </c:numCache>
            </c:numRef>
          </c:cat>
          <c:val>
            <c:numRef>
              <c:f>'APPENDIX 2-Graph Presentation'!$B$10:$K$10</c:f>
              <c:numCache>
                <c:formatCode>#,##0</c:formatCode>
                <c:ptCount val="10"/>
                <c:pt idx="0">
                  <c:v>1544754.2870320673</c:v>
                </c:pt>
                <c:pt idx="1">
                  <c:v>1543862.1665493797</c:v>
                </c:pt>
                <c:pt idx="2">
                  <c:v>1551040.1875566253</c:v>
                </c:pt>
                <c:pt idx="3">
                  <c:v>1541074.6981392328</c:v>
                </c:pt>
                <c:pt idx="4">
                  <c:v>1539158.6695333601</c:v>
                </c:pt>
                <c:pt idx="5">
                  <c:v>1530968.6087182206</c:v>
                </c:pt>
                <c:pt idx="6">
                  <c:v>1530978.7921389891</c:v>
                </c:pt>
                <c:pt idx="7">
                  <c:v>1513098.0419653577</c:v>
                </c:pt>
                <c:pt idx="8">
                  <c:v>1503391.2599024349</c:v>
                </c:pt>
                <c:pt idx="9">
                  <c:v>1493152.1287435722</c:v>
                </c:pt>
              </c:numCache>
            </c:numRef>
          </c:val>
          <c:extLst>
            <c:ext xmlns:c16="http://schemas.microsoft.com/office/drawing/2014/chart" uri="{C3380CC4-5D6E-409C-BE32-E72D297353CC}">
              <c16:uniqueId val="{00000001-7E0E-DF4E-9333-CD11DF07F174}"/>
            </c:ext>
          </c:extLst>
        </c:ser>
        <c:dLbls>
          <c:showLegendKey val="0"/>
          <c:showVal val="0"/>
          <c:showCatName val="0"/>
          <c:showSerName val="0"/>
          <c:showPercent val="0"/>
          <c:showBubbleSize val="0"/>
        </c:dLbls>
        <c:gapWidth val="112"/>
        <c:axId val="386501216"/>
        <c:axId val="214909647"/>
      </c:barChart>
      <c:catAx>
        <c:axId val="38650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CH"/>
          </a:p>
        </c:txPr>
        <c:crossAx val="214909647"/>
        <c:crosses val="autoZero"/>
        <c:auto val="1"/>
        <c:lblAlgn val="ctr"/>
        <c:lblOffset val="100"/>
        <c:noMultiLvlLbl val="0"/>
      </c:catAx>
      <c:valAx>
        <c:axId val="214909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CH"/>
          </a:p>
        </c:txPr>
        <c:crossAx val="38650121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H"/>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H"/>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Flow</a:t>
            </a:r>
            <a:r>
              <a:rPr lang="en-GB" b="1" baseline="0"/>
              <a:t> Through</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'APPENDIX 2-Graph Presentation'!$A$28</c:f>
              <c:strCache>
                <c:ptCount val="1"/>
                <c:pt idx="0">
                  <c:v>With Capex</c:v>
                </c:pt>
              </c:strCache>
            </c:strRef>
          </c:tx>
          <c:spPr>
            <a:ln w="28575" cap="rnd">
              <a:solidFill>
                <a:srgbClr val="0E9ED5"/>
              </a:solidFill>
              <a:round/>
            </a:ln>
            <a:effectLst/>
          </c:spPr>
          <c:marker>
            <c:symbol val="none"/>
          </c:marker>
          <c:cat>
            <c:numRef>
              <c:f>'APPENDIX 2-Graph Presentation'!$B$27:$K$27</c:f>
              <c:numCache>
                <c:formatCode>General</c:formatCode>
                <c:ptCount val="10"/>
                <c:pt idx="0">
                  <c:v>2026</c:v>
                </c:pt>
                <c:pt idx="1">
                  <c:v>2027</c:v>
                </c:pt>
                <c:pt idx="2">
                  <c:v>2028</c:v>
                </c:pt>
                <c:pt idx="3">
                  <c:v>2029</c:v>
                </c:pt>
                <c:pt idx="4">
                  <c:v>2030</c:v>
                </c:pt>
                <c:pt idx="5">
                  <c:v>2031</c:v>
                </c:pt>
                <c:pt idx="6">
                  <c:v>2032</c:v>
                </c:pt>
                <c:pt idx="7">
                  <c:v>2033</c:v>
                </c:pt>
                <c:pt idx="8">
                  <c:v>2034</c:v>
                </c:pt>
                <c:pt idx="9">
                  <c:v>2035</c:v>
                </c:pt>
              </c:numCache>
            </c:numRef>
          </c:cat>
          <c:val>
            <c:numRef>
              <c:f>'APPENDIX 2-Graph Presentation'!$B$28:$K$28</c:f>
              <c:numCache>
                <c:formatCode>0.00%</c:formatCode>
                <c:ptCount val="10"/>
                <c:pt idx="0">
                  <c:v>0.40622869831473613</c:v>
                </c:pt>
                <c:pt idx="1">
                  <c:v>0.66792440146988252</c:v>
                </c:pt>
                <c:pt idx="2">
                  <c:v>0.38852625845696048</c:v>
                </c:pt>
                <c:pt idx="3">
                  <c:v>0.5649069579829763</c:v>
                </c:pt>
                <c:pt idx="4">
                  <c:v>0.47699075796396362</c:v>
                </c:pt>
                <c:pt idx="5">
                  <c:v>0.20388146387510253</c:v>
                </c:pt>
                <c:pt idx="6">
                  <c:v>0.22204194235505492</c:v>
                </c:pt>
                <c:pt idx="7">
                  <c:v>3.9782004210069513E-2</c:v>
                </c:pt>
                <c:pt idx="8">
                  <c:v>0.14376463693212443</c:v>
                </c:pt>
                <c:pt idx="9">
                  <c:v>0.14081785683500075</c:v>
                </c:pt>
              </c:numCache>
            </c:numRef>
          </c:val>
          <c:smooth val="0"/>
          <c:extLst>
            <c:ext xmlns:c16="http://schemas.microsoft.com/office/drawing/2014/chart" uri="{C3380CC4-5D6E-409C-BE32-E72D297353CC}">
              <c16:uniqueId val="{00000000-698F-2649-9A54-0B8B6BF2BE2C}"/>
            </c:ext>
          </c:extLst>
        </c:ser>
        <c:ser>
          <c:idx val="1"/>
          <c:order val="1"/>
          <c:tx>
            <c:strRef>
              <c:f>'APPENDIX 2-Graph Presentation'!$A$29</c:f>
              <c:strCache>
                <c:ptCount val="1"/>
                <c:pt idx="0">
                  <c:v>Without Capex</c:v>
                </c:pt>
              </c:strCache>
            </c:strRef>
          </c:tx>
          <c:spPr>
            <a:ln w="28575" cap="rnd">
              <a:solidFill>
                <a:srgbClr val="BC9057"/>
              </a:solidFill>
              <a:round/>
            </a:ln>
            <a:effectLst/>
          </c:spPr>
          <c:marker>
            <c:symbol val="none"/>
          </c:marker>
          <c:cat>
            <c:numRef>
              <c:f>'APPENDIX 2-Graph Presentation'!$B$27:$K$27</c:f>
              <c:numCache>
                <c:formatCode>General</c:formatCode>
                <c:ptCount val="10"/>
                <c:pt idx="0">
                  <c:v>2026</c:v>
                </c:pt>
                <c:pt idx="1">
                  <c:v>2027</c:v>
                </c:pt>
                <c:pt idx="2">
                  <c:v>2028</c:v>
                </c:pt>
                <c:pt idx="3">
                  <c:v>2029</c:v>
                </c:pt>
                <c:pt idx="4">
                  <c:v>2030</c:v>
                </c:pt>
                <c:pt idx="5">
                  <c:v>2031</c:v>
                </c:pt>
                <c:pt idx="6">
                  <c:v>2032</c:v>
                </c:pt>
                <c:pt idx="7">
                  <c:v>2033</c:v>
                </c:pt>
                <c:pt idx="8">
                  <c:v>2034</c:v>
                </c:pt>
                <c:pt idx="9">
                  <c:v>2035</c:v>
                </c:pt>
              </c:numCache>
            </c:numRef>
          </c:cat>
          <c:val>
            <c:numRef>
              <c:f>'APPENDIX 2-Graph Presentation'!$B$29:$K$29</c:f>
              <c:numCache>
                <c:formatCode>0.00%</c:formatCode>
                <c:ptCount val="10"/>
                <c:pt idx="0">
                  <c:v>2.8914745800627077E-2</c:v>
                </c:pt>
                <c:pt idx="1">
                  <c:v>2.2029506097050469E-2</c:v>
                </c:pt>
                <c:pt idx="2">
                  <c:v>0.14565396983728771</c:v>
                </c:pt>
                <c:pt idx="3">
                  <c:v>-0.26334364422372269</c:v>
                </c:pt>
                <c:pt idx="4">
                  <c:v>2.5466770420550793E-3</c:v>
                </c:pt>
                <c:pt idx="5">
                  <c:v>-0.16883161856667933</c:v>
                </c:pt>
                <c:pt idx="6">
                  <c:v>4.0176141914438114E-2</c:v>
                </c:pt>
                <c:pt idx="7">
                  <c:v>-0.78898683765669997</c:v>
                </c:pt>
                <c:pt idx="8">
                  <c:v>-0.20164434338710432</c:v>
                </c:pt>
                <c:pt idx="9">
                  <c:v>-0.21286877381663211</c:v>
                </c:pt>
              </c:numCache>
            </c:numRef>
          </c:val>
          <c:smooth val="0"/>
          <c:extLst>
            <c:ext xmlns:c16="http://schemas.microsoft.com/office/drawing/2014/chart" uri="{C3380CC4-5D6E-409C-BE32-E72D297353CC}">
              <c16:uniqueId val="{00000001-698F-2649-9A54-0B8B6BF2BE2C}"/>
            </c:ext>
          </c:extLst>
        </c:ser>
        <c:dLbls>
          <c:showLegendKey val="0"/>
          <c:showVal val="0"/>
          <c:showCatName val="0"/>
          <c:showSerName val="0"/>
          <c:showPercent val="0"/>
          <c:showBubbleSize val="0"/>
        </c:dLbls>
        <c:smooth val="0"/>
        <c:axId val="1004794111"/>
        <c:axId val="1004787839"/>
      </c:lineChart>
      <c:catAx>
        <c:axId val="100479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1004787839"/>
        <c:crosses val="autoZero"/>
        <c:auto val="1"/>
        <c:lblAlgn val="ctr"/>
        <c:lblOffset val="100"/>
        <c:noMultiLvlLbl val="0"/>
      </c:catAx>
      <c:valAx>
        <c:axId val="10047878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1004794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H"/>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Profit</a:t>
            </a:r>
            <a:r>
              <a:rPr lang="en-GB" b="1" baseline="0"/>
              <a:t> (ADR)</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'1-SENSITIVITY'!$B$17</c:f>
              <c:strCache>
                <c:ptCount val="1"/>
                <c:pt idx="0">
                  <c:v>P&amp;L Modified</c:v>
                </c:pt>
              </c:strCache>
            </c:strRef>
          </c:tx>
          <c:spPr>
            <a:ln w="28575" cap="rnd">
              <a:solidFill>
                <a:schemeClr val="accent1"/>
              </a:solidFill>
              <a:round/>
            </a:ln>
            <a:effectLst/>
          </c:spPr>
          <c:marker>
            <c:symbol val="none"/>
          </c:marker>
          <c:cat>
            <c:numRef>
              <c:f>'1-SENSITIVITY'!$C$5:$M$5</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'1-SENSITIVITY'!$C$21:$M$21</c:f>
              <c:numCache>
                <c:formatCode>General</c:formatCode>
                <c:ptCount val="11"/>
                <c:pt idx="0">
                  <c:v>3221846.0259181289</c:v>
                </c:pt>
                <c:pt idx="1">
                  <c:v>3956714.7630055593</c:v>
                </c:pt>
                <c:pt idx="2">
                  <c:v>4236337.6430692477</c:v>
                </c:pt>
                <c:pt idx="3">
                  <c:v>4538437.7489121892</c:v>
                </c:pt>
                <c:pt idx="4">
                  <c:v>5387211.6466122176</c:v>
                </c:pt>
                <c:pt idx="5">
                  <c:v>5645067.5227790382</c:v>
                </c:pt>
                <c:pt idx="6">
                  <c:v>5706315.276719165</c:v>
                </c:pt>
                <c:pt idx="7">
                  <c:v>5773032.5524642644</c:v>
                </c:pt>
                <c:pt idx="8">
                  <c:v>5811313.0775722433</c:v>
                </c:pt>
                <c:pt idx="9">
                  <c:v>5864733.3524787892</c:v>
                </c:pt>
                <c:pt idx="10">
                  <c:v>5918779.896343397</c:v>
                </c:pt>
              </c:numCache>
            </c:numRef>
          </c:val>
          <c:smooth val="0"/>
          <c:extLst>
            <c:ext xmlns:c16="http://schemas.microsoft.com/office/drawing/2014/chart" uri="{C3380CC4-5D6E-409C-BE32-E72D297353CC}">
              <c16:uniqueId val="{00000000-B6CC-C74E-8EC6-386E99E10FC8}"/>
            </c:ext>
          </c:extLst>
        </c:ser>
        <c:ser>
          <c:idx val="1"/>
          <c:order val="1"/>
          <c:tx>
            <c:strRef>
              <c:f>'1-SENSITIVITY'!$B$24</c:f>
              <c:strCache>
                <c:ptCount val="1"/>
                <c:pt idx="0">
                  <c:v>ADR Down lift (-3%)</c:v>
                </c:pt>
              </c:strCache>
            </c:strRef>
          </c:tx>
          <c:spPr>
            <a:ln w="28575" cap="rnd">
              <a:solidFill>
                <a:schemeClr val="accent2"/>
              </a:solidFill>
              <a:round/>
            </a:ln>
            <a:effectLst/>
          </c:spPr>
          <c:marker>
            <c:symbol val="none"/>
          </c:marker>
          <c:cat>
            <c:numRef>
              <c:f>'1-SENSITIVITY'!$C$5:$M$5</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'1-SENSITIVITY'!$C$31:$M$31</c:f>
              <c:numCache>
                <c:formatCode>General</c:formatCode>
                <c:ptCount val="11"/>
                <c:pt idx="0">
                  <c:v>3221923.9902801258</c:v>
                </c:pt>
                <c:pt idx="1">
                  <c:v>4208156.8627250344</c:v>
                </c:pt>
                <c:pt idx="2">
                  <c:v>4413331.146701863</c:v>
                </c:pt>
                <c:pt idx="3">
                  <c:v>4728919.9420868736</c:v>
                </c:pt>
                <c:pt idx="4">
                  <c:v>4912169.6463069255</c:v>
                </c:pt>
                <c:pt idx="5">
                  <c:v>5146122.9241498783</c:v>
                </c:pt>
                <c:pt idx="6">
                  <c:v>5202471.0159462132</c:v>
                </c:pt>
                <c:pt idx="7">
                  <c:v>5263711.0151904691</c:v>
                </c:pt>
                <c:pt idx="8">
                  <c:v>5299354.4280681554</c:v>
                </c:pt>
                <c:pt idx="9">
                  <c:v>5348668.6340392968</c:v>
                </c:pt>
                <c:pt idx="10">
                  <c:v>5398745.4876122894</c:v>
                </c:pt>
              </c:numCache>
            </c:numRef>
          </c:val>
          <c:smooth val="0"/>
          <c:extLst>
            <c:ext xmlns:c16="http://schemas.microsoft.com/office/drawing/2014/chart" uri="{C3380CC4-5D6E-409C-BE32-E72D297353CC}">
              <c16:uniqueId val="{00000001-B6CC-C74E-8EC6-386E99E10FC8}"/>
            </c:ext>
          </c:extLst>
        </c:ser>
        <c:ser>
          <c:idx val="2"/>
          <c:order val="2"/>
          <c:tx>
            <c:strRef>
              <c:f>'1-SENSITIVITY'!$B$44</c:f>
              <c:strCache>
                <c:ptCount val="1"/>
                <c:pt idx="0">
                  <c:v>ADR Uplift (+3%)</c:v>
                </c:pt>
              </c:strCache>
            </c:strRef>
          </c:tx>
          <c:spPr>
            <a:ln w="28575" cap="rnd">
              <a:solidFill>
                <a:schemeClr val="accent3"/>
              </a:solidFill>
              <a:round/>
            </a:ln>
            <a:effectLst/>
          </c:spPr>
          <c:marker>
            <c:symbol val="none"/>
          </c:marker>
          <c:cat>
            <c:numRef>
              <c:f>'1-SENSITIVITY'!$C$5:$M$5</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'1-SENSITIVITY'!$C$51:$M$51</c:f>
              <c:numCache>
                <c:formatCode>_ [$€-2]\ * #,##0.00_ ;_ [$€-2]\ * \-#,##0.00_ ;_ [$€-2]\ * "-"??_ ;_ @_ </c:formatCode>
                <c:ptCount val="11"/>
                <c:pt idx="0">
                  <c:v>3221923.9902801258</c:v>
                </c:pt>
                <c:pt idx="1">
                  <c:v>4529735.881210437</c:v>
                </c:pt>
                <c:pt idx="2">
                  <c:v>5125513.0710072704</c:v>
                </c:pt>
                <c:pt idx="3">
                  <c:v>5918855.4523617085</c:v>
                </c:pt>
                <c:pt idx="4">
                  <c:v>6146492.3320383253</c:v>
                </c:pt>
                <c:pt idx="5">
                  <c:v>6442438.5968689751</c:v>
                </c:pt>
                <c:pt idx="6">
                  <c:v>6511624.7316533355</c:v>
                </c:pt>
                <c:pt idx="7">
                  <c:v>6586979.9634788372</c:v>
                </c:pt>
                <c:pt idx="8">
                  <c:v>6629591.841675872</c:v>
                </c:pt>
                <c:pt idx="9">
                  <c:v>6689574.8878839826</c:v>
                </c:pt>
                <c:pt idx="10">
                  <c:v>6750406.1484888894</c:v>
                </c:pt>
              </c:numCache>
            </c:numRef>
          </c:val>
          <c:smooth val="0"/>
          <c:extLst>
            <c:ext xmlns:c16="http://schemas.microsoft.com/office/drawing/2014/chart" uri="{C3380CC4-5D6E-409C-BE32-E72D297353CC}">
              <c16:uniqueId val="{00000002-B6CC-C74E-8EC6-386E99E10FC8}"/>
            </c:ext>
          </c:extLst>
        </c:ser>
        <c:ser>
          <c:idx val="3"/>
          <c:order val="3"/>
          <c:tx>
            <c:strRef>
              <c:f>'1-SENSITIVITY'!$B$10</c:f>
              <c:strCache>
                <c:ptCount val="1"/>
                <c:pt idx="0">
                  <c:v>P&amp;L Normal </c:v>
                </c:pt>
              </c:strCache>
            </c:strRef>
          </c:tx>
          <c:spPr>
            <a:ln w="28575" cap="rnd">
              <a:solidFill>
                <a:schemeClr val="accent4"/>
              </a:solidFill>
              <a:round/>
            </a:ln>
            <a:effectLst/>
          </c:spPr>
          <c:marker>
            <c:symbol val="none"/>
          </c:marker>
          <c:cat>
            <c:numRef>
              <c:f>'1-SENSITIVITY'!$C$5:$M$5</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'1-SENSITIVITY'!$C$14:$M$14</c:f>
              <c:numCache>
                <c:formatCode>General</c:formatCode>
                <c:ptCount val="11"/>
                <c:pt idx="0">
                  <c:v>3221846.0259181289</c:v>
                </c:pt>
                <c:pt idx="1">
                  <c:v>3252469.8981328565</c:v>
                </c:pt>
                <c:pt idx="2">
                  <c:v>3283383.2145893355</c:v>
                </c:pt>
                <c:pt idx="3">
                  <c:v>3323730.1212448128</c:v>
                </c:pt>
                <c:pt idx="4">
                  <c:v>3346175.0592888207</c:v>
                </c:pt>
                <c:pt idx="5">
                  <c:v>3378060.3603278631</c:v>
                </c:pt>
                <c:pt idx="6">
                  <c:v>3403866.6868711999</c:v>
                </c:pt>
                <c:pt idx="7">
                  <c:v>3439303.9437040766</c:v>
                </c:pt>
                <c:pt idx="8">
                  <c:v>3456101.919717819</c:v>
                </c:pt>
                <c:pt idx="9">
                  <c:v>3482534.1592902569</c:v>
                </c:pt>
                <c:pt idx="10">
                  <c:v>3509178.3921040669</c:v>
                </c:pt>
              </c:numCache>
            </c:numRef>
          </c:val>
          <c:smooth val="0"/>
          <c:extLst>
            <c:ext xmlns:c16="http://schemas.microsoft.com/office/drawing/2014/chart" uri="{C3380CC4-5D6E-409C-BE32-E72D297353CC}">
              <c16:uniqueId val="{00000003-B6CC-C74E-8EC6-386E99E10FC8}"/>
            </c:ext>
          </c:extLst>
        </c:ser>
        <c:dLbls>
          <c:showLegendKey val="0"/>
          <c:showVal val="0"/>
          <c:showCatName val="0"/>
          <c:showSerName val="0"/>
          <c:showPercent val="0"/>
          <c:showBubbleSize val="0"/>
        </c:dLbls>
        <c:smooth val="0"/>
        <c:axId val="1798260032"/>
        <c:axId val="1798269440"/>
      </c:lineChart>
      <c:catAx>
        <c:axId val="179826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1798269440"/>
        <c:crosses val="autoZero"/>
        <c:auto val="1"/>
        <c:lblAlgn val="ctr"/>
        <c:lblOffset val="100"/>
        <c:noMultiLvlLbl val="0"/>
      </c:catAx>
      <c:valAx>
        <c:axId val="179826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179826003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H"/>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H"/>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GOP (ADR)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H"/>
        </a:p>
      </c:txPr>
    </c:title>
    <c:autoTitleDeleted val="0"/>
    <c:plotArea>
      <c:layout/>
      <c:lineChart>
        <c:grouping val="standard"/>
        <c:varyColors val="0"/>
        <c:ser>
          <c:idx val="0"/>
          <c:order val="0"/>
          <c:tx>
            <c:strRef>
              <c:f>'1-SENSITIVITY'!$B$17</c:f>
              <c:strCache>
                <c:ptCount val="1"/>
                <c:pt idx="0">
                  <c:v>P&amp;L Modified</c:v>
                </c:pt>
              </c:strCache>
            </c:strRef>
          </c:tx>
          <c:spPr>
            <a:ln w="28575" cap="rnd">
              <a:solidFill>
                <a:schemeClr val="accent1"/>
              </a:solidFill>
              <a:round/>
            </a:ln>
            <a:effectLst/>
          </c:spPr>
          <c:marker>
            <c:symbol val="none"/>
          </c:marker>
          <c:cat>
            <c:numRef>
              <c:f>'1-SENSITIVITY'!$C$5:$M$5</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'1-SENSITIVITY'!$C$22:$M$22</c:f>
              <c:numCache>
                <c:formatCode>General</c:formatCode>
                <c:ptCount val="11"/>
                <c:pt idx="0">
                  <c:v>1843250.5713726743</c:v>
                </c:pt>
                <c:pt idx="1">
                  <c:v>2246678.4631292666</c:v>
                </c:pt>
                <c:pt idx="2">
                  <c:v>2526467.0326686092</c:v>
                </c:pt>
                <c:pt idx="3">
                  <c:v>2777202.8800657718</c:v>
                </c:pt>
                <c:pt idx="4">
                  <c:v>3516944.6119435211</c:v>
                </c:pt>
                <c:pt idx="5">
                  <c:v>3722151.5168315037</c:v>
                </c:pt>
                <c:pt idx="6">
                  <c:v>3747986.2577490052</c:v>
                </c:pt>
                <c:pt idx="7">
                  <c:v>3778166.808273939</c:v>
                </c:pt>
                <c:pt idx="8">
                  <c:v>3781851.4937010705</c:v>
                </c:pt>
                <c:pt idx="9">
                  <c:v>3798647.5078895036</c:v>
                </c:pt>
                <c:pt idx="10">
                  <c:v>3815345.058885579</c:v>
                </c:pt>
              </c:numCache>
            </c:numRef>
          </c:val>
          <c:smooth val="0"/>
          <c:extLst>
            <c:ext xmlns:c16="http://schemas.microsoft.com/office/drawing/2014/chart" uri="{C3380CC4-5D6E-409C-BE32-E72D297353CC}">
              <c16:uniqueId val="{00000000-C035-354B-B448-B5FFD0226A35}"/>
            </c:ext>
          </c:extLst>
        </c:ser>
        <c:ser>
          <c:idx val="1"/>
          <c:order val="1"/>
          <c:tx>
            <c:strRef>
              <c:f>'1-SENSITIVITY'!$B$24</c:f>
              <c:strCache>
                <c:ptCount val="1"/>
                <c:pt idx="0">
                  <c:v>ADR Down lift (-3%)</c:v>
                </c:pt>
              </c:strCache>
            </c:strRef>
          </c:tx>
          <c:spPr>
            <a:ln w="28575" cap="rnd">
              <a:solidFill>
                <a:schemeClr val="accent2"/>
              </a:solidFill>
              <a:round/>
            </a:ln>
            <a:effectLst/>
          </c:spPr>
          <c:marker>
            <c:symbol val="none"/>
          </c:marker>
          <c:cat>
            <c:numRef>
              <c:f>'1-SENSITIVITY'!$C$5:$M$5</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'1-SENSITIVITY'!$C$33:$M$33</c:f>
              <c:numCache>
                <c:formatCode>General</c:formatCode>
                <c:ptCount val="11"/>
                <c:pt idx="0">
                  <c:v>1843328.5357346712</c:v>
                </c:pt>
                <c:pt idx="1">
                  <c:v>2498120.5628487417</c:v>
                </c:pt>
                <c:pt idx="2">
                  <c:v>2703460.5363012245</c:v>
                </c:pt>
                <c:pt idx="3">
                  <c:v>2967685.0732404562</c:v>
                </c:pt>
                <c:pt idx="4">
                  <c:v>3041902.6116382289</c:v>
                </c:pt>
                <c:pt idx="5">
                  <c:v>3223206.9182023439</c:v>
                </c:pt>
                <c:pt idx="6">
                  <c:v>3244141.9969760533</c:v>
                </c:pt>
                <c:pt idx="7">
                  <c:v>3268845.2710001436</c:v>
                </c:pt>
                <c:pt idx="8">
                  <c:v>3269892.8441969827</c:v>
                </c:pt>
                <c:pt idx="9">
                  <c:v>3282582.7894500112</c:v>
                </c:pt>
                <c:pt idx="10">
                  <c:v>3295310.6501544714</c:v>
                </c:pt>
              </c:numCache>
            </c:numRef>
          </c:val>
          <c:smooth val="0"/>
          <c:extLst>
            <c:ext xmlns:c16="http://schemas.microsoft.com/office/drawing/2014/chart" uri="{C3380CC4-5D6E-409C-BE32-E72D297353CC}">
              <c16:uniqueId val="{00000001-C035-354B-B448-B5FFD0226A35}"/>
            </c:ext>
          </c:extLst>
        </c:ser>
        <c:ser>
          <c:idx val="2"/>
          <c:order val="2"/>
          <c:tx>
            <c:strRef>
              <c:f>'1-SENSITIVITY'!$B$44</c:f>
              <c:strCache>
                <c:ptCount val="1"/>
                <c:pt idx="0">
                  <c:v>ADR Uplift (+3%)</c:v>
                </c:pt>
              </c:strCache>
            </c:strRef>
          </c:tx>
          <c:spPr>
            <a:ln w="28575" cap="rnd">
              <a:solidFill>
                <a:schemeClr val="accent3"/>
              </a:solidFill>
              <a:round/>
            </a:ln>
            <a:effectLst/>
          </c:spPr>
          <c:marker>
            <c:symbol val="none"/>
          </c:marker>
          <c:cat>
            <c:numRef>
              <c:f>'1-SENSITIVITY'!$C$5:$M$5</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'1-SENSITIVITY'!$C$53:$M$53</c:f>
              <c:numCache>
                <c:formatCode>_ [$€-2]\ * #,##0.00_ ;_ [$€-2]\ * \-#,##0.00_ ;_ [$€-2]\ * "-"??_ ;_ @_ </c:formatCode>
                <c:ptCount val="11"/>
                <c:pt idx="0">
                  <c:v>1843328.5357346712</c:v>
                </c:pt>
                <c:pt idx="1">
                  <c:v>2819699.5813341443</c:v>
                </c:pt>
                <c:pt idx="2">
                  <c:v>3415642.4606066318</c:v>
                </c:pt>
                <c:pt idx="3">
                  <c:v>4157620.5835152911</c:v>
                </c:pt>
                <c:pt idx="4">
                  <c:v>4276225.2973696291</c:v>
                </c:pt>
                <c:pt idx="5">
                  <c:v>4519522.5909214411</c:v>
                </c:pt>
                <c:pt idx="6">
                  <c:v>4553295.7126831757</c:v>
                </c:pt>
                <c:pt idx="7">
                  <c:v>4592114.2192885112</c:v>
                </c:pt>
                <c:pt idx="8">
                  <c:v>4600130.2578046992</c:v>
                </c:pt>
                <c:pt idx="9">
                  <c:v>4623489.0432946971</c:v>
                </c:pt>
                <c:pt idx="10">
                  <c:v>4646971.3110310715</c:v>
                </c:pt>
              </c:numCache>
            </c:numRef>
          </c:val>
          <c:smooth val="0"/>
          <c:extLst>
            <c:ext xmlns:c16="http://schemas.microsoft.com/office/drawing/2014/chart" uri="{C3380CC4-5D6E-409C-BE32-E72D297353CC}">
              <c16:uniqueId val="{00000002-C035-354B-B448-B5FFD0226A35}"/>
            </c:ext>
          </c:extLst>
        </c:ser>
        <c:ser>
          <c:idx val="3"/>
          <c:order val="3"/>
          <c:tx>
            <c:strRef>
              <c:f>'1-SENSITIVITY'!$B$10</c:f>
              <c:strCache>
                <c:ptCount val="1"/>
                <c:pt idx="0">
                  <c:v>P&amp;L Normal </c:v>
                </c:pt>
              </c:strCache>
            </c:strRef>
          </c:tx>
          <c:spPr>
            <a:ln w="28575" cap="rnd">
              <a:solidFill>
                <a:schemeClr val="accent4"/>
              </a:solidFill>
              <a:round/>
            </a:ln>
            <a:effectLst/>
          </c:spPr>
          <c:marker>
            <c:symbol val="none"/>
          </c:marker>
          <c:cat>
            <c:numRef>
              <c:f>'1-SENSITIVITY'!$C$5:$M$5</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'1-SENSITIVITY'!$C$15:$M$15</c:f>
              <c:numCache>
                <c:formatCode>General</c:formatCode>
                <c:ptCount val="11"/>
                <c:pt idx="0">
                  <c:v>1843250.5713726743</c:v>
                </c:pt>
                <c:pt idx="1">
                  <c:v>1844673.285322939</c:v>
                </c:pt>
                <c:pt idx="2">
                  <c:v>1845766.909889899</c:v>
                </c:pt>
                <c:pt idx="3">
                  <c:v>1855662.4893640154</c:v>
                </c:pt>
                <c:pt idx="4">
                  <c:v>1847011.0857509119</c:v>
                </c:pt>
                <c:pt idx="5">
                  <c:v>1847141.3680777424</c:v>
                </c:pt>
                <c:pt idx="6">
                  <c:v>1840520.0468761446</c:v>
                </c:pt>
                <c:pt idx="7">
                  <c:v>1842842.7794254897</c:v>
                </c:pt>
                <c:pt idx="8">
                  <c:v>1825824.8053231493</c:v>
                </c:pt>
                <c:pt idx="9">
                  <c:v>1817724.8114724997</c:v>
                </c:pt>
                <c:pt idx="10">
                  <c:v>1809105.3553734429</c:v>
                </c:pt>
              </c:numCache>
            </c:numRef>
          </c:val>
          <c:smooth val="0"/>
          <c:extLst>
            <c:ext xmlns:c16="http://schemas.microsoft.com/office/drawing/2014/chart" uri="{C3380CC4-5D6E-409C-BE32-E72D297353CC}">
              <c16:uniqueId val="{00000003-C035-354B-B448-B5FFD0226A35}"/>
            </c:ext>
          </c:extLst>
        </c:ser>
        <c:dLbls>
          <c:showLegendKey val="0"/>
          <c:showVal val="0"/>
          <c:showCatName val="0"/>
          <c:showSerName val="0"/>
          <c:showPercent val="0"/>
          <c:showBubbleSize val="0"/>
        </c:dLbls>
        <c:smooth val="0"/>
        <c:axId val="570165888"/>
        <c:axId val="1800753984"/>
      </c:lineChart>
      <c:dateAx>
        <c:axId val="57016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1800753984"/>
        <c:crosses val="autoZero"/>
        <c:auto val="0"/>
        <c:lblOffset val="100"/>
        <c:baseTimeUnit val="days"/>
      </c:dateAx>
      <c:valAx>
        <c:axId val="180075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57016588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H"/>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H"/>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 Profit</a:t>
            </a:r>
            <a:r>
              <a:rPr lang="en-GB" b="1" baseline="0"/>
              <a:t> (Occ%)</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'1-SENSITIVITY'!$B$17</c:f>
              <c:strCache>
                <c:ptCount val="1"/>
                <c:pt idx="0">
                  <c:v>P&amp;L Modified</c:v>
                </c:pt>
              </c:strCache>
            </c:strRef>
          </c:tx>
          <c:spPr>
            <a:ln w="28575" cap="rnd">
              <a:solidFill>
                <a:schemeClr val="accent1"/>
              </a:solidFill>
              <a:round/>
            </a:ln>
            <a:effectLst/>
          </c:spPr>
          <c:marker>
            <c:symbol val="none"/>
          </c:marker>
          <c:cat>
            <c:numRef>
              <c:f>'1-SENSITIVITY'!$C$5:$M$5</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'1-SENSITIVITY'!$C$21:$M$21</c:f>
              <c:numCache>
                <c:formatCode>General</c:formatCode>
                <c:ptCount val="11"/>
                <c:pt idx="0">
                  <c:v>3221846.0259181289</c:v>
                </c:pt>
                <c:pt idx="1">
                  <c:v>3956714.7630055593</c:v>
                </c:pt>
                <c:pt idx="2">
                  <c:v>4236337.6430692477</c:v>
                </c:pt>
                <c:pt idx="3">
                  <c:v>4538437.7489121892</c:v>
                </c:pt>
                <c:pt idx="4">
                  <c:v>5387211.6466122176</c:v>
                </c:pt>
                <c:pt idx="5">
                  <c:v>5645067.5227790382</c:v>
                </c:pt>
                <c:pt idx="6">
                  <c:v>5706315.276719165</c:v>
                </c:pt>
                <c:pt idx="7">
                  <c:v>5773032.5524642644</c:v>
                </c:pt>
                <c:pt idx="8">
                  <c:v>5811313.0775722433</c:v>
                </c:pt>
                <c:pt idx="9">
                  <c:v>5864733.3524787892</c:v>
                </c:pt>
                <c:pt idx="10">
                  <c:v>5918779.896343397</c:v>
                </c:pt>
              </c:numCache>
            </c:numRef>
          </c:val>
          <c:smooth val="0"/>
          <c:extLst>
            <c:ext xmlns:c16="http://schemas.microsoft.com/office/drawing/2014/chart" uri="{C3380CC4-5D6E-409C-BE32-E72D297353CC}">
              <c16:uniqueId val="{00000000-3965-894B-9D10-37D6722F6996}"/>
            </c:ext>
          </c:extLst>
        </c:ser>
        <c:ser>
          <c:idx val="1"/>
          <c:order val="1"/>
          <c:tx>
            <c:strRef>
              <c:f>'1-SENSITIVITY'!$O$24</c:f>
              <c:strCache>
                <c:ptCount val="1"/>
                <c:pt idx="0">
                  <c:v>Occ% Down lift (-3%)</c:v>
                </c:pt>
              </c:strCache>
            </c:strRef>
          </c:tx>
          <c:spPr>
            <a:ln w="28575" cap="rnd">
              <a:solidFill>
                <a:schemeClr val="accent2"/>
              </a:solidFill>
              <a:round/>
            </a:ln>
            <a:effectLst/>
          </c:spPr>
          <c:marker>
            <c:symbol val="none"/>
          </c:marker>
          <c:cat>
            <c:numRef>
              <c:f>'1-SENSITIVITY'!$C$5:$M$5</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'1-SENSITIVITY'!$P$32:$Z$32</c:f>
              <c:numCache>
                <c:formatCode>General</c:formatCode>
                <c:ptCount val="11"/>
                <c:pt idx="0">
                  <c:v>3221923.9902801258</c:v>
                </c:pt>
                <c:pt idx="1">
                  <c:v>3941020.6659832522</c:v>
                </c:pt>
                <c:pt idx="2">
                  <c:v>3870702.2535199779</c:v>
                </c:pt>
                <c:pt idx="3">
                  <c:v>3897426.9335340615</c:v>
                </c:pt>
                <c:pt idx="4">
                  <c:v>3950846.9072285648</c:v>
                </c:pt>
                <c:pt idx="5">
                  <c:v>4036864.652900856</c:v>
                </c:pt>
                <c:pt idx="6">
                  <c:v>4082579.6026040665</c:v>
                </c:pt>
                <c:pt idx="7">
                  <c:v>4138518.7893540473</c:v>
                </c:pt>
                <c:pt idx="8">
                  <c:v>4175047.4008079204</c:v>
                </c:pt>
                <c:pt idx="9">
                  <c:v>4222210.8019222543</c:v>
                </c:pt>
                <c:pt idx="10">
                  <c:v>4270176.0282127596</c:v>
                </c:pt>
              </c:numCache>
            </c:numRef>
          </c:val>
          <c:smooth val="0"/>
          <c:extLst>
            <c:ext xmlns:c16="http://schemas.microsoft.com/office/drawing/2014/chart" uri="{C3380CC4-5D6E-409C-BE32-E72D297353CC}">
              <c16:uniqueId val="{00000001-3965-894B-9D10-37D6722F6996}"/>
            </c:ext>
          </c:extLst>
        </c:ser>
        <c:ser>
          <c:idx val="2"/>
          <c:order val="2"/>
          <c:tx>
            <c:strRef>
              <c:f>'1-SENSITIVITY'!$O$44</c:f>
              <c:strCache>
                <c:ptCount val="1"/>
                <c:pt idx="0">
                  <c:v>Occ% Up lift (+3%)</c:v>
                </c:pt>
              </c:strCache>
            </c:strRef>
          </c:tx>
          <c:spPr>
            <a:ln w="28575" cap="rnd">
              <a:solidFill>
                <a:schemeClr val="accent3"/>
              </a:solidFill>
              <a:round/>
            </a:ln>
            <a:effectLst/>
          </c:spPr>
          <c:marker>
            <c:symbol val="none"/>
          </c:marker>
          <c:cat>
            <c:numRef>
              <c:f>'1-SENSITIVITY'!$C$5:$M$5</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'1-SENSITIVITY'!$P$52:$Z$52</c:f>
              <c:numCache>
                <c:formatCode>General</c:formatCode>
                <c:ptCount val="11"/>
                <c:pt idx="0">
                  <c:v>3221923.9902801258</c:v>
                </c:pt>
                <c:pt idx="1">
                  <c:v>4286216.7198309153</c:v>
                </c:pt>
                <c:pt idx="2">
                  <c:v>4614579.8641197449</c:v>
                </c:pt>
                <c:pt idx="3">
                  <c:v>5227931.9963278649</c:v>
                </c:pt>
                <c:pt idx="4">
                  <c:v>5978107.8003394939</c:v>
                </c:pt>
                <c:pt idx="5">
                  <c:v>6426512.2717707288</c:v>
                </c:pt>
                <c:pt idx="6">
                  <c:v>6495144.0419962611</c:v>
                </c:pt>
                <c:pt idx="7">
                  <c:v>6580898.7756673973</c:v>
                </c:pt>
                <c:pt idx="8">
                  <c:v>6634124.3835431458</c:v>
                </c:pt>
                <c:pt idx="9">
                  <c:v>6704887.9919426776</c:v>
                </c:pt>
                <c:pt idx="10">
                  <c:v>6776685.7426086599</c:v>
                </c:pt>
              </c:numCache>
            </c:numRef>
          </c:val>
          <c:smooth val="0"/>
          <c:extLst>
            <c:ext xmlns:c16="http://schemas.microsoft.com/office/drawing/2014/chart" uri="{C3380CC4-5D6E-409C-BE32-E72D297353CC}">
              <c16:uniqueId val="{00000002-3965-894B-9D10-37D6722F6996}"/>
            </c:ext>
          </c:extLst>
        </c:ser>
        <c:ser>
          <c:idx val="3"/>
          <c:order val="3"/>
          <c:tx>
            <c:strRef>
              <c:f>'1-SENSITIVITY'!$B$10</c:f>
              <c:strCache>
                <c:ptCount val="1"/>
                <c:pt idx="0">
                  <c:v>P&amp;L Normal </c:v>
                </c:pt>
              </c:strCache>
            </c:strRef>
          </c:tx>
          <c:spPr>
            <a:ln w="28575" cap="rnd">
              <a:solidFill>
                <a:schemeClr val="accent4"/>
              </a:solidFill>
              <a:round/>
            </a:ln>
            <a:effectLst/>
          </c:spPr>
          <c:marker>
            <c:symbol val="none"/>
          </c:marker>
          <c:cat>
            <c:numRef>
              <c:f>'1-SENSITIVITY'!$C$5:$M$5</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'1-SENSITIVITY'!$C$14:$M$14</c:f>
              <c:numCache>
                <c:formatCode>General</c:formatCode>
                <c:ptCount val="11"/>
                <c:pt idx="0">
                  <c:v>3221846.0259181289</c:v>
                </c:pt>
                <c:pt idx="1">
                  <c:v>3252469.8981328565</c:v>
                </c:pt>
                <c:pt idx="2">
                  <c:v>3283383.2145893355</c:v>
                </c:pt>
                <c:pt idx="3">
                  <c:v>3323730.1212448128</c:v>
                </c:pt>
                <c:pt idx="4">
                  <c:v>3346175.0592888207</c:v>
                </c:pt>
                <c:pt idx="5">
                  <c:v>3378060.3603278631</c:v>
                </c:pt>
                <c:pt idx="6">
                  <c:v>3403866.6868711999</c:v>
                </c:pt>
                <c:pt idx="7">
                  <c:v>3439303.9437040766</c:v>
                </c:pt>
                <c:pt idx="8">
                  <c:v>3456101.919717819</c:v>
                </c:pt>
                <c:pt idx="9">
                  <c:v>3482534.1592902569</c:v>
                </c:pt>
                <c:pt idx="10">
                  <c:v>3509178.3921040669</c:v>
                </c:pt>
              </c:numCache>
            </c:numRef>
          </c:val>
          <c:smooth val="0"/>
          <c:extLst>
            <c:ext xmlns:c16="http://schemas.microsoft.com/office/drawing/2014/chart" uri="{C3380CC4-5D6E-409C-BE32-E72D297353CC}">
              <c16:uniqueId val="{00000003-3965-894B-9D10-37D6722F6996}"/>
            </c:ext>
          </c:extLst>
        </c:ser>
        <c:dLbls>
          <c:showLegendKey val="0"/>
          <c:showVal val="0"/>
          <c:showCatName val="0"/>
          <c:showSerName val="0"/>
          <c:showPercent val="0"/>
          <c:showBubbleSize val="0"/>
        </c:dLbls>
        <c:smooth val="0"/>
        <c:axId val="571540352"/>
        <c:axId val="1815124544"/>
      </c:lineChart>
      <c:catAx>
        <c:axId val="57154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1815124544"/>
        <c:crosses val="autoZero"/>
        <c:auto val="1"/>
        <c:lblAlgn val="ctr"/>
        <c:lblOffset val="100"/>
        <c:noMultiLvlLbl val="0"/>
      </c:catAx>
      <c:valAx>
        <c:axId val="181512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57154035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H"/>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H"/>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 GOP</a:t>
            </a:r>
            <a:r>
              <a:rPr lang="en-GB" b="1" baseline="0"/>
              <a:t> (Occ%)</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'1-SENSITIVITY'!$B$17</c:f>
              <c:strCache>
                <c:ptCount val="1"/>
                <c:pt idx="0">
                  <c:v>P&amp;L Modified</c:v>
                </c:pt>
              </c:strCache>
            </c:strRef>
          </c:tx>
          <c:spPr>
            <a:ln w="28575" cap="rnd">
              <a:solidFill>
                <a:schemeClr val="accent1"/>
              </a:solidFill>
              <a:round/>
            </a:ln>
            <a:effectLst/>
          </c:spPr>
          <c:marker>
            <c:symbol val="none"/>
          </c:marker>
          <c:cat>
            <c:numRef>
              <c:f>'1-SENSITIVITY'!$C$5:$M$5</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'1-SENSITIVITY'!$C$22:$M$22</c:f>
              <c:numCache>
                <c:formatCode>General</c:formatCode>
                <c:ptCount val="11"/>
                <c:pt idx="0">
                  <c:v>1843250.5713726743</c:v>
                </c:pt>
                <c:pt idx="1">
                  <c:v>2246678.4631292666</c:v>
                </c:pt>
                <c:pt idx="2">
                  <c:v>2526467.0326686092</c:v>
                </c:pt>
                <c:pt idx="3">
                  <c:v>2777202.8800657718</c:v>
                </c:pt>
                <c:pt idx="4">
                  <c:v>3516944.6119435211</c:v>
                </c:pt>
                <c:pt idx="5">
                  <c:v>3722151.5168315037</c:v>
                </c:pt>
                <c:pt idx="6">
                  <c:v>3747986.2577490052</c:v>
                </c:pt>
                <c:pt idx="7">
                  <c:v>3778166.808273939</c:v>
                </c:pt>
                <c:pt idx="8">
                  <c:v>3781851.4937010705</c:v>
                </c:pt>
                <c:pt idx="9">
                  <c:v>3798647.5078895036</c:v>
                </c:pt>
                <c:pt idx="10">
                  <c:v>3815345.058885579</c:v>
                </c:pt>
              </c:numCache>
            </c:numRef>
          </c:val>
          <c:smooth val="0"/>
          <c:extLst>
            <c:ext xmlns:c16="http://schemas.microsoft.com/office/drawing/2014/chart" uri="{C3380CC4-5D6E-409C-BE32-E72D297353CC}">
              <c16:uniqueId val="{00000000-1646-5F4A-B87B-6A477CC10BB6}"/>
            </c:ext>
          </c:extLst>
        </c:ser>
        <c:ser>
          <c:idx val="1"/>
          <c:order val="1"/>
          <c:tx>
            <c:strRef>
              <c:f>'1-SENSITIVITY'!$O$24</c:f>
              <c:strCache>
                <c:ptCount val="1"/>
                <c:pt idx="0">
                  <c:v>Occ% Down lift (-3%)</c:v>
                </c:pt>
              </c:strCache>
            </c:strRef>
          </c:tx>
          <c:spPr>
            <a:ln w="28575" cap="rnd">
              <a:solidFill>
                <a:schemeClr val="accent2"/>
              </a:solidFill>
              <a:round/>
            </a:ln>
            <a:effectLst/>
          </c:spPr>
          <c:marker>
            <c:symbol val="none"/>
          </c:marker>
          <c:cat>
            <c:numRef>
              <c:f>'1-SENSITIVITY'!$C$5:$M$5</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'1-SENSITIVITY'!$P$34:$Z$34</c:f>
              <c:numCache>
                <c:formatCode>General</c:formatCode>
                <c:ptCount val="11"/>
                <c:pt idx="0">
                  <c:v>1843328.5357346712</c:v>
                </c:pt>
                <c:pt idx="1">
                  <c:v>2230984.3661069595</c:v>
                </c:pt>
                <c:pt idx="2">
                  <c:v>2160831.6431193394</c:v>
                </c:pt>
                <c:pt idx="3">
                  <c:v>2136192.0646876441</c:v>
                </c:pt>
                <c:pt idx="4">
                  <c:v>2080579.8725598683</c:v>
                </c:pt>
                <c:pt idx="5">
                  <c:v>2113948.6469533215</c:v>
                </c:pt>
                <c:pt idx="6">
                  <c:v>2124250.5836339067</c:v>
                </c:pt>
                <c:pt idx="7">
                  <c:v>2143653.0451637218</c:v>
                </c:pt>
                <c:pt idx="8">
                  <c:v>2145585.8169367476</c:v>
                </c:pt>
                <c:pt idx="9">
                  <c:v>2156124.9573329687</c:v>
                </c:pt>
                <c:pt idx="10">
                  <c:v>2166741.1907549417</c:v>
                </c:pt>
              </c:numCache>
            </c:numRef>
          </c:val>
          <c:smooth val="0"/>
          <c:extLst>
            <c:ext xmlns:c16="http://schemas.microsoft.com/office/drawing/2014/chart" uri="{C3380CC4-5D6E-409C-BE32-E72D297353CC}">
              <c16:uniqueId val="{00000001-1646-5F4A-B87B-6A477CC10BB6}"/>
            </c:ext>
          </c:extLst>
        </c:ser>
        <c:ser>
          <c:idx val="2"/>
          <c:order val="2"/>
          <c:tx>
            <c:strRef>
              <c:f>'1-SENSITIVITY'!$O$44</c:f>
              <c:strCache>
                <c:ptCount val="1"/>
                <c:pt idx="0">
                  <c:v>Occ% Up lift (+3%)</c:v>
                </c:pt>
              </c:strCache>
            </c:strRef>
          </c:tx>
          <c:spPr>
            <a:ln w="28575" cap="rnd">
              <a:solidFill>
                <a:schemeClr val="accent3"/>
              </a:solidFill>
              <a:round/>
            </a:ln>
            <a:effectLst/>
          </c:spPr>
          <c:marker>
            <c:symbol val="none"/>
          </c:marker>
          <c:cat>
            <c:numRef>
              <c:f>'1-SENSITIVITY'!$C$5:$M$5</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'1-SENSITIVITY'!$P$54:$Z$54</c:f>
              <c:numCache>
                <c:formatCode>General</c:formatCode>
                <c:ptCount val="11"/>
                <c:pt idx="0">
                  <c:v>1843328.5357346712</c:v>
                </c:pt>
                <c:pt idx="1">
                  <c:v>2576180.4199546226</c:v>
                </c:pt>
                <c:pt idx="2">
                  <c:v>2904709.2537191063</c:v>
                </c:pt>
                <c:pt idx="3">
                  <c:v>3466697.1274814475</c:v>
                </c:pt>
                <c:pt idx="4">
                  <c:v>4107840.7656707973</c:v>
                </c:pt>
                <c:pt idx="5">
                  <c:v>4503596.2658231948</c:v>
                </c:pt>
                <c:pt idx="6">
                  <c:v>4536815.0230261013</c:v>
                </c:pt>
                <c:pt idx="7">
                  <c:v>4586033.0314770713</c:v>
                </c:pt>
                <c:pt idx="8">
                  <c:v>4604662.7996719731</c:v>
                </c:pt>
                <c:pt idx="9">
                  <c:v>4638802.1473533921</c:v>
                </c:pt>
                <c:pt idx="10">
                  <c:v>4673250.9051508419</c:v>
                </c:pt>
              </c:numCache>
            </c:numRef>
          </c:val>
          <c:smooth val="0"/>
          <c:extLst>
            <c:ext xmlns:c16="http://schemas.microsoft.com/office/drawing/2014/chart" uri="{C3380CC4-5D6E-409C-BE32-E72D297353CC}">
              <c16:uniqueId val="{00000002-1646-5F4A-B87B-6A477CC10BB6}"/>
            </c:ext>
          </c:extLst>
        </c:ser>
        <c:ser>
          <c:idx val="3"/>
          <c:order val="3"/>
          <c:tx>
            <c:strRef>
              <c:f>'1-SENSITIVITY'!$B$10</c:f>
              <c:strCache>
                <c:ptCount val="1"/>
                <c:pt idx="0">
                  <c:v>P&amp;L Normal </c:v>
                </c:pt>
              </c:strCache>
            </c:strRef>
          </c:tx>
          <c:spPr>
            <a:ln w="28575" cap="rnd">
              <a:solidFill>
                <a:schemeClr val="accent4"/>
              </a:solidFill>
              <a:round/>
            </a:ln>
            <a:effectLst/>
          </c:spPr>
          <c:marker>
            <c:symbol val="none"/>
          </c:marker>
          <c:cat>
            <c:numRef>
              <c:f>'1-SENSITIVITY'!$C$5:$M$5</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'1-SENSITIVITY'!$C$15:$M$15</c:f>
              <c:numCache>
                <c:formatCode>General</c:formatCode>
                <c:ptCount val="11"/>
                <c:pt idx="0">
                  <c:v>1843250.5713726743</c:v>
                </c:pt>
                <c:pt idx="1">
                  <c:v>1844673.285322939</c:v>
                </c:pt>
                <c:pt idx="2">
                  <c:v>1845766.909889899</c:v>
                </c:pt>
                <c:pt idx="3">
                  <c:v>1855662.4893640154</c:v>
                </c:pt>
                <c:pt idx="4">
                  <c:v>1847011.0857509119</c:v>
                </c:pt>
                <c:pt idx="5">
                  <c:v>1847141.3680777424</c:v>
                </c:pt>
                <c:pt idx="6">
                  <c:v>1840520.0468761446</c:v>
                </c:pt>
                <c:pt idx="7">
                  <c:v>1842842.7794254897</c:v>
                </c:pt>
                <c:pt idx="8">
                  <c:v>1825824.8053231493</c:v>
                </c:pt>
                <c:pt idx="9">
                  <c:v>1817724.8114724997</c:v>
                </c:pt>
                <c:pt idx="10">
                  <c:v>1809105.3553734429</c:v>
                </c:pt>
              </c:numCache>
            </c:numRef>
          </c:val>
          <c:smooth val="0"/>
          <c:extLst>
            <c:ext xmlns:c16="http://schemas.microsoft.com/office/drawing/2014/chart" uri="{C3380CC4-5D6E-409C-BE32-E72D297353CC}">
              <c16:uniqueId val="{00000003-1646-5F4A-B87B-6A477CC10BB6}"/>
            </c:ext>
          </c:extLst>
        </c:ser>
        <c:dLbls>
          <c:showLegendKey val="0"/>
          <c:showVal val="0"/>
          <c:showCatName val="0"/>
          <c:showSerName val="0"/>
          <c:showPercent val="0"/>
          <c:showBubbleSize val="0"/>
        </c:dLbls>
        <c:smooth val="0"/>
        <c:axId val="570781056"/>
        <c:axId val="570772096"/>
      </c:lineChart>
      <c:catAx>
        <c:axId val="57078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570772096"/>
        <c:crosses val="autoZero"/>
        <c:auto val="1"/>
        <c:lblAlgn val="ctr"/>
        <c:lblOffset val="100"/>
        <c:noMultiLvlLbl val="0"/>
      </c:catAx>
      <c:valAx>
        <c:axId val="57077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57078105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H"/>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H"/>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Compset</a:t>
            </a:r>
            <a:r>
              <a:rPr lang="en-GB" b="1" baseline="0"/>
              <a:t> Analysis</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'APPENDIX 2-Graph Presentation'!$B$45</c:f>
              <c:strCache>
                <c:ptCount val="1"/>
                <c:pt idx="0">
                  <c:v>MPI</c:v>
                </c:pt>
              </c:strCache>
            </c:strRef>
          </c:tx>
          <c:spPr>
            <a:ln w="28575" cap="rnd">
              <a:solidFill>
                <a:srgbClr val="0E9ED5"/>
              </a:solidFill>
              <a:round/>
            </a:ln>
            <a:effectLst/>
          </c:spPr>
          <c:marker>
            <c:symbol val="none"/>
          </c:marker>
          <c:cat>
            <c:numRef>
              <c:f>'APPENDIX 2-Graph Presentation'!$A$46:$A$57</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'APPENDIX 2-Graph Presentation'!$B$46:$B$57</c:f>
              <c:numCache>
                <c:formatCode>_(#,##0.00_);_(\-#,##0.00_)</c:formatCode>
                <c:ptCount val="12"/>
                <c:pt idx="0">
                  <c:v>98.155943393880094</c:v>
                </c:pt>
                <c:pt idx="1">
                  <c:v>78.971022083701428</c:v>
                </c:pt>
                <c:pt idx="2">
                  <c:v>105.9258458107178</c:v>
                </c:pt>
                <c:pt idx="3">
                  <c:v>108.99053333145746</c:v>
                </c:pt>
                <c:pt idx="4">
                  <c:v>99.462964468951142</c:v>
                </c:pt>
                <c:pt idx="5">
                  <c:v>103.18966764583737</c:v>
                </c:pt>
                <c:pt idx="6">
                  <c:v>111.08753541170896</c:v>
                </c:pt>
                <c:pt idx="7">
                  <c:v>70.489555008430301</c:v>
                </c:pt>
                <c:pt idx="8">
                  <c:v>70.727688277317071</c:v>
                </c:pt>
                <c:pt idx="9">
                  <c:v>84.747263697305328</c:v>
                </c:pt>
                <c:pt idx="10">
                  <c:v>104.06320068504348</c:v>
                </c:pt>
                <c:pt idx="11">
                  <c:v>110.85247741966245</c:v>
                </c:pt>
              </c:numCache>
            </c:numRef>
          </c:val>
          <c:smooth val="1"/>
          <c:extLst>
            <c:ext xmlns:c16="http://schemas.microsoft.com/office/drawing/2014/chart" uri="{C3380CC4-5D6E-409C-BE32-E72D297353CC}">
              <c16:uniqueId val="{00000000-4841-E949-99AD-77FB282266E9}"/>
            </c:ext>
          </c:extLst>
        </c:ser>
        <c:ser>
          <c:idx val="1"/>
          <c:order val="1"/>
          <c:tx>
            <c:strRef>
              <c:f>'APPENDIX 2-Graph Presentation'!$C$45</c:f>
              <c:strCache>
                <c:ptCount val="1"/>
                <c:pt idx="0">
                  <c:v>ARI</c:v>
                </c:pt>
              </c:strCache>
            </c:strRef>
          </c:tx>
          <c:spPr>
            <a:ln w="28575" cap="rnd">
              <a:solidFill>
                <a:srgbClr val="156082"/>
              </a:solidFill>
              <a:round/>
            </a:ln>
            <a:effectLst/>
          </c:spPr>
          <c:marker>
            <c:symbol val="none"/>
          </c:marker>
          <c:cat>
            <c:numRef>
              <c:f>'APPENDIX 2-Graph Presentation'!$A$46:$A$57</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'APPENDIX 2-Graph Presentation'!$C$46:$C$57</c:f>
              <c:numCache>
                <c:formatCode>_(#,##0.00_);_(\-#,##0.00_)</c:formatCode>
                <c:ptCount val="12"/>
                <c:pt idx="0">
                  <c:v>85.229770448702851</c:v>
                </c:pt>
                <c:pt idx="1">
                  <c:v>89.274307315343989</c:v>
                </c:pt>
                <c:pt idx="2">
                  <c:v>84.662455467563049</c:v>
                </c:pt>
                <c:pt idx="3">
                  <c:v>87.546373124505422</c:v>
                </c:pt>
                <c:pt idx="4">
                  <c:v>90.426309365375715</c:v>
                </c:pt>
                <c:pt idx="5">
                  <c:v>90.54197878392138</c:v>
                </c:pt>
                <c:pt idx="6">
                  <c:v>89.385461275371014</c:v>
                </c:pt>
                <c:pt idx="7">
                  <c:v>86.424119459535177</c:v>
                </c:pt>
                <c:pt idx="8">
                  <c:v>98.962766955946805</c:v>
                </c:pt>
                <c:pt idx="9">
                  <c:v>81.157823860060219</c:v>
                </c:pt>
                <c:pt idx="10">
                  <c:v>82.537775687761012</c:v>
                </c:pt>
                <c:pt idx="11">
                  <c:v>77.478027629408174</c:v>
                </c:pt>
              </c:numCache>
            </c:numRef>
          </c:val>
          <c:smooth val="1"/>
          <c:extLst>
            <c:ext xmlns:c16="http://schemas.microsoft.com/office/drawing/2014/chart" uri="{C3380CC4-5D6E-409C-BE32-E72D297353CC}">
              <c16:uniqueId val="{00000001-4841-E949-99AD-77FB282266E9}"/>
            </c:ext>
          </c:extLst>
        </c:ser>
        <c:ser>
          <c:idx val="2"/>
          <c:order val="2"/>
          <c:tx>
            <c:strRef>
              <c:f>'APPENDIX 2-Graph Presentation'!$D$45</c:f>
              <c:strCache>
                <c:ptCount val="1"/>
                <c:pt idx="0">
                  <c:v>RGI</c:v>
                </c:pt>
              </c:strCache>
            </c:strRef>
          </c:tx>
          <c:spPr>
            <a:ln w="28575" cap="rnd">
              <a:solidFill>
                <a:srgbClr val="BC9057"/>
              </a:solidFill>
              <a:round/>
            </a:ln>
            <a:effectLst/>
          </c:spPr>
          <c:marker>
            <c:symbol val="none"/>
          </c:marker>
          <c:cat>
            <c:numRef>
              <c:f>'APPENDIX 2-Graph Presentation'!$A$46:$A$57</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'APPENDIX 2-Graph Presentation'!$D$46:$D$57</c:f>
              <c:numCache>
                <c:formatCode>_(#,##0.00_);_(\-#,##0.00_)</c:formatCode>
                <c:ptCount val="12"/>
                <c:pt idx="0">
                  <c:v>83.658085236362155</c:v>
                </c:pt>
                <c:pt idx="1">
                  <c:v>70.500832945071423</c:v>
                </c:pt>
                <c:pt idx="2">
                  <c:v>89.679422038138128</c:v>
                </c:pt>
                <c:pt idx="3">
                  <c:v>95.417258980745856</c:v>
                </c:pt>
                <c:pt idx="4">
                  <c:v>89.940687954667723</c:v>
                </c:pt>
                <c:pt idx="5">
                  <c:v>93.429966987093422</c:v>
                </c:pt>
                <c:pt idx="6">
                  <c:v>99.296105947197148</c:v>
                </c:pt>
                <c:pt idx="7">
                  <c:v>60.919977226980606</c:v>
                </c:pt>
                <c:pt idx="8">
                  <c:v>69.994077323209567</c:v>
                </c:pt>
                <c:pt idx="9">
                  <c:v>68.779034997679659</c:v>
                </c:pt>
                <c:pt idx="10">
                  <c:v>85.891451154925505</c:v>
                </c:pt>
                <c:pt idx="11">
                  <c:v>85.886313083089178</c:v>
                </c:pt>
              </c:numCache>
            </c:numRef>
          </c:val>
          <c:smooth val="1"/>
          <c:extLst>
            <c:ext xmlns:c16="http://schemas.microsoft.com/office/drawing/2014/chart" uri="{C3380CC4-5D6E-409C-BE32-E72D297353CC}">
              <c16:uniqueId val="{00000002-4841-E949-99AD-77FB282266E9}"/>
            </c:ext>
          </c:extLst>
        </c:ser>
        <c:dLbls>
          <c:showLegendKey val="0"/>
          <c:showVal val="0"/>
          <c:showCatName val="0"/>
          <c:showSerName val="0"/>
          <c:showPercent val="0"/>
          <c:showBubbleSize val="0"/>
        </c:dLbls>
        <c:smooth val="0"/>
        <c:axId val="713669055"/>
        <c:axId val="713654719"/>
      </c:lineChart>
      <c:catAx>
        <c:axId val="71366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CH"/>
          </a:p>
        </c:txPr>
        <c:crossAx val="713654719"/>
        <c:crosses val="autoZero"/>
        <c:auto val="1"/>
        <c:lblAlgn val="ctr"/>
        <c:lblOffset val="100"/>
        <c:noMultiLvlLbl val="0"/>
      </c:catAx>
      <c:valAx>
        <c:axId val="713654719"/>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CH"/>
          </a:p>
        </c:txPr>
        <c:crossAx val="713669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chart>
  <c:spPr>
    <a:solidFill>
      <a:schemeClr val="bg1"/>
    </a:solidFill>
    <a:ln w="9525" cap="flat" cmpd="sng" algn="ctr">
      <a:noFill/>
      <a:round/>
    </a:ln>
    <a:effectLst/>
  </c:spPr>
  <c:txPr>
    <a:bodyPr/>
    <a:lstStyle/>
    <a:p>
      <a:pPr>
        <a:defRPr/>
      </a:pPr>
      <a:endParaRPr lang="en-CH"/>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Market</a:t>
            </a:r>
            <a:r>
              <a:rPr lang="en-GB" b="1" baseline="0"/>
              <a:t> Value </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12535870516185477"/>
          <c:y val="0.20409740449110528"/>
          <c:w val="0.84408573928258968"/>
          <c:h val="0.61537766112569259"/>
        </c:manualLayout>
      </c:layout>
      <c:barChart>
        <c:barDir val="col"/>
        <c:grouping val="stacked"/>
        <c:varyColors val="0"/>
        <c:ser>
          <c:idx val="0"/>
          <c:order val="0"/>
          <c:tx>
            <c:v>No CAPEX </c:v>
          </c:tx>
          <c:spPr>
            <a:solidFill>
              <a:srgbClr val="0E9ED5"/>
            </a:solidFill>
            <a:ln>
              <a:noFill/>
            </a:ln>
            <a:effectLst/>
          </c:spPr>
          <c:invertIfNegative val="0"/>
          <c:dLbls>
            <c:dLbl>
              <c:idx val="0"/>
              <c:layout>
                <c:manualLayout>
                  <c:x val="-8.3646797989674355E-3"/>
                  <c:y val="-0.21777914255037803"/>
                </c:manualLayout>
              </c:layout>
              <c:tx>
                <c:rich>
                  <a:bodyPr/>
                  <a:lstStyle/>
                  <a:p>
                    <a:r>
                      <a:rPr lang="en-US"/>
                      <a:t>€20.83m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663-304C-BF30-5C6952933421}"/>
                </c:ext>
              </c:extLst>
            </c:dLbl>
            <c:dLbl>
              <c:idx val="1"/>
              <c:layout>
                <c:manualLayout>
                  <c:x val="-5.5555642052426317E-3"/>
                  <c:y val="-0.46632405588311299"/>
                </c:manualLayout>
              </c:layout>
              <c:tx>
                <c:rich>
                  <a:bodyPr/>
                  <a:lstStyle/>
                  <a:p>
                    <a:r>
                      <a:rPr lang="en-US"/>
                      <a:t>€34.08m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663-304C-BF30-5C695293342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C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'APPENDIX 2-Graph Presentation'!$A$61:$A$62</c:f>
              <c:strCache>
                <c:ptCount val="2"/>
                <c:pt idx="0">
                  <c:v>Without Capex</c:v>
                </c:pt>
                <c:pt idx="1">
                  <c:v>With Capex</c:v>
                </c:pt>
              </c:strCache>
            </c:strRef>
          </c:cat>
          <c:val>
            <c:numRef>
              <c:f>'APPENDIX 2-Graph Presentation'!$B$61:$B$62</c:f>
              <c:numCache>
                <c:formatCode>_ [$€-2]\ * #,##0.00_ ;_ [$€-2]\ * \-#,##0.00_ ;_ [$€-2]\ * "-"??_ ;_ @_ </c:formatCode>
                <c:ptCount val="2"/>
                <c:pt idx="0">
                  <c:v>20828353.271046471</c:v>
                </c:pt>
                <c:pt idx="1">
                  <c:v>20828353.271046471</c:v>
                </c:pt>
              </c:numCache>
            </c:numRef>
          </c:val>
          <c:extLst>
            <c:ext xmlns:c16="http://schemas.microsoft.com/office/drawing/2014/chart" uri="{C3380CC4-5D6E-409C-BE32-E72D297353CC}">
              <c16:uniqueId val="{00000000-6663-304C-BF30-5C6952933421}"/>
            </c:ext>
          </c:extLst>
        </c:ser>
        <c:ser>
          <c:idx val="1"/>
          <c:order val="1"/>
          <c:tx>
            <c:v>with CAPEX</c:v>
          </c:tx>
          <c:spPr>
            <a:solidFill>
              <a:srgbClr val="BC9057"/>
            </a:solidFill>
            <a:ln>
              <a:noFill/>
            </a:ln>
            <a:effectLst/>
          </c:spPr>
          <c:invertIfNegative val="0"/>
          <c:dLbls>
            <c:dLbl>
              <c:idx val="1"/>
              <c:tx>
                <c:rich>
                  <a:bodyPr/>
                  <a:lstStyle/>
                  <a:p>
                    <a:r>
                      <a:rPr lang="en-US"/>
                      <a:t>+13.16m</a:t>
                    </a:r>
                    <a:r>
                      <a:rPr lang="en-US" baseline="0"/>
                      <a:t> </a:t>
                    </a:r>
                    <a:endParaRPr lang="en-US"/>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663-304C-BF30-5C695293342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C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'APPENDIX 2-Graph Presentation'!$A$61:$A$62</c:f>
              <c:strCache>
                <c:ptCount val="2"/>
                <c:pt idx="0">
                  <c:v>Without Capex</c:v>
                </c:pt>
                <c:pt idx="1">
                  <c:v>With Capex</c:v>
                </c:pt>
              </c:strCache>
            </c:strRef>
          </c:cat>
          <c:val>
            <c:numRef>
              <c:f>'APPENDIX 2-Graph Presentation'!$C$61:$C$62</c:f>
              <c:numCache>
                <c:formatCode>_ [$€-2]\ * #,##0.00_ ;_ [$€-2]\ * \-#,##0.00_ ;_ [$€-2]\ * "-"??_ ;_ @_ </c:formatCode>
                <c:ptCount val="2"/>
                <c:pt idx="1">
                  <c:v>13235629.148465823</c:v>
                </c:pt>
              </c:numCache>
            </c:numRef>
          </c:val>
          <c:extLst>
            <c:ext xmlns:c16="http://schemas.microsoft.com/office/drawing/2014/chart" uri="{C3380CC4-5D6E-409C-BE32-E72D297353CC}">
              <c16:uniqueId val="{00000001-6663-304C-BF30-5C6952933421}"/>
            </c:ext>
          </c:extLst>
        </c:ser>
        <c:dLbls>
          <c:showLegendKey val="0"/>
          <c:showVal val="0"/>
          <c:showCatName val="0"/>
          <c:showSerName val="0"/>
          <c:showPercent val="0"/>
          <c:showBubbleSize val="0"/>
        </c:dLbls>
        <c:gapWidth val="77"/>
        <c:overlap val="100"/>
        <c:axId val="1492077184"/>
        <c:axId val="1860023424"/>
      </c:barChart>
      <c:catAx>
        <c:axId val="149207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CH"/>
          </a:p>
        </c:txPr>
        <c:crossAx val="1860023424"/>
        <c:crosses val="autoZero"/>
        <c:auto val="1"/>
        <c:lblAlgn val="ctr"/>
        <c:lblOffset val="100"/>
        <c:noMultiLvlLbl val="0"/>
      </c:catAx>
      <c:valAx>
        <c:axId val="1860023424"/>
        <c:scaling>
          <c:orientation val="minMax"/>
          <c:max val="35000000"/>
        </c:scaling>
        <c:delete val="0"/>
        <c:axPos val="l"/>
        <c:majorGridlines>
          <c:spPr>
            <a:ln w="9525" cap="flat" cmpd="sng" algn="ctr">
              <a:solidFill>
                <a:schemeClr val="tx1">
                  <a:lumMod val="15000"/>
                  <a:lumOff val="85000"/>
                </a:schemeClr>
              </a:solidFill>
              <a:round/>
            </a:ln>
            <a:effectLst/>
          </c:spPr>
        </c:majorGridlines>
        <c:numFmt formatCode="_ [$€-2]\ * #,##0_ ;_ [$€-2]\ * \-#,##0_ ;_ [$€-2]\ * &quot;-&quot;_ ;_ @_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CH"/>
          </a:p>
        </c:txPr>
        <c:crossAx val="149207718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CH"/>
              </a:p>
            </c:txPr>
          </c:dispUnitsLbl>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CH"/>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ADR</a:t>
            </a:r>
            <a:r>
              <a:rPr lang="en-GB" baseline="0"/>
              <a:t> Hotel VS Compset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'APPENDIX 2-Graph Presentation'!$O$38</c:f>
              <c:strCache>
                <c:ptCount val="1"/>
                <c:pt idx="0">
                  <c:v>Hotel</c:v>
                </c:pt>
              </c:strCache>
            </c:strRef>
          </c:tx>
          <c:spPr>
            <a:ln w="28575" cap="rnd">
              <a:solidFill>
                <a:schemeClr val="accent1"/>
              </a:solidFill>
              <a:round/>
            </a:ln>
            <a:effectLst/>
          </c:spPr>
          <c:marker>
            <c:symbol val="none"/>
          </c:marker>
          <c:cat>
            <c:strRef>
              <c:f>'APPENDIX 2-Graph Presentation'!$P$37:$AA$37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'APPENDIX 2-Graph Presentation'!$P$38:$AA$38</c:f>
              <c:numCache>
                <c:formatCode>General</c:formatCode>
                <c:ptCount val="12"/>
                <c:pt idx="0">
                  <c:v>144.64000000000001</c:v>
                </c:pt>
                <c:pt idx="1">
                  <c:v>146.18285714285713</c:v>
                </c:pt>
                <c:pt idx="2">
                  <c:v>118.7757142857143</c:v>
                </c:pt>
                <c:pt idx="3">
                  <c:v>136.70285714285714</c:v>
                </c:pt>
                <c:pt idx="4">
                  <c:v>137.30428571428573</c:v>
                </c:pt>
                <c:pt idx="5">
                  <c:v>138.9842857142857</c:v>
                </c:pt>
                <c:pt idx="6">
                  <c:v>123.49000000000001</c:v>
                </c:pt>
                <c:pt idx="7">
                  <c:v>137.3314285714286</c:v>
                </c:pt>
                <c:pt idx="8">
                  <c:v>140.41999999999999</c:v>
                </c:pt>
                <c:pt idx="9">
                  <c:v>121.72285714285714</c:v>
                </c:pt>
                <c:pt idx="10">
                  <c:v>114.4442857142857</c:v>
                </c:pt>
                <c:pt idx="11">
                  <c:v>143.37428571428569</c:v>
                </c:pt>
              </c:numCache>
            </c:numRef>
          </c:val>
          <c:smooth val="0"/>
          <c:extLst>
            <c:ext xmlns:c16="http://schemas.microsoft.com/office/drawing/2014/chart" uri="{C3380CC4-5D6E-409C-BE32-E72D297353CC}">
              <c16:uniqueId val="{00000000-D266-D84E-87B0-7732F7CB0B83}"/>
            </c:ext>
          </c:extLst>
        </c:ser>
        <c:ser>
          <c:idx val="1"/>
          <c:order val="1"/>
          <c:tx>
            <c:strRef>
              <c:f>'APPENDIX 2-Graph Presentation'!$O$39</c:f>
              <c:strCache>
                <c:ptCount val="1"/>
                <c:pt idx="0">
                  <c:v>Compset</c:v>
                </c:pt>
              </c:strCache>
            </c:strRef>
          </c:tx>
          <c:spPr>
            <a:ln w="28575" cap="rnd">
              <a:solidFill>
                <a:schemeClr val="accent2"/>
              </a:solidFill>
              <a:round/>
            </a:ln>
            <a:effectLst/>
          </c:spPr>
          <c:marker>
            <c:symbol val="none"/>
          </c:marker>
          <c:cat>
            <c:strRef>
              <c:f>'APPENDIX 2-Graph Presentation'!$P$37:$AA$37</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'APPENDIX 2-Graph Presentation'!$P$39:$AA$39</c:f>
              <c:numCache>
                <c:formatCode>General</c:formatCode>
                <c:ptCount val="12"/>
                <c:pt idx="0">
                  <c:v>149.13142857142856</c:v>
                </c:pt>
                <c:pt idx="1">
                  <c:v>135.51714285714283</c:v>
                </c:pt>
                <c:pt idx="2">
                  <c:v>128.94</c:v>
                </c:pt>
                <c:pt idx="3">
                  <c:v>119.75714285714285</c:v>
                </c:pt>
                <c:pt idx="4">
                  <c:v>127.41714285714285</c:v>
                </c:pt>
                <c:pt idx="5">
                  <c:v>126.06142857142856</c:v>
                </c:pt>
                <c:pt idx="6">
                  <c:v>126.45714285714287</c:v>
                </c:pt>
                <c:pt idx="7">
                  <c:v>135.54142857142855</c:v>
                </c:pt>
                <c:pt idx="8">
                  <c:v>140.54714285714286</c:v>
                </c:pt>
                <c:pt idx="9">
                  <c:v>125.92285714285713</c:v>
                </c:pt>
                <c:pt idx="10">
                  <c:v>121.16857142857144</c:v>
                </c:pt>
                <c:pt idx="11">
                  <c:v>157.01142857142855</c:v>
                </c:pt>
              </c:numCache>
            </c:numRef>
          </c:val>
          <c:smooth val="0"/>
          <c:extLst>
            <c:ext xmlns:c16="http://schemas.microsoft.com/office/drawing/2014/chart" uri="{C3380CC4-5D6E-409C-BE32-E72D297353CC}">
              <c16:uniqueId val="{00000001-D266-D84E-87B0-7732F7CB0B83}"/>
            </c:ext>
          </c:extLst>
        </c:ser>
        <c:dLbls>
          <c:showLegendKey val="0"/>
          <c:showVal val="0"/>
          <c:showCatName val="0"/>
          <c:showSerName val="0"/>
          <c:showPercent val="0"/>
          <c:showBubbleSize val="0"/>
        </c:dLbls>
        <c:smooth val="0"/>
        <c:axId val="1644873471"/>
        <c:axId val="1644877055"/>
      </c:lineChart>
      <c:catAx>
        <c:axId val="164487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1644877055"/>
        <c:crosses val="autoZero"/>
        <c:auto val="1"/>
        <c:lblAlgn val="ctr"/>
        <c:lblOffset val="100"/>
        <c:noMultiLvlLbl val="0"/>
      </c:catAx>
      <c:valAx>
        <c:axId val="1644877055"/>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1644873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H"/>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Occ%</a:t>
            </a:r>
            <a:r>
              <a:rPr lang="en-GB" baseline="0"/>
              <a:t> Hotel VS Compet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'APPENDIX 2-Graph Presentation'!$O$65</c:f>
              <c:strCache>
                <c:ptCount val="1"/>
                <c:pt idx="0">
                  <c:v>Hotel </c:v>
                </c:pt>
              </c:strCache>
            </c:strRef>
          </c:tx>
          <c:spPr>
            <a:ln w="28575" cap="rnd">
              <a:solidFill>
                <a:schemeClr val="accent1"/>
              </a:solidFill>
              <a:round/>
            </a:ln>
            <a:effectLst/>
          </c:spPr>
          <c:marker>
            <c:symbol val="none"/>
          </c:marker>
          <c:val>
            <c:numRef>
              <c:f>'APPENDIX 2-Graph Presentation'!$P$65:$AA$65</c:f>
              <c:numCache>
                <c:formatCode>0.00%</c:formatCode>
                <c:ptCount val="12"/>
                <c:pt idx="0">
                  <c:v>0.59942857142857142</c:v>
                </c:pt>
                <c:pt idx="1">
                  <c:v>0.60042857142857131</c:v>
                </c:pt>
                <c:pt idx="2">
                  <c:v>0.48614285714285721</c:v>
                </c:pt>
                <c:pt idx="3">
                  <c:v>0.4875714285714286</c:v>
                </c:pt>
                <c:pt idx="4">
                  <c:v>0.52142857142857135</c:v>
                </c:pt>
                <c:pt idx="5">
                  <c:v>0.48728571428571438</c:v>
                </c:pt>
                <c:pt idx="6">
                  <c:v>0.44185714285714284</c:v>
                </c:pt>
                <c:pt idx="7">
                  <c:v>0.50028571428571422</c:v>
                </c:pt>
                <c:pt idx="8">
                  <c:v>0.54342857142857148</c:v>
                </c:pt>
                <c:pt idx="9">
                  <c:v>0.53200000000000003</c:v>
                </c:pt>
                <c:pt idx="10">
                  <c:v>0.48385714285714287</c:v>
                </c:pt>
                <c:pt idx="11">
                  <c:v>0.59600000000000009</c:v>
                </c:pt>
              </c:numCache>
            </c:numRef>
          </c:val>
          <c:smooth val="0"/>
          <c:extLst>
            <c:ext xmlns:c16="http://schemas.microsoft.com/office/drawing/2014/chart" uri="{C3380CC4-5D6E-409C-BE32-E72D297353CC}">
              <c16:uniqueId val="{00000000-80FA-A84C-A76D-1A33B9FC6E11}"/>
            </c:ext>
          </c:extLst>
        </c:ser>
        <c:ser>
          <c:idx val="1"/>
          <c:order val="1"/>
          <c:tx>
            <c:strRef>
              <c:f>'APPENDIX 2-Graph Presentation'!$O$66</c:f>
              <c:strCache>
                <c:ptCount val="1"/>
                <c:pt idx="0">
                  <c:v>Compset</c:v>
                </c:pt>
              </c:strCache>
            </c:strRef>
          </c:tx>
          <c:spPr>
            <a:ln w="28575" cap="rnd">
              <a:solidFill>
                <a:schemeClr val="accent2"/>
              </a:solidFill>
              <a:round/>
            </a:ln>
            <a:effectLst/>
          </c:spPr>
          <c:marker>
            <c:symbol val="none"/>
          </c:marker>
          <c:val>
            <c:numRef>
              <c:f>'APPENDIX 2-Graph Presentation'!$P$66:$AA$66</c:f>
              <c:numCache>
                <c:formatCode>0.00%</c:formatCode>
                <c:ptCount val="12"/>
                <c:pt idx="0">
                  <c:v>0.6487142857142858</c:v>
                </c:pt>
                <c:pt idx="1">
                  <c:v>0.59657142857142842</c:v>
                </c:pt>
                <c:pt idx="2">
                  <c:v>0.51200000000000001</c:v>
                </c:pt>
                <c:pt idx="3">
                  <c:v>0.44085714285714289</c:v>
                </c:pt>
                <c:pt idx="4">
                  <c:v>0.50857142857142856</c:v>
                </c:pt>
                <c:pt idx="5">
                  <c:v>0.48942857142857144</c:v>
                </c:pt>
                <c:pt idx="6">
                  <c:v>0.40128571428571425</c:v>
                </c:pt>
                <c:pt idx="7">
                  <c:v>0.54214285714285715</c:v>
                </c:pt>
                <c:pt idx="8">
                  <c:v>0.5912857142857143</c:v>
                </c:pt>
                <c:pt idx="9">
                  <c:v>0.60600000000000009</c:v>
                </c:pt>
                <c:pt idx="10">
                  <c:v>0.60199999999999998</c:v>
                </c:pt>
                <c:pt idx="11">
                  <c:v>0.67471428571428571</c:v>
                </c:pt>
              </c:numCache>
            </c:numRef>
          </c:val>
          <c:smooth val="0"/>
          <c:extLst>
            <c:ext xmlns:c16="http://schemas.microsoft.com/office/drawing/2014/chart" uri="{C3380CC4-5D6E-409C-BE32-E72D297353CC}">
              <c16:uniqueId val="{00000001-80FA-A84C-A76D-1A33B9FC6E11}"/>
            </c:ext>
          </c:extLst>
        </c:ser>
        <c:dLbls>
          <c:showLegendKey val="0"/>
          <c:showVal val="0"/>
          <c:showCatName val="0"/>
          <c:showSerName val="0"/>
          <c:showPercent val="0"/>
          <c:showBubbleSize val="0"/>
        </c:dLbls>
        <c:smooth val="0"/>
        <c:axId val="814803903"/>
        <c:axId val="814793599"/>
      </c:lineChart>
      <c:catAx>
        <c:axId val="81480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814793599"/>
        <c:crosses val="autoZero"/>
        <c:auto val="1"/>
        <c:lblAlgn val="ctr"/>
        <c:lblOffset val="100"/>
        <c:noMultiLvlLbl val="0"/>
      </c:catAx>
      <c:valAx>
        <c:axId val="814793599"/>
        <c:scaling>
          <c:orientation val="minMax"/>
          <c:min val="0.3"/>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814803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H"/>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KPI's</a:t>
            </a:r>
            <a:r>
              <a:rPr lang="en-GB" b="1" baseline="0"/>
              <a:t> forecast</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'APPENDIX 2-Graph Presentation'!$A$83</c:f>
              <c:strCache>
                <c:ptCount val="1"/>
                <c:pt idx="0">
                  <c:v> ADR </c:v>
                </c:pt>
              </c:strCache>
            </c:strRef>
          </c:tx>
          <c:spPr>
            <a:ln w="28575" cap="rnd">
              <a:solidFill>
                <a:schemeClr val="accent1"/>
              </a:solidFill>
              <a:round/>
            </a:ln>
            <a:effectLst/>
          </c:spPr>
          <c:marker>
            <c:symbol val="none"/>
          </c:marker>
          <c:cat>
            <c:numRef>
              <c:f>'APPENDIX 2-Graph Presentation'!$B$79:$M$79</c:f>
              <c:numCache>
                <c:formatCode>General</c:formatCode>
                <c:ptCount val="12"/>
                <c:pt idx="0">
                  <c:v>2025</c:v>
                </c:pt>
                <c:pt idx="1">
                  <c:v>2026</c:v>
                </c:pt>
                <c:pt idx="2">
                  <c:v>2027</c:v>
                </c:pt>
                <c:pt idx="3">
                  <c:v>2028</c:v>
                </c:pt>
                <c:pt idx="4">
                  <c:v>2029</c:v>
                </c:pt>
                <c:pt idx="5">
                  <c:v>2030</c:v>
                </c:pt>
                <c:pt idx="6">
                  <c:v>2031</c:v>
                </c:pt>
                <c:pt idx="7">
                  <c:v>2032</c:v>
                </c:pt>
                <c:pt idx="8">
                  <c:v>2033</c:v>
                </c:pt>
                <c:pt idx="9">
                  <c:v>2034</c:v>
                </c:pt>
                <c:pt idx="10">
                  <c:v>2035</c:v>
                </c:pt>
                <c:pt idx="11">
                  <c:v>2036</c:v>
                </c:pt>
              </c:numCache>
            </c:numRef>
          </c:cat>
          <c:val>
            <c:numRef>
              <c:f>'APPENDIX 2-Graph Presentation'!$B$83:$M$83</c:f>
              <c:numCache>
                <c:formatCode>_ [$€-2]\ * #,##0.0_ ;_ [$€-2]\ * \-#,##0.0_ ;_ [$€-2]\ * "-"??_ ;_ @_ </c:formatCode>
                <c:ptCount val="12"/>
                <c:pt idx="0">
                  <c:v>120.64994404825795</c:v>
                </c:pt>
                <c:pt idx="1">
                  <c:v>126.44358485231193</c:v>
                </c:pt>
                <c:pt idx="2">
                  <c:v>133.77987360047834</c:v>
                </c:pt>
                <c:pt idx="3">
                  <c:v>146.89301061987172</c:v>
                </c:pt>
                <c:pt idx="4">
                  <c:v>161.29150064388006</c:v>
                </c:pt>
                <c:pt idx="5">
                  <c:v>162.58509924090308</c:v>
                </c:pt>
                <c:pt idx="6">
                  <c:v>163.88907282559464</c:v>
                </c:pt>
                <c:pt idx="7">
                  <c:v>165.20350460797783</c:v>
                </c:pt>
                <c:pt idx="8">
                  <c:v>166.52847846544114</c:v>
                </c:pt>
                <c:pt idx="9">
                  <c:v>167.86407894809093</c:v>
                </c:pt>
                <c:pt idx="10">
                  <c:v>169.21039128414677</c:v>
                </c:pt>
                <c:pt idx="11">
                  <c:v>170.5675013853801</c:v>
                </c:pt>
              </c:numCache>
            </c:numRef>
          </c:val>
          <c:smooth val="1"/>
          <c:extLst>
            <c:ext xmlns:c16="http://schemas.microsoft.com/office/drawing/2014/chart" uri="{C3380CC4-5D6E-409C-BE32-E72D297353CC}">
              <c16:uniqueId val="{00000000-94C0-3747-9EB3-891AC2926C72}"/>
            </c:ext>
          </c:extLst>
        </c:ser>
        <c:ser>
          <c:idx val="1"/>
          <c:order val="1"/>
          <c:tx>
            <c:strRef>
              <c:f>'APPENDIX 2-Graph Presentation'!$A$84</c:f>
              <c:strCache>
                <c:ptCount val="1"/>
                <c:pt idx="0">
                  <c:v>RevPAR</c:v>
                </c:pt>
              </c:strCache>
            </c:strRef>
          </c:tx>
          <c:spPr>
            <a:ln w="28575" cap="rnd">
              <a:solidFill>
                <a:srgbClr val="BC9057"/>
              </a:solidFill>
              <a:round/>
            </a:ln>
            <a:effectLst/>
          </c:spPr>
          <c:marker>
            <c:symbol val="none"/>
          </c:marker>
          <c:cat>
            <c:numRef>
              <c:f>'APPENDIX 2-Graph Presentation'!$B$79:$M$79</c:f>
              <c:numCache>
                <c:formatCode>General</c:formatCode>
                <c:ptCount val="12"/>
                <c:pt idx="0">
                  <c:v>2025</c:v>
                </c:pt>
                <c:pt idx="1">
                  <c:v>2026</c:v>
                </c:pt>
                <c:pt idx="2">
                  <c:v>2027</c:v>
                </c:pt>
                <c:pt idx="3">
                  <c:v>2028</c:v>
                </c:pt>
                <c:pt idx="4">
                  <c:v>2029</c:v>
                </c:pt>
                <c:pt idx="5">
                  <c:v>2030</c:v>
                </c:pt>
                <c:pt idx="6">
                  <c:v>2031</c:v>
                </c:pt>
                <c:pt idx="7">
                  <c:v>2032</c:v>
                </c:pt>
                <c:pt idx="8">
                  <c:v>2033</c:v>
                </c:pt>
                <c:pt idx="9">
                  <c:v>2034</c:v>
                </c:pt>
                <c:pt idx="10">
                  <c:v>2035</c:v>
                </c:pt>
                <c:pt idx="11">
                  <c:v>2036</c:v>
                </c:pt>
              </c:numCache>
            </c:numRef>
          </c:cat>
          <c:val>
            <c:numRef>
              <c:f>'APPENDIX 2-Graph Presentation'!$B$84:$M$84</c:f>
              <c:numCache>
                <c:formatCode>_ [$€-2]\ * #,##0.0_ ;_ [$€-2]\ * \-#,##0.0_ ;_ [$€-2]\ * "-"??_ ;_ @_ </c:formatCode>
                <c:ptCount val="12"/>
                <c:pt idx="0">
                  <c:v>89.810383664424236</c:v>
                </c:pt>
                <c:pt idx="1">
                  <c:v>93.828330830057084</c:v>
                </c:pt>
                <c:pt idx="2">
                  <c:v>99.209558897228234</c:v>
                </c:pt>
                <c:pt idx="3">
                  <c:v>109.1376209198275</c:v>
                </c:pt>
                <c:pt idx="4">
                  <c:v>123.65425981008381</c:v>
                </c:pt>
                <c:pt idx="5">
                  <c:v>129.86470786227821</c:v>
                </c:pt>
                <c:pt idx="6">
                  <c:v>131.15082106545069</c:v>
                </c:pt>
                <c:pt idx="7">
                  <c:v>132.20268379505151</c:v>
                </c:pt>
                <c:pt idx="8">
                  <c:v>133.26298272957226</c:v>
                </c:pt>
                <c:pt idx="9">
                  <c:v>134.33178552950841</c:v>
                </c:pt>
                <c:pt idx="10">
                  <c:v>135.40916039800965</c:v>
                </c:pt>
                <c:pt idx="11">
                  <c:v>136.49517608523229</c:v>
                </c:pt>
              </c:numCache>
            </c:numRef>
          </c:val>
          <c:smooth val="1"/>
          <c:extLst>
            <c:ext xmlns:c16="http://schemas.microsoft.com/office/drawing/2014/chart" uri="{C3380CC4-5D6E-409C-BE32-E72D297353CC}">
              <c16:uniqueId val="{00000001-94C0-3747-9EB3-891AC2926C72}"/>
            </c:ext>
          </c:extLst>
        </c:ser>
        <c:dLbls>
          <c:showLegendKey val="0"/>
          <c:showVal val="0"/>
          <c:showCatName val="0"/>
          <c:showSerName val="0"/>
          <c:showPercent val="0"/>
          <c:showBubbleSize val="0"/>
        </c:dLbls>
        <c:marker val="1"/>
        <c:smooth val="0"/>
        <c:axId val="1723380912"/>
        <c:axId val="1084179951"/>
      </c:lineChart>
      <c:lineChart>
        <c:grouping val="standard"/>
        <c:varyColors val="0"/>
        <c:ser>
          <c:idx val="2"/>
          <c:order val="2"/>
          <c:tx>
            <c:strRef>
              <c:f>'APPENDIX 2-Graph Presentation'!$A$82</c:f>
              <c:strCache>
                <c:ptCount val="1"/>
                <c:pt idx="0">
                  <c:v> OCC% </c:v>
                </c:pt>
              </c:strCache>
            </c:strRef>
          </c:tx>
          <c:spPr>
            <a:ln w="28575" cap="rnd">
              <a:solidFill>
                <a:srgbClr val="0E9ED5"/>
              </a:solidFill>
              <a:round/>
            </a:ln>
            <a:effectLst/>
          </c:spPr>
          <c:marker>
            <c:symbol val="none"/>
          </c:marker>
          <c:val>
            <c:numRef>
              <c:f>'APPENDIX 2-Graph Presentation'!$B$82:$M$82</c:f>
              <c:numCache>
                <c:formatCode>0.0%</c:formatCode>
                <c:ptCount val="12"/>
                <c:pt idx="0">
                  <c:v>0.7443881086965245</c:v>
                </c:pt>
                <c:pt idx="1">
                  <c:v>0.74205687018167055</c:v>
                </c:pt>
                <c:pt idx="2">
                  <c:v>0.74158807470179511</c:v>
                </c:pt>
                <c:pt idx="3">
                  <c:v>0.74297354557088324</c:v>
                </c:pt>
                <c:pt idx="4">
                  <c:v>0.76665081121108458</c:v>
                </c:pt>
                <c:pt idx="5">
                  <c:v>0.7987491379505639</c:v>
                </c:pt>
                <c:pt idx="6">
                  <c:v>0.80024139989501974</c:v>
                </c:pt>
                <c:pt idx="7">
                  <c:v>0.80024139989501974</c:v>
                </c:pt>
                <c:pt idx="8">
                  <c:v>0.80024139989501974</c:v>
                </c:pt>
                <c:pt idx="9">
                  <c:v>0.80024139989501974</c:v>
                </c:pt>
                <c:pt idx="10">
                  <c:v>0.80024139989501974</c:v>
                </c:pt>
                <c:pt idx="11">
                  <c:v>0.80024139989501974</c:v>
                </c:pt>
              </c:numCache>
            </c:numRef>
          </c:val>
          <c:smooth val="1"/>
          <c:extLst>
            <c:ext xmlns:c16="http://schemas.microsoft.com/office/drawing/2014/chart" uri="{C3380CC4-5D6E-409C-BE32-E72D297353CC}">
              <c16:uniqueId val="{00000002-94C0-3747-9EB3-891AC2926C72}"/>
            </c:ext>
          </c:extLst>
        </c:ser>
        <c:dLbls>
          <c:showLegendKey val="0"/>
          <c:showVal val="0"/>
          <c:showCatName val="0"/>
          <c:showSerName val="0"/>
          <c:showPercent val="0"/>
          <c:showBubbleSize val="0"/>
        </c:dLbls>
        <c:marker val="1"/>
        <c:smooth val="0"/>
        <c:axId val="1139287407"/>
        <c:axId val="990205423"/>
      </c:lineChart>
      <c:catAx>
        <c:axId val="172338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CH"/>
          </a:p>
        </c:txPr>
        <c:crossAx val="1084179951"/>
        <c:crosses val="autoZero"/>
        <c:auto val="1"/>
        <c:lblAlgn val="ctr"/>
        <c:lblOffset val="100"/>
        <c:noMultiLvlLbl val="0"/>
      </c:catAx>
      <c:valAx>
        <c:axId val="1084179951"/>
        <c:scaling>
          <c:orientation val="minMax"/>
          <c:min val="90"/>
        </c:scaling>
        <c:delete val="0"/>
        <c:axPos val="l"/>
        <c:majorGridlines>
          <c:spPr>
            <a:ln w="9525" cap="flat" cmpd="sng" algn="ctr">
              <a:solidFill>
                <a:schemeClr val="tx1">
                  <a:lumMod val="15000"/>
                  <a:lumOff val="85000"/>
                </a:schemeClr>
              </a:solidFill>
              <a:round/>
            </a:ln>
            <a:effectLst/>
          </c:spPr>
        </c:majorGridlines>
        <c:numFmt formatCode="_ [$€-2]\ * #,##0_ ;_ [$€-2]\ * \-#,##0_ ;_ [$€-2]\ * &quot;-&quot;_ ;_ @_ "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CH"/>
          </a:p>
        </c:txPr>
        <c:crossAx val="1723380912"/>
        <c:crosses val="autoZero"/>
        <c:crossBetween val="between"/>
      </c:valAx>
      <c:valAx>
        <c:axId val="99020542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CH"/>
          </a:p>
        </c:txPr>
        <c:crossAx val="1139287407"/>
        <c:crosses val="max"/>
        <c:crossBetween val="between"/>
      </c:valAx>
      <c:catAx>
        <c:axId val="1139287407"/>
        <c:scaling>
          <c:orientation val="minMax"/>
        </c:scaling>
        <c:delete val="1"/>
        <c:axPos val="b"/>
        <c:majorTickMark val="out"/>
        <c:minorTickMark val="none"/>
        <c:tickLblPos val="nextTo"/>
        <c:crossAx val="9902054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chart>
  <c:spPr>
    <a:solidFill>
      <a:schemeClr val="bg1"/>
    </a:solidFill>
    <a:ln w="9525" cap="flat" cmpd="sng" algn="ctr">
      <a:noFill/>
      <a:round/>
    </a:ln>
    <a:effectLst/>
  </c:spPr>
  <c:txPr>
    <a:bodyPr/>
    <a:lstStyle/>
    <a:p>
      <a:pPr>
        <a:defRPr/>
      </a:pPr>
      <a:endParaRPr lang="en-CH"/>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emf"/></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4</xdr:col>
      <xdr:colOff>675132</xdr:colOff>
      <xdr:row>13</xdr:row>
      <xdr:rowOff>16934</xdr:rowOff>
    </xdr:from>
    <xdr:to>
      <xdr:col>7</xdr:col>
      <xdr:colOff>101600</xdr:colOff>
      <xdr:row>22</xdr:row>
      <xdr:rowOff>25400</xdr:rowOff>
    </xdr:to>
    <xdr:pic>
      <xdr:nvPicPr>
        <xdr:cNvPr id="25" name="Picture 2">
          <a:extLst>
            <a:ext uri="{FF2B5EF4-FFF2-40B4-BE49-F238E27FC236}">
              <a16:creationId xmlns:a16="http://schemas.microsoft.com/office/drawing/2014/main" id="{DC62E77A-7920-86FB-1F43-33C8477647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82032" y="3090334"/>
          <a:ext cx="3109468" cy="1875366"/>
        </a:xfrm>
        <a:prstGeom prst="rect">
          <a:avLst/>
        </a:prstGeom>
      </xdr:spPr>
    </xdr:pic>
    <xdr:clientData/>
  </xdr:twoCellAnchor>
  <xdr:twoCellAnchor editAs="oneCell">
    <xdr:from>
      <xdr:col>8</xdr:col>
      <xdr:colOff>990600</xdr:colOff>
      <xdr:row>16</xdr:row>
      <xdr:rowOff>134839</xdr:rowOff>
    </xdr:from>
    <xdr:to>
      <xdr:col>8</xdr:col>
      <xdr:colOff>2920999</xdr:colOff>
      <xdr:row>22</xdr:row>
      <xdr:rowOff>38101</xdr:rowOff>
    </xdr:to>
    <xdr:pic>
      <xdr:nvPicPr>
        <xdr:cNvPr id="3" name="Picture 2" descr="Radisson Blu Hotel Schwarzer Bock Wiesbaden, Wiesbaden (tarifs actualisés,  2025)">
          <a:extLst>
            <a:ext uri="{FF2B5EF4-FFF2-40B4-BE49-F238E27FC236}">
              <a16:creationId xmlns:a16="http://schemas.microsoft.com/office/drawing/2014/main" id="{D7813125-7F78-ED7A-DEC7-143A58DA30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918700" y="3843239"/>
          <a:ext cx="1930399" cy="11351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88899</xdr:colOff>
      <xdr:row>13</xdr:row>
      <xdr:rowOff>12700</xdr:rowOff>
    </xdr:from>
    <xdr:to>
      <xdr:col>8</xdr:col>
      <xdr:colOff>990598</xdr:colOff>
      <xdr:row>18</xdr:row>
      <xdr:rowOff>114300</xdr:rowOff>
    </xdr:to>
    <xdr:pic>
      <xdr:nvPicPr>
        <xdr:cNvPr id="4" name="Picture 3" descr="Radisson Blu Schwarzer Bock Hotel - Wiesbaden : prix et avis 2026 | Hotels .com">
          <a:extLst>
            <a:ext uri="{FF2B5EF4-FFF2-40B4-BE49-F238E27FC236}">
              <a16:creationId xmlns:a16="http://schemas.microsoft.com/office/drawing/2014/main" id="{D488B592-DFD4-9944-C8EE-7526C725FB0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178799" y="3086100"/>
          <a:ext cx="1739899"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99285</xdr:colOff>
      <xdr:row>18</xdr:row>
      <xdr:rowOff>114300</xdr:rowOff>
    </xdr:from>
    <xdr:to>
      <xdr:col>8</xdr:col>
      <xdr:colOff>571501</xdr:colOff>
      <xdr:row>22</xdr:row>
      <xdr:rowOff>25400</xdr:rowOff>
    </xdr:to>
    <xdr:pic>
      <xdr:nvPicPr>
        <xdr:cNvPr id="5" name="Picture 4" descr="Hotel in Wiesbaden | Radisson Blu Schwarzer Bock Hotel">
          <a:extLst>
            <a:ext uri="{FF2B5EF4-FFF2-40B4-BE49-F238E27FC236}">
              <a16:creationId xmlns:a16="http://schemas.microsoft.com/office/drawing/2014/main" id="{0D75BB50-3C16-7C98-617C-773EE83131F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189185" y="4229100"/>
          <a:ext cx="1310416" cy="73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558800</xdr:colOff>
      <xdr:row>18</xdr:row>
      <xdr:rowOff>114300</xdr:rowOff>
    </xdr:from>
    <xdr:to>
      <xdr:col>8</xdr:col>
      <xdr:colOff>1003300</xdr:colOff>
      <xdr:row>22</xdr:row>
      <xdr:rowOff>38100</xdr:rowOff>
    </xdr:to>
    <xdr:sp macro="" textlink="">
      <xdr:nvSpPr>
        <xdr:cNvPr id="6" name="Rectangle 5">
          <a:extLst>
            <a:ext uri="{FF2B5EF4-FFF2-40B4-BE49-F238E27FC236}">
              <a16:creationId xmlns:a16="http://schemas.microsoft.com/office/drawing/2014/main" id="{46EDA93C-5160-AE94-9ADB-28CDECAA042E}"/>
            </a:ext>
          </a:extLst>
        </xdr:cNvPr>
        <xdr:cNvSpPr/>
      </xdr:nvSpPr>
      <xdr:spPr>
        <a:xfrm>
          <a:off x="9486900" y="4229100"/>
          <a:ext cx="444500" cy="749300"/>
        </a:xfrm>
        <a:prstGeom prst="rect">
          <a:avLst/>
        </a:prstGeom>
        <a:solidFill>
          <a:srgbClr val="BC90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8</xdr:col>
      <xdr:colOff>1435652</xdr:colOff>
      <xdr:row>13</xdr:row>
      <xdr:rowOff>1</xdr:rowOff>
    </xdr:from>
    <xdr:to>
      <xdr:col>8</xdr:col>
      <xdr:colOff>2933699</xdr:colOff>
      <xdr:row>16</xdr:row>
      <xdr:rowOff>133155</xdr:rowOff>
    </xdr:to>
    <xdr:pic>
      <xdr:nvPicPr>
        <xdr:cNvPr id="2" name="Picture 6" descr="Hôtel Journée Wiesbaden : Radisson Blu Schwarzer Bock Hotel | Réservez un  day use avec RoomForDay">
          <a:extLst>
            <a:ext uri="{FF2B5EF4-FFF2-40B4-BE49-F238E27FC236}">
              <a16:creationId xmlns:a16="http://schemas.microsoft.com/office/drawing/2014/main" id="{047D476C-45F5-A583-5E79-B41B4815634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374734" y="3061499"/>
          <a:ext cx="1498047" cy="768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990600</xdr:colOff>
      <xdr:row>13</xdr:row>
      <xdr:rowOff>0</xdr:rowOff>
    </xdr:from>
    <xdr:to>
      <xdr:col>8</xdr:col>
      <xdr:colOff>1435100</xdr:colOff>
      <xdr:row>16</xdr:row>
      <xdr:rowOff>139700</xdr:rowOff>
    </xdr:to>
    <xdr:sp macro="" textlink="">
      <xdr:nvSpPr>
        <xdr:cNvPr id="10" name="Rectangle 7">
          <a:extLst>
            <a:ext uri="{FF2B5EF4-FFF2-40B4-BE49-F238E27FC236}">
              <a16:creationId xmlns:a16="http://schemas.microsoft.com/office/drawing/2014/main" id="{7E2E7E22-8FFF-3043-ADEB-B39B75A4EEFD}"/>
            </a:ext>
          </a:extLst>
        </xdr:cNvPr>
        <xdr:cNvSpPr/>
      </xdr:nvSpPr>
      <xdr:spPr>
        <a:xfrm>
          <a:off x="9918700" y="3073400"/>
          <a:ext cx="444500" cy="774700"/>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868947</xdr:colOff>
      <xdr:row>35</xdr:row>
      <xdr:rowOff>76292</xdr:rowOff>
    </xdr:from>
    <xdr:to>
      <xdr:col>9</xdr:col>
      <xdr:colOff>25400</xdr:colOff>
      <xdr:row>41</xdr:row>
      <xdr:rowOff>197172</xdr:rowOff>
    </xdr:to>
    <xdr:pic>
      <xdr:nvPicPr>
        <xdr:cNvPr id="5" name="Picture 3">
          <a:extLst>
            <a:ext uri="{FF2B5EF4-FFF2-40B4-BE49-F238E27FC236}">
              <a16:creationId xmlns:a16="http://schemas.microsoft.com/office/drawing/2014/main" id="{877A5612-7BEA-934D-860C-6F11983AFFF3}"/>
            </a:ext>
          </a:extLst>
        </xdr:cNvPr>
        <xdr:cNvPicPr>
          <a:picLocks noChangeAspect="1"/>
        </xdr:cNvPicPr>
      </xdr:nvPicPr>
      <xdr:blipFill>
        <a:blip xmlns:r="http://schemas.openxmlformats.org/officeDocument/2006/relationships" r:embed="rId1"/>
        <a:stretch>
          <a:fillRect/>
        </a:stretch>
      </xdr:blipFill>
      <xdr:spPr>
        <a:xfrm>
          <a:off x="11017807" y="8453836"/>
          <a:ext cx="3356365" cy="1468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115119</xdr:colOff>
      <xdr:row>6</xdr:row>
      <xdr:rowOff>178619</xdr:rowOff>
    </xdr:from>
    <xdr:to>
      <xdr:col>9</xdr:col>
      <xdr:colOff>1708604</xdr:colOff>
      <xdr:row>17</xdr:row>
      <xdr:rowOff>157382</xdr:rowOff>
    </xdr:to>
    <xdr:pic>
      <xdr:nvPicPr>
        <xdr:cNvPr id="2" name="Picture 1">
          <a:extLst>
            <a:ext uri="{FF2B5EF4-FFF2-40B4-BE49-F238E27FC236}">
              <a16:creationId xmlns:a16="http://schemas.microsoft.com/office/drawing/2014/main" id="{25C4CDE8-E570-504D-BE20-A74B939684E1}"/>
            </a:ext>
            <a:ext uri="{147F2762-F138-4A5C-976F-8EAC2B608ADB}">
              <a16:predDERef xmlns:a16="http://schemas.microsoft.com/office/drawing/2014/main" pred="{771F5B3D-F1EB-409D-BE2B-195DBA712FA6}"/>
            </a:ext>
          </a:extLst>
        </xdr:cNvPr>
        <xdr:cNvPicPr>
          <a:picLocks noChangeAspect="1"/>
        </xdr:cNvPicPr>
      </xdr:nvPicPr>
      <xdr:blipFill>
        <a:blip xmlns:r="http://schemas.openxmlformats.org/officeDocument/2006/relationships" r:embed="rId1"/>
        <a:stretch>
          <a:fillRect/>
        </a:stretch>
      </xdr:blipFill>
      <xdr:spPr>
        <a:xfrm>
          <a:off x="20496571" y="5750232"/>
          <a:ext cx="4230319" cy="2361395"/>
        </a:xfrm>
        <a:prstGeom prst="rect">
          <a:avLst/>
        </a:prstGeom>
      </xdr:spPr>
    </xdr:pic>
    <xdr:clientData/>
  </xdr:twoCellAnchor>
  <xdr:twoCellAnchor editAs="oneCell">
    <xdr:from>
      <xdr:col>10</xdr:col>
      <xdr:colOff>386327</xdr:colOff>
      <xdr:row>6</xdr:row>
      <xdr:rowOff>191319</xdr:rowOff>
    </xdr:from>
    <xdr:to>
      <xdr:col>16</xdr:col>
      <xdr:colOff>690541</xdr:colOff>
      <xdr:row>17</xdr:row>
      <xdr:rowOff>181246</xdr:rowOff>
    </xdr:to>
    <xdr:pic>
      <xdr:nvPicPr>
        <xdr:cNvPr id="3" name="Picture 2">
          <a:extLst>
            <a:ext uri="{FF2B5EF4-FFF2-40B4-BE49-F238E27FC236}">
              <a16:creationId xmlns:a16="http://schemas.microsoft.com/office/drawing/2014/main" id="{0DC4C1F4-CA85-5E4E-9DBC-799A5C7D1B19}"/>
            </a:ext>
            <a:ext uri="{147F2762-F138-4A5C-976F-8EAC2B608ADB}">
              <a16:predDERef xmlns:a16="http://schemas.microsoft.com/office/drawing/2014/main" pred="{2CC6D617-3DF4-DA4D-8D25-D992AC9ED5A8}"/>
            </a:ext>
          </a:extLst>
        </xdr:cNvPr>
        <xdr:cNvPicPr>
          <a:picLocks noChangeAspect="1"/>
        </xdr:cNvPicPr>
      </xdr:nvPicPr>
      <xdr:blipFill>
        <a:blip xmlns:r="http://schemas.openxmlformats.org/officeDocument/2006/relationships" r:embed="rId2"/>
        <a:stretch>
          <a:fillRect/>
        </a:stretch>
      </xdr:blipFill>
      <xdr:spPr>
        <a:xfrm>
          <a:off x="24905521" y="5762932"/>
          <a:ext cx="5220343" cy="237255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4775200</xdr:colOff>
      <xdr:row>29</xdr:row>
      <xdr:rowOff>152400</xdr:rowOff>
    </xdr:from>
    <xdr:to>
      <xdr:col>12</xdr:col>
      <xdr:colOff>1627159</xdr:colOff>
      <xdr:row>36</xdr:row>
      <xdr:rowOff>37798</xdr:rowOff>
    </xdr:to>
    <xdr:pic>
      <xdr:nvPicPr>
        <xdr:cNvPr id="3" name="Picture 1">
          <a:extLst>
            <a:ext uri="{FF2B5EF4-FFF2-40B4-BE49-F238E27FC236}">
              <a16:creationId xmlns:a16="http://schemas.microsoft.com/office/drawing/2014/main" id="{B0384877-B2E1-E1A7-8BF5-D61E953A9F8A}"/>
            </a:ext>
          </a:extLst>
        </xdr:cNvPr>
        <xdr:cNvPicPr>
          <a:picLocks noChangeAspect="1"/>
        </xdr:cNvPicPr>
      </xdr:nvPicPr>
      <xdr:blipFill>
        <a:blip xmlns:r="http://schemas.openxmlformats.org/officeDocument/2006/relationships" r:embed="rId1"/>
        <a:stretch>
          <a:fillRect/>
        </a:stretch>
      </xdr:blipFill>
      <xdr:spPr>
        <a:xfrm>
          <a:off x="27000200" y="6578600"/>
          <a:ext cx="3074959" cy="14004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14</xdr:col>
      <xdr:colOff>564573</xdr:colOff>
      <xdr:row>20</xdr:row>
      <xdr:rowOff>83128</xdr:rowOff>
    </xdr:from>
    <xdr:to>
      <xdr:col>21</xdr:col>
      <xdr:colOff>442191</xdr:colOff>
      <xdr:row>25</xdr:row>
      <xdr:rowOff>175491</xdr:rowOff>
    </xdr:to>
    <xdr:sp macro="" textlink="">
      <xdr:nvSpPr>
        <xdr:cNvPr id="3" name="TextBox 1">
          <a:extLst>
            <a:ext uri="{FF2B5EF4-FFF2-40B4-BE49-F238E27FC236}">
              <a16:creationId xmlns:a16="http://schemas.microsoft.com/office/drawing/2014/main" id="{29DCE51A-2B99-D07C-99CC-D5E177CFCC6D}"/>
            </a:ext>
          </a:extLst>
        </xdr:cNvPr>
        <xdr:cNvSpPr txBox="1"/>
      </xdr:nvSpPr>
      <xdr:spPr>
        <a:xfrm>
          <a:off x="14557664" y="4003964"/>
          <a:ext cx="5890491" cy="1062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FF0000"/>
              </a:solidFill>
            </a:rPr>
            <a:t>ADR ajusté(t) = ADR(t-1) × (1 + inflation_t) × (1 + upgrade_t)</a:t>
          </a:r>
        </a:p>
        <a:p>
          <a:r>
            <a:rPr lang="en-GB" sz="1600" b="1">
              <a:solidFill>
                <a:srgbClr val="FF0000"/>
              </a:solidFill>
            </a:rPr>
            <a:t>Room Revenue = Rooms Sold × ADR ajusté</a:t>
          </a:r>
        </a:p>
        <a:p>
          <a:endParaRPr lang="en-GB" sz="1600">
            <a:solidFill>
              <a:srgbClr val="FF0000"/>
            </a:solidFill>
          </a:endParaRPr>
        </a:p>
      </xdr:txBody>
    </xdr:sp>
    <xdr:clientData/>
  </xdr:twoCellAnchor>
  <xdr:twoCellAnchor>
    <xdr:from>
      <xdr:col>5</xdr:col>
      <xdr:colOff>387926</xdr:colOff>
      <xdr:row>59</xdr:row>
      <xdr:rowOff>96981</xdr:rowOff>
    </xdr:from>
    <xdr:to>
      <xdr:col>11</xdr:col>
      <xdr:colOff>96981</xdr:colOff>
      <xdr:row>73</xdr:row>
      <xdr:rowOff>96982</xdr:rowOff>
    </xdr:to>
    <mc:AlternateContent xmlns:mc="http://schemas.openxmlformats.org/markup-compatibility/2006" xmlns:a14="http://schemas.microsoft.com/office/drawing/2010/main">
      <mc:Choice Requires="a14">
        <xdr:sp macro="" textlink="">
          <xdr:nvSpPr>
            <xdr:cNvPr id="23" name="TextBox 2">
              <a:extLst>
                <a:ext uri="{FF2B5EF4-FFF2-40B4-BE49-F238E27FC236}">
                  <a16:creationId xmlns:a16="http://schemas.microsoft.com/office/drawing/2014/main" id="{92B4422C-F084-5443-D867-53AA08706429}"/>
                </a:ext>
              </a:extLst>
            </xdr:cNvPr>
            <xdr:cNvSpPr txBox="1"/>
          </xdr:nvSpPr>
          <xdr:spPr>
            <a:xfrm>
              <a:off x="5458690" y="11665526"/>
              <a:ext cx="8908473" cy="27154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chemeClr val="tx2">
                      <a:lumMod val="75000"/>
                      <a:lumOff val="25000"/>
                    </a:schemeClr>
                  </a:solidFill>
                </a:rPr>
                <a:t>Croissance annuelle composée (CAGR) nécessaire pour passer de </a:t>
              </a:r>
              <a:r>
                <a:rPr lang="en-GB" sz="1600" b="1">
                  <a:solidFill>
                    <a:schemeClr val="tx2">
                      <a:lumMod val="75000"/>
                      <a:lumOff val="25000"/>
                    </a:schemeClr>
                  </a:solidFill>
                </a:rPr>
                <a:t>126.35 → 209.87</a:t>
              </a:r>
              <a:r>
                <a:rPr lang="en-GB" sz="1600">
                  <a:solidFill>
                    <a:schemeClr val="tx2">
                      <a:lumMod val="75000"/>
                      <a:lumOff val="25000"/>
                    </a:schemeClr>
                  </a:solidFill>
                </a:rPr>
                <a:t> en </a:t>
              </a:r>
              <a:r>
                <a:rPr lang="en-GB" sz="1600" b="1">
                  <a:solidFill>
                    <a:schemeClr val="tx2">
                      <a:lumMod val="75000"/>
                      <a:lumOff val="25000"/>
                    </a:schemeClr>
                  </a:solidFill>
                </a:rPr>
                <a:t>10 ans</a:t>
              </a:r>
              <a:r>
                <a:rPr lang="en-GB" sz="1600">
                  <a:solidFill>
                    <a:schemeClr val="tx2">
                      <a:lumMod val="75000"/>
                      <a:lumOff val="25000"/>
                    </a:schemeClr>
                  </a:solidFill>
                </a:rPr>
                <a:t> :</a:t>
              </a:r>
            </a:p>
            <a:p>
              <a:pPr/>
              <a14:m>
                <m:oMathPara xmlns:m="http://schemas.openxmlformats.org/officeDocument/2006/math">
                  <m:oMathParaPr>
                    <m:jc m:val="centerGroup"/>
                  </m:oMathParaPr>
                  <m:oMath xmlns:m="http://schemas.openxmlformats.org/officeDocument/2006/math">
                    <m:r>
                      <m:rPr>
                        <m:nor/>
                      </m:rPr>
                      <a:rPr lang="en-GB" sz="1600" b="0">
                        <a:solidFill>
                          <a:schemeClr val="tx2">
                            <a:lumMod val="75000"/>
                            <a:lumOff val="25000"/>
                          </a:schemeClr>
                        </a:solidFill>
                      </a:rPr>
                      <m:t>CAGR</m:t>
                    </m:r>
                    <m:r>
                      <a:rPr lang="en-GB" sz="1600" b="0" i="0">
                        <a:solidFill>
                          <a:schemeClr val="tx2">
                            <a:lumMod val="75000"/>
                            <a:lumOff val="25000"/>
                          </a:schemeClr>
                        </a:solidFill>
                        <a:latin typeface="Cambria Math" panose="02040503050406030204" pitchFamily="18" charset="0"/>
                        <a:ea typeface="+mn-ea"/>
                        <a:cs typeface="+mn-cs"/>
                      </a:rPr>
                      <m:t>=</m:t>
                    </m:r>
                    <m:sSup>
                      <m:sSupPr>
                        <m:ctrlPr>
                          <a:rPr lang="ar-SA" sz="1600" b="0" i="1">
                            <a:solidFill>
                              <a:schemeClr val="tx2">
                                <a:lumMod val="75000"/>
                                <a:lumOff val="25000"/>
                              </a:schemeClr>
                            </a:solidFill>
                            <a:latin typeface="Cambria Math" panose="02040503050406030204" pitchFamily="18" charset="0"/>
                            <a:ea typeface="+mn-ea"/>
                            <a:cs typeface="+mn-cs"/>
                          </a:rPr>
                        </m:ctrlPr>
                      </m:sSupPr>
                      <m:e>
                        <m:d>
                          <m:dPr>
                            <m:ctrlPr>
                              <a:rPr lang="ar-SA" sz="1600" b="0" i="1">
                                <a:solidFill>
                                  <a:schemeClr val="tx2">
                                    <a:lumMod val="75000"/>
                                    <a:lumOff val="25000"/>
                                  </a:schemeClr>
                                </a:solidFill>
                                <a:latin typeface="Cambria Math" panose="02040503050406030204" pitchFamily="18" charset="0"/>
                                <a:ea typeface="+mn-ea"/>
                                <a:cs typeface="+mn-cs"/>
                              </a:rPr>
                            </m:ctrlPr>
                          </m:dPr>
                          <m:e>
                            <m:f>
                              <m:fPr>
                                <m:ctrlPr>
                                  <a:rPr lang="ar-SA" sz="1600" b="0" i="1">
                                    <a:solidFill>
                                      <a:schemeClr val="tx2">
                                        <a:lumMod val="75000"/>
                                        <a:lumOff val="25000"/>
                                      </a:schemeClr>
                                    </a:solidFill>
                                    <a:latin typeface="Cambria Math" panose="02040503050406030204" pitchFamily="18" charset="0"/>
                                    <a:ea typeface="+mn-ea"/>
                                    <a:cs typeface="+mn-cs"/>
                                  </a:rPr>
                                </m:ctrlPr>
                              </m:fPr>
                              <m:num>
                                <m:r>
                                  <a:rPr lang="ar-SA" sz="1600" b="0" i="0">
                                    <a:solidFill>
                                      <a:schemeClr val="tx2">
                                        <a:lumMod val="75000"/>
                                        <a:lumOff val="25000"/>
                                      </a:schemeClr>
                                    </a:solidFill>
                                    <a:latin typeface="Cambria Math" panose="02040503050406030204" pitchFamily="18" charset="0"/>
                                    <a:ea typeface="+mn-ea"/>
                                    <a:cs typeface="+mn-cs"/>
                                  </a:rPr>
                                  <m:t>209.87</m:t>
                                </m:r>
                              </m:num>
                              <m:den>
                                <m:r>
                                  <a:rPr lang="ar-SA" sz="1600" b="0" i="0">
                                    <a:solidFill>
                                      <a:schemeClr val="tx2">
                                        <a:lumMod val="75000"/>
                                        <a:lumOff val="25000"/>
                                      </a:schemeClr>
                                    </a:solidFill>
                                    <a:latin typeface="Cambria Math" panose="02040503050406030204" pitchFamily="18" charset="0"/>
                                    <a:ea typeface="+mn-ea"/>
                                    <a:cs typeface="+mn-cs"/>
                                  </a:rPr>
                                  <m:t>126.35</m:t>
                                </m:r>
                              </m:den>
                            </m:f>
                          </m:e>
                        </m:d>
                      </m:e>
                      <m:sup>
                        <m:r>
                          <a:rPr lang="ar-SA" sz="1600" b="0" i="0">
                            <a:solidFill>
                              <a:schemeClr val="tx2">
                                <a:lumMod val="75000"/>
                                <a:lumOff val="25000"/>
                              </a:schemeClr>
                            </a:solidFill>
                            <a:latin typeface="Cambria Math" panose="02040503050406030204" pitchFamily="18" charset="0"/>
                            <a:ea typeface="+mn-ea"/>
                            <a:cs typeface="+mn-cs"/>
                          </a:rPr>
                          <m:t>1/10</m:t>
                        </m:r>
                      </m:sup>
                    </m:sSup>
                    <m:r>
                      <a:rPr lang="ar-SA" sz="1600" b="0" i="0">
                        <a:solidFill>
                          <a:schemeClr val="tx2">
                            <a:lumMod val="75000"/>
                            <a:lumOff val="25000"/>
                          </a:schemeClr>
                        </a:solidFill>
                        <a:latin typeface="Cambria Math" panose="02040503050406030204" pitchFamily="18" charset="0"/>
                        <a:ea typeface="+mn-ea"/>
                        <a:cs typeface="+mn-cs"/>
                      </a:rPr>
                      <m:t>−1≈</m:t>
                    </m:r>
                    <m:r>
                      <a:rPr lang="ar-SA" sz="1600" b="1" i="0">
                        <a:solidFill>
                          <a:schemeClr val="tx2">
                            <a:lumMod val="75000"/>
                            <a:lumOff val="25000"/>
                          </a:schemeClr>
                        </a:solidFill>
                        <a:latin typeface="Cambria Math" panose="02040503050406030204" pitchFamily="18" charset="0"/>
                        <a:ea typeface="+mn-ea"/>
                        <a:cs typeface="+mn-cs"/>
                      </a:rPr>
                      <m:t>𝟓</m:t>
                    </m:r>
                    <m:r>
                      <a:rPr lang="ar-SA" sz="1600" b="0" i="0">
                        <a:solidFill>
                          <a:schemeClr val="tx2">
                            <a:lumMod val="75000"/>
                            <a:lumOff val="25000"/>
                          </a:schemeClr>
                        </a:solidFill>
                        <a:latin typeface="Cambria Math" panose="02040503050406030204" pitchFamily="18" charset="0"/>
                        <a:ea typeface="+mn-ea"/>
                        <a:cs typeface="+mn-cs"/>
                      </a:rPr>
                      <m:t>,</m:t>
                    </m:r>
                    <m:r>
                      <a:rPr lang="ar-SA" sz="1600" b="1" i="0">
                        <a:solidFill>
                          <a:schemeClr val="tx2">
                            <a:lumMod val="75000"/>
                            <a:lumOff val="25000"/>
                          </a:schemeClr>
                        </a:solidFill>
                        <a:latin typeface="Cambria Math" panose="02040503050406030204" pitchFamily="18" charset="0"/>
                        <a:ea typeface="+mn-ea"/>
                        <a:cs typeface="+mn-cs"/>
                      </a:rPr>
                      <m:t>𝟐</m:t>
                    </m:r>
                    <m:r>
                      <a:rPr lang="ar-SA" sz="1600" b="0" i="0">
                        <a:solidFill>
                          <a:schemeClr val="tx2">
                            <a:lumMod val="75000"/>
                            <a:lumOff val="25000"/>
                          </a:schemeClr>
                        </a:solidFill>
                        <a:latin typeface="Cambria Math" panose="02040503050406030204" pitchFamily="18" charset="0"/>
                        <a:ea typeface="+mn-ea"/>
                        <a:cs typeface="+mn-cs"/>
                      </a:rPr>
                      <m:t>%</m:t>
                    </m:r>
                    <m:r>
                      <m:rPr>
                        <m:nor/>
                      </m:rPr>
                      <a:rPr lang="ar-SA" sz="1600" b="0" i="1">
                        <a:solidFill>
                          <a:schemeClr val="tx2">
                            <a:lumMod val="75000"/>
                            <a:lumOff val="25000"/>
                          </a:schemeClr>
                        </a:solidFill>
                        <a:latin typeface="+mn-lt"/>
                        <a:ea typeface="+mn-ea"/>
                        <a:cs typeface="+mn-cs"/>
                      </a:rPr>
                      <m:t> </m:t>
                    </m:r>
                    <m:r>
                      <m:rPr>
                        <m:nor/>
                      </m:rPr>
                      <a:rPr lang="en-GB" sz="1600" b="0" i="1">
                        <a:solidFill>
                          <a:schemeClr val="tx2">
                            <a:lumMod val="75000"/>
                            <a:lumOff val="25000"/>
                          </a:schemeClr>
                        </a:solidFill>
                        <a:latin typeface="+mn-lt"/>
                        <a:ea typeface="+mn-ea"/>
                        <a:cs typeface="+mn-cs"/>
                      </a:rPr>
                      <m:t>par</m:t>
                    </m:r>
                    <m:r>
                      <m:rPr>
                        <m:nor/>
                      </m:rPr>
                      <a:rPr lang="en-GB" sz="1600" b="0" i="1">
                        <a:solidFill>
                          <a:schemeClr val="tx2">
                            <a:lumMod val="75000"/>
                            <a:lumOff val="25000"/>
                          </a:schemeClr>
                        </a:solidFill>
                        <a:latin typeface="+mn-lt"/>
                        <a:ea typeface="+mn-ea"/>
                        <a:cs typeface="+mn-cs"/>
                      </a:rPr>
                      <m:t> </m:t>
                    </m:r>
                    <m:r>
                      <m:rPr>
                        <m:nor/>
                      </m:rPr>
                      <a:rPr lang="en-GB" sz="1600" b="0" i="1">
                        <a:solidFill>
                          <a:schemeClr val="tx2">
                            <a:lumMod val="75000"/>
                            <a:lumOff val="25000"/>
                          </a:schemeClr>
                        </a:solidFill>
                        <a:latin typeface="+mn-lt"/>
                        <a:ea typeface="+mn-ea"/>
                        <a:cs typeface="+mn-cs"/>
                      </a:rPr>
                      <m:t>an</m:t>
                    </m:r>
                  </m:oMath>
                </m:oMathPara>
              </a14:m>
              <a:endParaRPr lang="en-GB" sz="1600" b="0">
                <a:solidFill>
                  <a:schemeClr val="tx2">
                    <a:lumMod val="75000"/>
                    <a:lumOff val="25000"/>
                  </a:schemeClr>
                </a:solidFill>
              </a:endParaRPr>
            </a:p>
            <a:p>
              <a:r>
                <a:rPr lang="en-GB" sz="1600">
                  <a:solidFill>
                    <a:schemeClr val="tx2">
                      <a:lumMod val="75000"/>
                      <a:lumOff val="25000"/>
                    </a:schemeClr>
                  </a:solidFill>
                </a:rPr>
                <a:t>→ soit environ </a:t>
              </a:r>
              <a:r>
                <a:rPr lang="en-GB" sz="1600" b="1">
                  <a:solidFill>
                    <a:schemeClr val="tx2">
                      <a:lumMod val="75000"/>
                      <a:lumOff val="25000"/>
                    </a:schemeClr>
                  </a:solidFill>
                </a:rPr>
                <a:t>+5.2 % ADR annuel moyen</a:t>
              </a:r>
              <a:r>
                <a:rPr lang="en-GB" sz="1600">
                  <a:solidFill>
                    <a:schemeClr val="tx2">
                      <a:lumMod val="75000"/>
                      <a:lumOff val="25000"/>
                    </a:schemeClr>
                  </a:solidFill>
                </a:rPr>
                <a:t> sur la décennie.</a:t>
              </a:r>
            </a:p>
            <a:p>
              <a:r>
                <a:rPr lang="en-GB" sz="1600">
                  <a:solidFill>
                    <a:schemeClr val="tx2">
                      <a:lumMod val="75000"/>
                      <a:lumOff val="25000"/>
                    </a:schemeClr>
                  </a:solidFill>
                </a:rPr>
                <a:t>Cette valeur est </a:t>
              </a:r>
              <a:r>
                <a:rPr lang="en-GB" sz="1600" b="1">
                  <a:solidFill>
                    <a:schemeClr val="tx2">
                      <a:lumMod val="75000"/>
                      <a:lumOff val="25000"/>
                    </a:schemeClr>
                  </a:solidFill>
                </a:rPr>
                <a:t>nettement supérieure</a:t>
              </a:r>
              <a:r>
                <a:rPr lang="en-GB" sz="1600">
                  <a:solidFill>
                    <a:schemeClr val="tx2">
                      <a:lumMod val="75000"/>
                      <a:lumOff val="25000"/>
                    </a:schemeClr>
                  </a:solidFill>
                </a:rPr>
                <a:t> à l’inflation prévue/attendue en Allemagne (généralement </a:t>
              </a:r>
              <a:r>
                <a:rPr lang="en-GB" sz="1600" b="1">
                  <a:solidFill>
                    <a:schemeClr val="tx2">
                      <a:lumMod val="75000"/>
                      <a:lumOff val="25000"/>
                    </a:schemeClr>
                  </a:solidFill>
                </a:rPr>
                <a:t>~2–3 %</a:t>
              </a:r>
              <a:r>
                <a:rPr lang="en-GB" sz="1600">
                  <a:solidFill>
                    <a:schemeClr val="tx2">
                      <a:lumMod val="75000"/>
                      <a:lumOff val="25000"/>
                    </a:schemeClr>
                  </a:solidFill>
                </a:rPr>
                <a:t> ces dernières années), donc il s’agit d’un </a:t>
              </a:r>
              <a:r>
                <a:rPr lang="en-GB" sz="1600" b="1">
                  <a:solidFill>
                    <a:schemeClr val="tx2">
                      <a:lumMod val="75000"/>
                      <a:lumOff val="25000"/>
                    </a:schemeClr>
                  </a:solidFill>
                </a:rPr>
                <a:t>gain réel important</a:t>
              </a:r>
              <a:r>
                <a:rPr lang="en-GB" sz="1600">
                  <a:solidFill>
                    <a:schemeClr val="tx2">
                      <a:lumMod val="75000"/>
                      <a:lumOff val="25000"/>
                    </a:schemeClr>
                  </a:solidFill>
                </a:rPr>
                <a:t> en prix, pas seulement inflationniste. </a:t>
              </a:r>
            </a:p>
            <a:p>
              <a:r>
                <a:rPr lang="en-GB" sz="1600">
                  <a:solidFill>
                    <a:schemeClr val="tx2">
                      <a:lumMod val="75000"/>
                      <a:lumOff val="25000"/>
                    </a:schemeClr>
                  </a:solidFill>
                </a:rPr>
                <a:t>Conclusion rapide : </a:t>
              </a:r>
              <a:r>
                <a:rPr lang="en-GB" sz="1600" b="1">
                  <a:solidFill>
                    <a:schemeClr val="tx2">
                      <a:lumMod val="75000"/>
                      <a:lumOff val="25000"/>
                    </a:schemeClr>
                  </a:solidFill>
                </a:rPr>
                <a:t>5,2 % p.a.</a:t>
              </a:r>
              <a:r>
                <a:rPr lang="en-GB" sz="1600">
                  <a:solidFill>
                    <a:schemeClr val="tx2">
                      <a:lumMod val="75000"/>
                      <a:lumOff val="25000"/>
                    </a:schemeClr>
                  </a:solidFill>
                </a:rPr>
                <a:t> est ambitieux mais plausible </a:t>
              </a:r>
              <a:r>
                <a:rPr lang="en-GB" sz="1600" b="1">
                  <a:solidFill>
                    <a:schemeClr val="tx2">
                      <a:lumMod val="75000"/>
                      <a:lumOff val="25000"/>
                    </a:schemeClr>
                  </a:solidFill>
                </a:rPr>
                <a:t>si</a:t>
              </a:r>
              <a:r>
                <a:rPr lang="en-GB" sz="1600">
                  <a:solidFill>
                    <a:schemeClr val="tx2">
                      <a:lumMod val="75000"/>
                      <a:lumOff val="25000"/>
                    </a:schemeClr>
                  </a:solidFill>
                </a:rPr>
                <a:t> la rénovation et la reposition (upgrade) créent une prime tarifaire structurelle (meilleure catégorie de clientèle, nouveaux produits/services, image de marque) et si la stratégie commerciale/rez-de-gestionnaire est bien exécutée. (Voir comparaisons marché et effets typiques de rénovation ci-dessous). </a:t>
              </a:r>
            </a:p>
            <a:p>
              <a:endParaRPr lang="en-GB" sz="1600">
                <a:solidFill>
                  <a:schemeClr val="tx2">
                    <a:lumMod val="75000"/>
                    <a:lumOff val="25000"/>
                  </a:schemeClr>
                </a:solidFill>
              </a:endParaRPr>
            </a:p>
          </xdr:txBody>
        </xdr:sp>
      </mc:Choice>
      <mc:Fallback xmlns="">
        <xdr:sp macro="" textlink="">
          <xdr:nvSpPr>
            <xdr:cNvPr id="3" name="TextBox 2">
              <a:extLst>
                <a:ext uri="{FF2B5EF4-FFF2-40B4-BE49-F238E27FC236}">
                  <a16:creationId xmlns:a16="http://schemas.microsoft.com/office/drawing/2014/main" id="{92B4422C-F084-5443-D867-53AA08706429}"/>
                </a:ext>
              </a:extLst>
            </xdr:cNvPr>
            <xdr:cNvSpPr txBox="1"/>
          </xdr:nvSpPr>
          <xdr:spPr>
            <a:xfrm>
              <a:off x="5458690" y="11665526"/>
              <a:ext cx="8908473" cy="27154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chemeClr val="tx2">
                      <a:lumMod val="75000"/>
                      <a:lumOff val="25000"/>
                    </a:schemeClr>
                  </a:solidFill>
                </a:rPr>
                <a:t>Croissance annuelle composée (CAGR) nécessaire pour passer de </a:t>
              </a:r>
              <a:r>
                <a:rPr lang="en-GB" sz="1600" b="1">
                  <a:solidFill>
                    <a:schemeClr val="tx2">
                      <a:lumMod val="75000"/>
                      <a:lumOff val="25000"/>
                    </a:schemeClr>
                  </a:solidFill>
                </a:rPr>
                <a:t>126.35 → 209.87</a:t>
              </a:r>
              <a:r>
                <a:rPr lang="en-GB" sz="1600">
                  <a:solidFill>
                    <a:schemeClr val="tx2">
                      <a:lumMod val="75000"/>
                      <a:lumOff val="25000"/>
                    </a:schemeClr>
                  </a:solidFill>
                </a:rPr>
                <a:t> en </a:t>
              </a:r>
              <a:r>
                <a:rPr lang="en-GB" sz="1600" b="1">
                  <a:solidFill>
                    <a:schemeClr val="tx2">
                      <a:lumMod val="75000"/>
                      <a:lumOff val="25000"/>
                    </a:schemeClr>
                  </a:solidFill>
                </a:rPr>
                <a:t>10 ans</a:t>
              </a:r>
              <a:r>
                <a:rPr lang="en-GB" sz="1600">
                  <a:solidFill>
                    <a:schemeClr val="tx2">
                      <a:lumMod val="75000"/>
                      <a:lumOff val="25000"/>
                    </a:schemeClr>
                  </a:solidFill>
                </a:rPr>
                <a:t> :</a:t>
              </a:r>
            </a:p>
            <a:p>
              <a:r>
                <a:rPr lang="en-GB" sz="1600" b="0" i="0">
                  <a:solidFill>
                    <a:schemeClr val="tx2">
                      <a:lumMod val="75000"/>
                      <a:lumOff val="25000"/>
                    </a:schemeClr>
                  </a:solidFill>
                  <a:latin typeface="Cambria Math" panose="02040503050406030204" pitchFamily="18" charset="0"/>
                </a:rPr>
                <a:t>"CAGR</a:t>
              </a:r>
              <a:r>
                <a:rPr lang="en-GB" sz="1600" b="0" i="0">
                  <a:solidFill>
                    <a:schemeClr val="tx2">
                      <a:lumMod val="75000"/>
                      <a:lumOff val="25000"/>
                    </a:schemeClr>
                  </a:solidFill>
                  <a:latin typeface="+mn-lt"/>
                  <a:ea typeface="+mn-ea"/>
                  <a:cs typeface="+mn-cs"/>
                </a:rPr>
                <a:t>"=</a:t>
              </a:r>
              <a:r>
                <a:rPr lang="ar-SA" sz="1600" b="0" i="0">
                  <a:solidFill>
                    <a:schemeClr val="tx2">
                      <a:lumMod val="75000"/>
                      <a:lumOff val="25000"/>
                    </a:schemeClr>
                  </a:solidFill>
                  <a:latin typeface="+mn-lt"/>
                  <a:ea typeface="+mn-ea"/>
                  <a:cs typeface="+mn-cs"/>
                </a:rPr>
                <a:t>(209.87/126.35)^(1/10)−1≈</a:t>
              </a:r>
              <a:r>
                <a:rPr lang="ar-SA" sz="1600" b="1" i="0">
                  <a:solidFill>
                    <a:schemeClr val="tx2">
                      <a:lumMod val="75000"/>
                      <a:lumOff val="25000"/>
                    </a:schemeClr>
                  </a:solidFill>
                  <a:latin typeface="+mn-lt"/>
                  <a:ea typeface="+mn-ea"/>
                  <a:cs typeface="+mn-cs"/>
                </a:rPr>
                <a:t>𝟓</a:t>
              </a:r>
              <a:r>
                <a:rPr lang="ar-SA" sz="1600" b="0" i="0">
                  <a:solidFill>
                    <a:schemeClr val="tx2">
                      <a:lumMod val="75000"/>
                      <a:lumOff val="25000"/>
                    </a:schemeClr>
                  </a:solidFill>
                  <a:latin typeface="+mn-lt"/>
                  <a:ea typeface="+mn-ea"/>
                  <a:cs typeface="+mn-cs"/>
                </a:rPr>
                <a:t>,</a:t>
              </a:r>
              <a:r>
                <a:rPr lang="ar-SA" sz="1600" b="1" i="0">
                  <a:solidFill>
                    <a:schemeClr val="tx2">
                      <a:lumMod val="75000"/>
                      <a:lumOff val="25000"/>
                    </a:schemeClr>
                  </a:solidFill>
                  <a:latin typeface="+mn-lt"/>
                  <a:ea typeface="+mn-ea"/>
                  <a:cs typeface="+mn-cs"/>
                </a:rPr>
                <a:t>𝟐</a:t>
              </a:r>
              <a:r>
                <a:rPr lang="ar-SA" sz="1600" b="0" i="0">
                  <a:solidFill>
                    <a:schemeClr val="tx2">
                      <a:lumMod val="75000"/>
                      <a:lumOff val="25000"/>
                    </a:schemeClr>
                  </a:solidFill>
                  <a:latin typeface="+mn-lt"/>
                  <a:ea typeface="+mn-ea"/>
                  <a:cs typeface="+mn-cs"/>
                </a:rPr>
                <a:t>%</a:t>
              </a:r>
              <a:r>
                <a:rPr lang="ar-SA" sz="1600" b="0" i="0">
                  <a:solidFill>
                    <a:schemeClr val="tx2">
                      <a:lumMod val="75000"/>
                      <a:lumOff val="25000"/>
                    </a:schemeClr>
                  </a:solidFill>
                  <a:latin typeface="Cambria Math" panose="02040503050406030204" pitchFamily="18" charset="0"/>
                  <a:ea typeface="+mn-ea"/>
                  <a:cs typeface="+mn-cs"/>
                </a:rPr>
                <a:t>" </a:t>
              </a:r>
              <a:r>
                <a:rPr lang="en-GB" sz="1600" b="0" i="0">
                  <a:solidFill>
                    <a:schemeClr val="tx2">
                      <a:lumMod val="75000"/>
                      <a:lumOff val="25000"/>
                    </a:schemeClr>
                  </a:solidFill>
                  <a:latin typeface="Cambria Math" panose="02040503050406030204" pitchFamily="18" charset="0"/>
                  <a:ea typeface="+mn-ea"/>
                  <a:cs typeface="+mn-cs"/>
                </a:rPr>
                <a:t>par an</a:t>
              </a:r>
              <a:r>
                <a:rPr lang="en-GB" sz="1600" b="0" i="0">
                  <a:solidFill>
                    <a:schemeClr val="tx2">
                      <a:lumMod val="75000"/>
                      <a:lumOff val="25000"/>
                    </a:schemeClr>
                  </a:solidFill>
                  <a:latin typeface="+mn-lt"/>
                  <a:ea typeface="+mn-ea"/>
                  <a:cs typeface="+mn-cs"/>
                </a:rPr>
                <a:t>"</a:t>
              </a:r>
              <a:endParaRPr lang="en-GB" sz="1600" b="0">
                <a:solidFill>
                  <a:schemeClr val="tx2">
                    <a:lumMod val="75000"/>
                    <a:lumOff val="25000"/>
                  </a:schemeClr>
                </a:solidFill>
              </a:endParaRPr>
            </a:p>
            <a:p>
              <a:r>
                <a:rPr lang="en-GB" sz="1600">
                  <a:solidFill>
                    <a:schemeClr val="tx2">
                      <a:lumMod val="75000"/>
                      <a:lumOff val="25000"/>
                    </a:schemeClr>
                  </a:solidFill>
                </a:rPr>
                <a:t>→ soit environ </a:t>
              </a:r>
              <a:r>
                <a:rPr lang="en-GB" sz="1600" b="1">
                  <a:solidFill>
                    <a:schemeClr val="tx2">
                      <a:lumMod val="75000"/>
                      <a:lumOff val="25000"/>
                    </a:schemeClr>
                  </a:solidFill>
                </a:rPr>
                <a:t>+5.2 % ADR annuel moyen</a:t>
              </a:r>
              <a:r>
                <a:rPr lang="en-GB" sz="1600">
                  <a:solidFill>
                    <a:schemeClr val="tx2">
                      <a:lumMod val="75000"/>
                      <a:lumOff val="25000"/>
                    </a:schemeClr>
                  </a:solidFill>
                </a:rPr>
                <a:t> sur la décennie.</a:t>
              </a:r>
            </a:p>
            <a:p>
              <a:r>
                <a:rPr lang="en-GB" sz="1600">
                  <a:solidFill>
                    <a:schemeClr val="tx2">
                      <a:lumMod val="75000"/>
                      <a:lumOff val="25000"/>
                    </a:schemeClr>
                  </a:solidFill>
                </a:rPr>
                <a:t>Cette valeur est </a:t>
              </a:r>
              <a:r>
                <a:rPr lang="en-GB" sz="1600" b="1">
                  <a:solidFill>
                    <a:schemeClr val="tx2">
                      <a:lumMod val="75000"/>
                      <a:lumOff val="25000"/>
                    </a:schemeClr>
                  </a:solidFill>
                </a:rPr>
                <a:t>nettement supérieure</a:t>
              </a:r>
              <a:r>
                <a:rPr lang="en-GB" sz="1600">
                  <a:solidFill>
                    <a:schemeClr val="tx2">
                      <a:lumMod val="75000"/>
                      <a:lumOff val="25000"/>
                    </a:schemeClr>
                  </a:solidFill>
                </a:rPr>
                <a:t> à l’inflation prévue/attendue en Allemagne (généralement </a:t>
              </a:r>
              <a:r>
                <a:rPr lang="en-GB" sz="1600" b="1">
                  <a:solidFill>
                    <a:schemeClr val="tx2">
                      <a:lumMod val="75000"/>
                      <a:lumOff val="25000"/>
                    </a:schemeClr>
                  </a:solidFill>
                </a:rPr>
                <a:t>~2–3 %</a:t>
              </a:r>
              <a:r>
                <a:rPr lang="en-GB" sz="1600">
                  <a:solidFill>
                    <a:schemeClr val="tx2">
                      <a:lumMod val="75000"/>
                      <a:lumOff val="25000"/>
                    </a:schemeClr>
                  </a:solidFill>
                </a:rPr>
                <a:t> ces dernières années), donc il s’agit d’un </a:t>
              </a:r>
              <a:r>
                <a:rPr lang="en-GB" sz="1600" b="1">
                  <a:solidFill>
                    <a:schemeClr val="tx2">
                      <a:lumMod val="75000"/>
                      <a:lumOff val="25000"/>
                    </a:schemeClr>
                  </a:solidFill>
                </a:rPr>
                <a:t>gain réel important</a:t>
              </a:r>
              <a:r>
                <a:rPr lang="en-GB" sz="1600">
                  <a:solidFill>
                    <a:schemeClr val="tx2">
                      <a:lumMod val="75000"/>
                      <a:lumOff val="25000"/>
                    </a:schemeClr>
                  </a:solidFill>
                </a:rPr>
                <a:t> en prix, pas seulement inflationniste. </a:t>
              </a:r>
            </a:p>
            <a:p>
              <a:r>
                <a:rPr lang="en-GB" sz="1600">
                  <a:solidFill>
                    <a:schemeClr val="tx2">
                      <a:lumMod val="75000"/>
                      <a:lumOff val="25000"/>
                    </a:schemeClr>
                  </a:solidFill>
                </a:rPr>
                <a:t>Conclusion rapide : </a:t>
              </a:r>
              <a:r>
                <a:rPr lang="en-GB" sz="1600" b="1">
                  <a:solidFill>
                    <a:schemeClr val="tx2">
                      <a:lumMod val="75000"/>
                      <a:lumOff val="25000"/>
                    </a:schemeClr>
                  </a:solidFill>
                </a:rPr>
                <a:t>5,2 % p.a.</a:t>
              </a:r>
              <a:r>
                <a:rPr lang="en-GB" sz="1600">
                  <a:solidFill>
                    <a:schemeClr val="tx2">
                      <a:lumMod val="75000"/>
                      <a:lumOff val="25000"/>
                    </a:schemeClr>
                  </a:solidFill>
                </a:rPr>
                <a:t> est ambitieux mais plausible </a:t>
              </a:r>
              <a:r>
                <a:rPr lang="en-GB" sz="1600" b="1">
                  <a:solidFill>
                    <a:schemeClr val="tx2">
                      <a:lumMod val="75000"/>
                      <a:lumOff val="25000"/>
                    </a:schemeClr>
                  </a:solidFill>
                </a:rPr>
                <a:t>si</a:t>
              </a:r>
              <a:r>
                <a:rPr lang="en-GB" sz="1600">
                  <a:solidFill>
                    <a:schemeClr val="tx2">
                      <a:lumMod val="75000"/>
                      <a:lumOff val="25000"/>
                    </a:schemeClr>
                  </a:solidFill>
                </a:rPr>
                <a:t> la rénovation et la reposition (upgrade) créent une prime tarifaire structurelle (meilleure catégorie de clientèle, nouveaux produits/services, image de marque) et si la stratégie commerciale/rez-de-gestionnaire est bien exécutée. (Voir comparaisons marché et effets typiques de rénovation ci-dessous). </a:t>
              </a:r>
            </a:p>
            <a:p>
              <a:endParaRPr lang="en-GB" sz="1600">
                <a:solidFill>
                  <a:schemeClr val="tx2">
                    <a:lumMod val="75000"/>
                    <a:lumOff val="25000"/>
                  </a:schemeClr>
                </a:solidFill>
              </a:endParaRP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26</xdr:row>
      <xdr:rowOff>0</xdr:rowOff>
    </xdr:from>
    <xdr:to>
      <xdr:col>4</xdr:col>
      <xdr:colOff>12700</xdr:colOff>
      <xdr:row>27</xdr:row>
      <xdr:rowOff>12700</xdr:rowOff>
    </xdr:to>
    <xdr:pic>
      <xdr:nvPicPr>
        <xdr:cNvPr id="2" name="Picture 1">
          <a:extLst>
            <a:ext uri="{FF2B5EF4-FFF2-40B4-BE49-F238E27FC236}">
              <a16:creationId xmlns:a16="http://schemas.microsoft.com/office/drawing/2014/main" id="{3615581B-FB53-35DB-FAEA-337B422CE21A}"/>
            </a:ext>
          </a:extLst>
        </xdr:cNvPr>
        <xdr:cNvPicPr>
          <a:picLocks noChangeAspect="1"/>
        </xdr:cNvPicPr>
      </xdr:nvPicPr>
      <xdr:blipFill>
        <a:blip xmlns:r="http://schemas.openxmlformats.org/officeDocument/2006/relationships" r:embed="rId1"/>
        <a:stretch>
          <a:fillRect/>
        </a:stretch>
      </xdr:blipFill>
      <xdr:spPr>
        <a:xfrm>
          <a:off x="3746500" y="5295900"/>
          <a:ext cx="4749800" cy="21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541867</xdr:colOff>
      <xdr:row>11</xdr:row>
      <xdr:rowOff>101601</xdr:rowOff>
    </xdr:from>
    <xdr:to>
      <xdr:col>11</xdr:col>
      <xdr:colOff>534005</xdr:colOff>
      <xdr:row>22</xdr:row>
      <xdr:rowOff>135468</xdr:rowOff>
    </xdr:to>
    <xdr:graphicFrame macro="">
      <xdr:nvGraphicFramePr>
        <xdr:cNvPr id="3" name="Chart 2">
          <a:extLst>
            <a:ext uri="{FF2B5EF4-FFF2-40B4-BE49-F238E27FC236}">
              <a16:creationId xmlns:a16="http://schemas.microsoft.com/office/drawing/2014/main" id="{4AF923E4-0664-B34D-6801-EEBDA84A7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423333</xdr:colOff>
      <xdr:row>11</xdr:row>
      <xdr:rowOff>135467</xdr:rowOff>
    </xdr:from>
    <xdr:to>
      <xdr:col>5</xdr:col>
      <xdr:colOff>16933</xdr:colOff>
      <xdr:row>22</xdr:row>
      <xdr:rowOff>135467</xdr:rowOff>
    </xdr:to>
    <xdr:graphicFrame macro="">
      <xdr:nvGraphicFramePr>
        <xdr:cNvPr id="4" name="Chart 3">
          <a:extLst>
            <a:ext uri="{FF2B5EF4-FFF2-40B4-BE49-F238E27FC236}">
              <a16:creationId xmlns:a16="http://schemas.microsoft.com/office/drawing/2014/main" id="{AB9B2C5E-9F9A-6F4B-A9D4-44FE9D8D4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270932</xdr:colOff>
      <xdr:row>29</xdr:row>
      <xdr:rowOff>135466</xdr:rowOff>
    </xdr:from>
    <xdr:to>
      <xdr:col>7</xdr:col>
      <xdr:colOff>152401</xdr:colOff>
      <xdr:row>40</xdr:row>
      <xdr:rowOff>16933</xdr:rowOff>
    </xdr:to>
    <xdr:graphicFrame macro="">
      <xdr:nvGraphicFramePr>
        <xdr:cNvPr id="2" name="Chart 1">
          <a:extLst>
            <a:ext uri="{FF2B5EF4-FFF2-40B4-BE49-F238E27FC236}">
              <a16:creationId xmlns:a16="http://schemas.microsoft.com/office/drawing/2014/main" id="{96C06386-FDB4-2D20-040C-AC71FC7F06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653143</xdr:colOff>
      <xdr:row>4</xdr:row>
      <xdr:rowOff>145143</xdr:rowOff>
    </xdr:from>
    <xdr:to>
      <xdr:col>18</xdr:col>
      <xdr:colOff>217715</xdr:colOff>
      <xdr:row>16</xdr:row>
      <xdr:rowOff>18569</xdr:rowOff>
    </xdr:to>
    <xdr:graphicFrame macro="">
      <xdr:nvGraphicFramePr>
        <xdr:cNvPr id="6" name="Chart 1">
          <a:extLst>
            <a:ext uri="{FF2B5EF4-FFF2-40B4-BE49-F238E27FC236}">
              <a16:creationId xmlns:a16="http://schemas.microsoft.com/office/drawing/2014/main" id="{F61574F1-E555-914A-A232-95F58EEC0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725715</xdr:colOff>
      <xdr:row>4</xdr:row>
      <xdr:rowOff>108858</xdr:rowOff>
    </xdr:from>
    <xdr:to>
      <xdr:col>23</xdr:col>
      <xdr:colOff>176058</xdr:colOff>
      <xdr:row>16</xdr:row>
      <xdr:rowOff>68475</xdr:rowOff>
    </xdr:to>
    <xdr:graphicFrame macro="">
      <xdr:nvGraphicFramePr>
        <xdr:cNvPr id="7" name="Chart 2">
          <a:extLst>
            <a:ext uri="{FF2B5EF4-FFF2-40B4-BE49-F238E27FC236}">
              <a16:creationId xmlns:a16="http://schemas.microsoft.com/office/drawing/2014/main" id="{5A296540-EB92-9140-B64A-6E277A5FD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616857</xdr:colOff>
      <xdr:row>17</xdr:row>
      <xdr:rowOff>-1</xdr:rowOff>
    </xdr:from>
    <xdr:to>
      <xdr:col>18</xdr:col>
      <xdr:colOff>260143</xdr:colOff>
      <xdr:row>28</xdr:row>
      <xdr:rowOff>163453</xdr:rowOff>
    </xdr:to>
    <xdr:graphicFrame macro="">
      <xdr:nvGraphicFramePr>
        <xdr:cNvPr id="8" name="Chart 3">
          <a:extLst>
            <a:ext uri="{FF2B5EF4-FFF2-40B4-BE49-F238E27FC236}">
              <a16:creationId xmlns:a16="http://schemas.microsoft.com/office/drawing/2014/main" id="{AFE4560C-AA60-A141-A3B8-DC5129291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798287</xdr:colOff>
      <xdr:row>17</xdr:row>
      <xdr:rowOff>-1</xdr:rowOff>
    </xdr:from>
    <xdr:to>
      <xdr:col>23</xdr:col>
      <xdr:colOff>290287</xdr:colOff>
      <xdr:row>28</xdr:row>
      <xdr:rowOff>172072</xdr:rowOff>
    </xdr:to>
    <xdr:graphicFrame macro="">
      <xdr:nvGraphicFramePr>
        <xdr:cNvPr id="9" name="Chart 4">
          <a:extLst>
            <a:ext uri="{FF2B5EF4-FFF2-40B4-BE49-F238E27FC236}">
              <a16:creationId xmlns:a16="http://schemas.microsoft.com/office/drawing/2014/main" id="{0054A603-8556-0B46-B30E-8B9E451C3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319689</xdr:colOff>
      <xdr:row>43</xdr:row>
      <xdr:rowOff>62624</xdr:rowOff>
    </xdr:from>
    <xdr:to>
      <xdr:col>11</xdr:col>
      <xdr:colOff>599440</xdr:colOff>
      <xdr:row>56</xdr:row>
      <xdr:rowOff>152400</xdr:rowOff>
    </xdr:to>
    <xdr:graphicFrame macro="">
      <xdr:nvGraphicFramePr>
        <xdr:cNvPr id="10" name="Chart 9">
          <a:extLst>
            <a:ext uri="{FF2B5EF4-FFF2-40B4-BE49-F238E27FC236}">
              <a16:creationId xmlns:a16="http://schemas.microsoft.com/office/drawing/2014/main" id="{F23BA12D-9351-2806-1CE9-33B73725F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410883</xdr:colOff>
      <xdr:row>62</xdr:row>
      <xdr:rowOff>194734</xdr:rowOff>
    </xdr:from>
    <xdr:to>
      <xdr:col>3</xdr:col>
      <xdr:colOff>102721</xdr:colOff>
      <xdr:row>75</xdr:row>
      <xdr:rowOff>149412</xdr:rowOff>
    </xdr:to>
    <xdr:graphicFrame macro="">
      <xdr:nvGraphicFramePr>
        <xdr:cNvPr id="101" name="Chart 4">
          <a:extLst>
            <a:ext uri="{FF2B5EF4-FFF2-40B4-BE49-F238E27FC236}">
              <a16:creationId xmlns:a16="http://schemas.microsoft.com/office/drawing/2014/main" id="{10414597-1C25-C81F-4367-6E1DDAE4B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1185334</xdr:colOff>
      <xdr:row>42</xdr:row>
      <xdr:rowOff>118534</xdr:rowOff>
    </xdr:from>
    <xdr:to>
      <xdr:col>20</xdr:col>
      <xdr:colOff>287867</xdr:colOff>
      <xdr:row>56</xdr:row>
      <xdr:rowOff>0</xdr:rowOff>
    </xdr:to>
    <xdr:graphicFrame macro="">
      <xdr:nvGraphicFramePr>
        <xdr:cNvPr id="13" name="Chart 11">
          <a:extLst>
            <a:ext uri="{FF2B5EF4-FFF2-40B4-BE49-F238E27FC236}">
              <a16:creationId xmlns:a16="http://schemas.microsoft.com/office/drawing/2014/main" id="{BA28ACE0-AAC3-ECB1-7410-D230071A4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59266</xdr:colOff>
      <xdr:row>68</xdr:row>
      <xdr:rowOff>135467</xdr:rowOff>
    </xdr:from>
    <xdr:to>
      <xdr:col>20</xdr:col>
      <xdr:colOff>364066</xdr:colOff>
      <xdr:row>82</xdr:row>
      <xdr:rowOff>118533</xdr:rowOff>
    </xdr:to>
    <xdr:graphicFrame macro="">
      <xdr:nvGraphicFramePr>
        <xdr:cNvPr id="14" name="Chart 12">
          <a:extLst>
            <a:ext uri="{FF2B5EF4-FFF2-40B4-BE49-F238E27FC236}">
              <a16:creationId xmlns:a16="http://schemas.microsoft.com/office/drawing/2014/main" id="{9FB02D6B-FDC8-258A-6884-A90D9EF8A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553720</xdr:colOff>
      <xdr:row>85</xdr:row>
      <xdr:rowOff>86360</xdr:rowOff>
    </xdr:from>
    <xdr:to>
      <xdr:col>7</xdr:col>
      <xdr:colOff>186267</xdr:colOff>
      <xdr:row>100</xdr:row>
      <xdr:rowOff>118533</xdr:rowOff>
    </xdr:to>
    <xdr:graphicFrame macro="">
      <xdr:nvGraphicFramePr>
        <xdr:cNvPr id="12" name="Chart 71">
          <a:extLst>
            <a:ext uri="{FF2B5EF4-FFF2-40B4-BE49-F238E27FC236}">
              <a16:creationId xmlns:a16="http://schemas.microsoft.com/office/drawing/2014/main" id="{79C3E9BD-3CF7-7FE6-3312-627245D12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ELFINI matteo" id="{344AD899-FBF8-2043-AE29-AD04B1899F01}" userId="S::matteo.delfini@ehl.ch::a49a012d-18f8-408b-814d-6f17c802656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G32" dT="2025-12-10T16:42:05.12" personId="{344AD899-FBF8-2043-AE29-AD04B1899F01}" id="{A85EF0AE-4CEA-B242-8EC5-F68EF1BA3B58}">
    <text>Including entree fees</text>
  </threadedComment>
</ThreadedComments>
</file>

<file path=xl/threadedComments/threadedComment2.xml><?xml version="1.0" encoding="utf-8"?>
<ThreadedComments xmlns="http://schemas.microsoft.com/office/spreadsheetml/2018/threadedcomments" xmlns:x="http://schemas.openxmlformats.org/spreadsheetml/2006/main">
  <threadedComment ref="AD3" dT="2025-12-12T08:45:02.06" personId="{344AD899-FBF8-2043-AE29-AD04B1899F01}" id="{48E319AD-004D-7342-A33C-7AF64D9B5DA7}">
    <text xml:space="preserve">We removed Lunch </text>
  </threadedComment>
  <threadedComment ref="F41" dT="2025-12-11T15:03:33.66" personId="{344AD899-FBF8-2043-AE29-AD04B1899F01}" id="{A911DA8A-3D53-2F4C-A8FC-D6213171D32D}">
    <text>Before Lobby extension</text>
  </threadedComment>
  <threadedComment ref="H41" dT="2025-12-11T15:03:33.66" personId="{344AD899-FBF8-2043-AE29-AD04B1899F01}" id="{E66A778B-C4B0-CA4D-AF35-60423C578074}">
    <text>Before Lobby extension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www.booking.com/hotel/de/oranien-wiesbaden.fr.html?aid=318615&amp;label=New_Chain_Remarketing_French_FR_ROW_180652996784-K6XBFD8MBKVhZkCZkQleSgS730358013305%3Apl%3Ata%3Ap1%3Ap2%3Aac%3Aap%3Aneg&amp;sid=e2e31bc085335f7469baa4695928699d&amp;all_sr_blocks=6826601_391974893_1_2_0&amp;checkin=2026-04-03&amp;checkout=2026-04-04&amp;dest_id=-1887737&amp;dest_type=city&amp;dist=0&amp;group_adults=1&amp;group_children=0&amp;hapos=3&amp;highlighted_blocks=6826601_391974893_1_2_0&amp;hpos=3&amp;matching_block_id=6826601_391974893_1_2_0&amp;no_rooms=1&amp;req_adults=1&amp;req_children=0&amp;room1=A&amp;sb_price_type=total&amp;sr_order=popularity&amp;sr_pri_blocks=6826601_391974893_1_2_0__8519&amp;srepoch=1762269516&amp;srpvid=0cba7a2079137f344ffc207477539283&amp;type=total&amp;ucfs=1&amp;" TargetMode="External"/><Relationship Id="rId7" Type="http://schemas.openxmlformats.org/officeDocument/2006/relationships/hyperlink" Target="https://www.rateinflation.com/consumer-price-index/germany-historical-cpi/?utm" TargetMode="External"/><Relationship Id="rId2" Type="http://schemas.openxmlformats.org/officeDocument/2006/relationships/hyperlink" Target="https://www.booking.com/hotel/de/radisson-blu-schwarzer-bock.fr.html?aid=318615&amp;label=New_Chain_Remarketing_French_FR_ROW_180652996784-K6XBFD8MBKVhZkCZkQleSgS730358013305%3Apl%3Ata%3Ap1%3Ap2%3Aac%3Aap%3Aneg&amp;sid=e2e31bc085335f7469baa4695928699d&amp;all_sr_blocks=6858020_338459515_1_2_0&amp;checkin=2026-04-03&amp;checkout=2026-04-04&amp;dest_id=-1887737&amp;dest_type=city&amp;dist=0&amp;group_adults=1&amp;group_children=0&amp;hapos=1&amp;highlighted_blocks=6858020_338459515_1_2_0&amp;hpos=1&amp;matching_block_id=6858020_338459515_1_2_0&amp;no_rooms=1&amp;req_adults=1&amp;req_children=0&amp;room1=A&amp;sb_price_type=total&amp;sr_order=popularity&amp;sr_pri_blocks=6858020_338459515_1_2_0__9950&amp;srepoch=1762269481&amp;srpvid=0cba7a2079137f344ffc207477539283&amp;type=total&amp;ucfs=1&amp;" TargetMode="External"/><Relationship Id="rId1" Type="http://schemas.openxmlformats.org/officeDocument/2006/relationships/hyperlink" Target="https://www.booking.com/hotel/de/pallas-wiesbaden.fr.html?aid=318615&amp;label=New_Chain_Remarketing_French_FR_ROW_180652996784-K6XBFD8MBKVhZkCZkQleSgS730358013305%3Apl%3Ata%3Ap1%3Ap2%3Aac%3Aap%3Aneg&amp;sid=e2e31bc085335f7469baa4695928699d&amp;all_sr_blocks=6441710_338448150_1_2_0_545235&amp;checkin=2025-11-27&amp;checkout=2025-12-01&amp;dest_id=-1887737&amp;dest_type=city&amp;dist=0&amp;group_adults=1&amp;group_children=0&amp;hapos=1&amp;highlighted_blocks=6441710_338448150_1_2_0_545235&amp;hpos=1&amp;matching_block_id=6441710_338448150_1_2_0_545235&amp;no_rooms=1&amp;req_adults=1&amp;req_children=0&amp;room1=A&amp;sb_price_type=total&amp;sr_order=popularity&amp;sr_pri_blocks=6441710_338448150_1_2_0_545235_81920&amp;srepoch=1762269265&amp;srpvid=091612ce55d54739b025b5d95d07e971&amp;type=total&amp;ucfs=1&amp;" TargetMode="External"/><Relationship Id="rId6" Type="http://schemas.openxmlformats.org/officeDocument/2006/relationships/hyperlink" Target="https://www.theglobaleconomy.com/Germany/inflation_outlook_imf/?utm_source" TargetMode="External"/><Relationship Id="rId5" Type="http://schemas.openxmlformats.org/officeDocument/2006/relationships/hyperlink" Target="https://www.hyatt.com/hyatt-regency/en-US/mainz-hyatt-regency-mainz?gclsrc=aw.ds&amp;&amp;src=bbm_sem_bbm_search_google_eame_rooms_brand_catchall_Germany_Mainz_Hyatt%20Regency_MAINZ_Hyatt%20Regency%20Mainz_hyatt%20regency%20mainz&amp;mckv=s-dc_pcrid_725088046255_mtid_5297kx13790&amp;gad_source=1&amp;gad_campaignid=22010265295&amp;gbraid=0AAAAAookwJhH-Riajt3N2DbGBCCKF9L5T&amp;gclid=Cj0KCQiAiKzIBhCOARIsAKpKLAM8qTmJXr6WHWGwx8b5XLuYva3qwAoSyq3vVMIas6Dui2rElbmk_ycaAomoEALw_wcB" TargetMode="External"/><Relationship Id="rId4" Type="http://schemas.openxmlformats.org/officeDocument/2006/relationships/hyperlink" Target="https://all.accor.com/booking/fr/mercure/hotels/wiesbaden-germany?compositions=1&amp;stayplus=false&amp;snu=false&amp;hideWDR=false&amp;productCode=null&amp;accessibleRooms=false&amp;hideHotelDetails=false&amp;filters=&amp;utm_term=mar&amp;gclid=CjwKCAiA55rJBhByEiwAFkY1QDy21cuXXdD_4W1AiqCM4x2f80oh_YbdG2aIhGRJ4iijkAaLFpySIBoCS0cQAvD_BwE&amp;utm_campaign=ppc-mer-mar-goo-fr-fr-reg_rest-mix-s&amp;utm_medium=cpc&amp;utm_source=google&amp;utm_content=fr-fr-DE-V4374"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hyhotelfurniture.com/how-long-does-it-take-to-refurbish" TargetMode="External"/><Relationship Id="rId2" Type="http://schemas.openxmlformats.org/officeDocument/2006/relationships/hyperlink" Target="https://www.immobilienscout24.de/expose/160771843?referrer=HYBRID_VIEW_MAP&amp;searchId=c63438fd-bbf2-3de9-afaf-3124b02ce239&amp;searchUrl=%2Fde%2Fhessen%2Fwiesbaden%2Fgastronomie-mieten%3Fbbox%3Dc2hycEhzZWZxQH1mQj8-c3JFfGZCPw..&amp;searchType=district" TargetMode="External"/><Relationship Id="rId1" Type="http://schemas.openxmlformats.org/officeDocument/2006/relationships/hyperlink" Target="https://www.hyhotelfurniture.com/blog/hotel-ff-e-costs.html" TargetMode="External"/><Relationship Id="rId5" Type="http://schemas.openxmlformats.org/officeDocument/2006/relationships/drawing" Target="../drawings/drawing3.xml"/><Relationship Id="rId4" Type="http://schemas.openxmlformats.org/officeDocument/2006/relationships/hyperlink" Target="https://www.costar.com/article/1366873980/capex-study-authors-4-reserves-not-enough"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hypofriend.de/en/mortgage-rates-germany/hesse/wiesbaden"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hypofriend.de/en/mortgage-rates-germany/hesse/wiesbaden" TargetMode="Externa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lhotellerie-restauration.fr/sos-experts/ratios-financiers-les-cafes-bars" TargetMode="External"/><Relationship Id="rId2" Type="http://schemas.openxmlformats.org/officeDocument/2006/relationships/hyperlink" Target="https://www.independent.co.uk/travel/hotels/room-service-the-final-call-on-a-luxury-that-is-just-not-profitable-8644598.html" TargetMode="External"/><Relationship Id="rId1" Type="http://schemas.openxmlformats.org/officeDocument/2006/relationships/hyperlink" Target="https://www.fuer-gruender.de/blog/gastro-mehrwertsteuer-2026-das-gilt-ab-1-januar/"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dominionlighting.com/commercial-lighting-installation/"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phericalinsights.com/fr/reports/germany-hospitality-market" TargetMode="External"/><Relationship Id="rId1" Type="http://schemas.openxmlformats.org/officeDocument/2006/relationships/hyperlink" Target="https://www.statista.com/statistics/375207/inflation-rate-in-germany/"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27FE8-1317-184F-8CAB-50BFC03531EC}">
  <sheetPr>
    <tabColor rgb="FFFFC000"/>
  </sheetPr>
  <dimension ref="A1:AM557"/>
  <sheetViews>
    <sheetView showGridLines="0" workbookViewId="0">
      <selection activeCell="L24" sqref="L24"/>
    </sheetView>
  </sheetViews>
  <sheetFormatPr baseColWidth="10" defaultColWidth="11" defaultRowHeight="16" x14ac:dyDescent="0.2"/>
  <cols>
    <col min="3" max="3" width="17.1640625" customWidth="1"/>
    <col min="4" max="4" width="18.6640625" customWidth="1"/>
    <col min="6" max="6" width="26.33203125" customWidth="1"/>
    <col min="9" max="9" width="45" customWidth="1"/>
    <col min="11" max="39" width="11" style="444"/>
  </cols>
  <sheetData>
    <row r="1" spans="1:10" x14ac:dyDescent="0.2">
      <c r="A1" s="444"/>
      <c r="B1" s="444"/>
      <c r="C1" s="444"/>
      <c r="D1" s="444"/>
      <c r="E1" s="444"/>
      <c r="F1" s="444"/>
      <c r="G1" s="444"/>
      <c r="H1" s="444"/>
      <c r="I1" s="444"/>
      <c r="J1" s="444"/>
    </row>
    <row r="2" spans="1:10" ht="24" x14ac:dyDescent="0.3">
      <c r="A2" s="444"/>
      <c r="B2" s="132" t="s">
        <v>0</v>
      </c>
      <c r="C2" s="132"/>
      <c r="D2" s="132"/>
      <c r="E2" s="132"/>
      <c r="F2" s="132"/>
      <c r="G2" s="132"/>
      <c r="H2" s="132"/>
      <c r="I2" s="132"/>
      <c r="J2" s="444"/>
    </row>
    <row r="3" spans="1:10" ht="21" thickBot="1" x14ac:dyDescent="0.3">
      <c r="A3" s="444"/>
      <c r="B3" s="133" t="s">
        <v>1</v>
      </c>
      <c r="C3" s="133"/>
      <c r="D3" s="133"/>
      <c r="E3" s="133"/>
      <c r="F3" s="133"/>
      <c r="G3" s="133"/>
      <c r="H3" s="133"/>
      <c r="I3" s="133"/>
      <c r="J3" s="445"/>
    </row>
    <row r="4" spans="1:10" ht="18" thickTop="1" thickBot="1" x14ac:dyDescent="0.25">
      <c r="A4" s="444"/>
      <c r="B4" s="1912"/>
      <c r="C4" s="1912"/>
      <c r="D4" s="1912"/>
      <c r="E4" s="1912"/>
      <c r="F4" s="1912"/>
      <c r="G4" s="1912"/>
      <c r="H4" s="1912"/>
      <c r="I4" s="1912"/>
      <c r="J4" s="444"/>
    </row>
    <row r="5" spans="1:10" ht="17" thickBot="1" x14ac:dyDescent="0.25">
      <c r="A5" s="444"/>
      <c r="B5" s="1913" t="s">
        <v>2</v>
      </c>
      <c r="C5" s="1913"/>
      <c r="D5" s="1913"/>
      <c r="E5" s="1913"/>
      <c r="F5" s="1913"/>
      <c r="G5" s="1913"/>
      <c r="H5" s="1913"/>
      <c r="I5" s="1914"/>
      <c r="J5" s="444"/>
    </row>
    <row r="6" spans="1:10" ht="17" thickBot="1" x14ac:dyDescent="0.25">
      <c r="A6" s="444"/>
      <c r="B6" s="1913"/>
      <c r="C6" s="1913"/>
      <c r="D6" s="1913"/>
      <c r="E6" s="1913"/>
      <c r="F6" s="1913"/>
      <c r="G6" s="1913"/>
      <c r="H6" s="1913"/>
      <c r="I6" s="1914"/>
      <c r="J6" s="444"/>
    </row>
    <row r="7" spans="1:10" ht="17" thickBot="1" x14ac:dyDescent="0.25">
      <c r="A7" s="444"/>
      <c r="B7" s="1913"/>
      <c r="C7" s="1913"/>
      <c r="D7" s="1913"/>
      <c r="E7" s="1913"/>
      <c r="F7" s="1913"/>
      <c r="G7" s="1913"/>
      <c r="H7" s="1913"/>
      <c r="I7" s="1914"/>
      <c r="J7" s="444"/>
    </row>
    <row r="8" spans="1:10" ht="17" thickBot="1" x14ac:dyDescent="0.25">
      <c r="A8" s="444"/>
      <c r="B8" s="1913"/>
      <c r="C8" s="1913"/>
      <c r="D8" s="1913"/>
      <c r="E8" s="1913"/>
      <c r="F8" s="1913"/>
      <c r="G8" s="1913"/>
      <c r="H8" s="1913"/>
      <c r="I8" s="1914"/>
      <c r="J8" s="444"/>
    </row>
    <row r="9" spans="1:10" ht="17" thickBot="1" x14ac:dyDescent="0.25">
      <c r="A9" s="444"/>
      <c r="B9" s="1915"/>
      <c r="C9" s="1915"/>
      <c r="D9" s="1915"/>
      <c r="E9" s="1915"/>
      <c r="F9" s="1915"/>
      <c r="G9" s="1915"/>
      <c r="H9" s="1915"/>
      <c r="I9" s="1916"/>
      <c r="J9" s="444"/>
    </row>
    <row r="10" spans="1:10" x14ac:dyDescent="0.2">
      <c r="A10" s="444"/>
      <c r="B10" s="135"/>
      <c r="C10" s="135"/>
      <c r="D10" s="135"/>
      <c r="E10" s="135"/>
      <c r="F10" s="135"/>
      <c r="G10" s="135"/>
      <c r="H10" s="135"/>
      <c r="I10" s="135"/>
      <c r="J10" s="446"/>
    </row>
    <row r="11" spans="1:10" ht="20" thickBot="1" x14ac:dyDescent="0.3">
      <c r="A11" s="444"/>
      <c r="B11" s="136" t="s">
        <v>3</v>
      </c>
      <c r="C11" s="137"/>
      <c r="D11" s="137"/>
      <c r="E11" s="137"/>
      <c r="F11" s="137"/>
      <c r="G11" s="137"/>
      <c r="H11" s="137"/>
      <c r="I11" s="137"/>
      <c r="J11" s="447"/>
    </row>
    <row r="12" spans="1:10" ht="18" thickTop="1" thickBot="1" x14ac:dyDescent="0.25">
      <c r="A12" s="444"/>
      <c r="B12" s="138" t="s">
        <v>4</v>
      </c>
      <c r="C12" s="139"/>
      <c r="D12" s="139"/>
      <c r="E12" s="139"/>
      <c r="F12" s="134"/>
      <c r="G12" s="134"/>
      <c r="H12" s="134"/>
      <c r="I12" s="134"/>
      <c r="J12" s="445"/>
    </row>
    <row r="13" spans="1:10" ht="24" thickTop="1" thickBot="1" x14ac:dyDescent="0.35">
      <c r="A13" s="444"/>
      <c r="B13" s="140"/>
      <c r="F13" s="1924" t="s">
        <v>5</v>
      </c>
      <c r="G13" s="1924"/>
      <c r="H13" s="1924"/>
      <c r="I13" s="1924"/>
      <c r="J13" s="444"/>
    </row>
    <row r="14" spans="1:10" ht="17" thickBot="1" x14ac:dyDescent="0.25">
      <c r="A14" s="444"/>
      <c r="B14" s="1660" t="s">
        <v>6</v>
      </c>
      <c r="C14" s="1661" t="s">
        <v>7</v>
      </c>
      <c r="D14" s="1662" t="s">
        <v>8</v>
      </c>
      <c r="J14" s="444"/>
    </row>
    <row r="15" spans="1:10" ht="17" thickTop="1" x14ac:dyDescent="0.2">
      <c r="A15" s="444"/>
      <c r="B15" s="1663" t="s">
        <v>9</v>
      </c>
      <c r="C15" s="141" t="s">
        <v>10</v>
      </c>
      <c r="D15" s="1710">
        <v>693625229</v>
      </c>
      <c r="J15" s="444"/>
    </row>
    <row r="16" spans="1:10" x14ac:dyDescent="0.2">
      <c r="A16" s="444"/>
      <c r="B16" s="1664" t="s">
        <v>11</v>
      </c>
      <c r="C16" s="1711" t="s">
        <v>12</v>
      </c>
      <c r="D16" s="1710" t="s">
        <v>13</v>
      </c>
      <c r="J16" s="444"/>
    </row>
    <row r="17" spans="1:10" x14ac:dyDescent="0.2">
      <c r="A17" s="444"/>
      <c r="B17" s="1664" t="s">
        <v>14</v>
      </c>
      <c r="C17" s="1711" t="s">
        <v>15</v>
      </c>
      <c r="D17" s="1710">
        <v>658937790</v>
      </c>
      <c r="J17" s="444"/>
    </row>
    <row r="18" spans="1:10" x14ac:dyDescent="0.2">
      <c r="A18" s="444"/>
      <c r="B18" s="1664" t="s">
        <v>16</v>
      </c>
      <c r="C18" s="1711" t="s">
        <v>17</v>
      </c>
      <c r="D18" s="1710">
        <v>704826420</v>
      </c>
      <c r="J18" s="444"/>
    </row>
    <row r="19" spans="1:10" x14ac:dyDescent="0.2">
      <c r="A19" s="444"/>
      <c r="B19" s="1664" t="s">
        <v>18</v>
      </c>
      <c r="C19" s="1711" t="s">
        <v>19</v>
      </c>
      <c r="D19" s="1710">
        <v>646947764</v>
      </c>
      <c r="J19" s="444"/>
    </row>
    <row r="20" spans="1:10" x14ac:dyDescent="0.2">
      <c r="A20" s="444"/>
      <c r="B20" s="1664" t="s">
        <v>20</v>
      </c>
      <c r="C20" s="1711" t="s">
        <v>21</v>
      </c>
      <c r="D20" s="1710">
        <v>651927774</v>
      </c>
      <c r="J20" s="444"/>
    </row>
    <row r="21" spans="1:10" x14ac:dyDescent="0.2">
      <c r="A21" s="444"/>
      <c r="B21" s="1664" t="s">
        <v>22</v>
      </c>
      <c r="C21" s="1711" t="s">
        <v>23</v>
      </c>
      <c r="D21" s="1710">
        <v>608900893</v>
      </c>
      <c r="J21" s="444"/>
    </row>
    <row r="22" spans="1:10" ht="17" thickBot="1" x14ac:dyDescent="0.25">
      <c r="A22" s="444"/>
      <c r="B22" s="1665" t="s">
        <v>24</v>
      </c>
      <c r="C22" s="1393" t="s">
        <v>25</v>
      </c>
      <c r="D22" s="1394" t="s">
        <v>26</v>
      </c>
      <c r="J22" s="444"/>
    </row>
    <row r="23" spans="1:10" x14ac:dyDescent="0.2">
      <c r="A23" s="444"/>
      <c r="B23" s="140"/>
      <c r="J23" s="444"/>
    </row>
    <row r="24" spans="1:10" ht="21" thickBot="1" x14ac:dyDescent="0.3">
      <c r="A24" s="444"/>
      <c r="B24" s="137" t="s">
        <v>27</v>
      </c>
      <c r="C24" s="133"/>
      <c r="D24" s="133"/>
      <c r="E24" s="133"/>
      <c r="F24" s="133"/>
      <c r="G24" s="133"/>
      <c r="H24" s="133"/>
      <c r="I24" s="133"/>
      <c r="J24" s="444"/>
    </row>
    <row r="25" spans="1:10" ht="18" thickTop="1" thickBot="1" x14ac:dyDescent="0.25">
      <c r="A25" s="444"/>
      <c r="J25" s="444"/>
    </row>
    <row r="26" spans="1:10" ht="17" thickBot="1" x14ac:dyDescent="0.25">
      <c r="A26" s="444"/>
      <c r="B26" s="1923" t="s">
        <v>28</v>
      </c>
      <c r="C26" s="1923"/>
      <c r="D26" s="1921" t="s">
        <v>29</v>
      </c>
      <c r="E26" s="1921"/>
      <c r="F26" s="1921"/>
      <c r="G26" s="1921"/>
      <c r="H26" s="1921"/>
      <c r="I26" s="1922"/>
      <c r="J26" s="448"/>
    </row>
    <row r="27" spans="1:10" x14ac:dyDescent="0.2">
      <c r="A27" s="444"/>
      <c r="B27" s="1917" t="s">
        <v>30</v>
      </c>
      <c r="C27" s="1918"/>
      <c r="D27" s="1919" t="s">
        <v>31</v>
      </c>
      <c r="E27" s="1919"/>
      <c r="F27" s="1919"/>
      <c r="G27" s="1919"/>
      <c r="H27" s="1919"/>
      <c r="I27" s="1920"/>
      <c r="J27" s="444"/>
    </row>
    <row r="28" spans="1:10" x14ac:dyDescent="0.2">
      <c r="A28" s="444"/>
      <c r="B28" s="1908" t="s">
        <v>32</v>
      </c>
      <c r="C28" s="1909"/>
      <c r="D28" s="1910" t="s">
        <v>33</v>
      </c>
      <c r="E28" s="1910"/>
      <c r="F28" s="1910"/>
      <c r="G28" s="1910"/>
      <c r="H28" s="1910"/>
      <c r="I28" s="1911"/>
      <c r="J28" s="444"/>
    </row>
    <row r="29" spans="1:10" x14ac:dyDescent="0.2">
      <c r="A29" s="444"/>
      <c r="B29" s="1908" t="s">
        <v>34</v>
      </c>
      <c r="C29" s="1909"/>
      <c r="D29" s="1910" t="s">
        <v>35</v>
      </c>
      <c r="E29" s="1910"/>
      <c r="F29" s="1910"/>
      <c r="G29" s="1910"/>
      <c r="H29" s="1910"/>
      <c r="I29" s="1911"/>
      <c r="J29" s="444"/>
    </row>
    <row r="30" spans="1:10" x14ac:dyDescent="0.2">
      <c r="A30" s="444"/>
      <c r="B30" s="1908" t="s">
        <v>36</v>
      </c>
      <c r="C30" s="1909"/>
      <c r="D30" s="1910" t="s">
        <v>37</v>
      </c>
      <c r="E30" s="1910"/>
      <c r="F30" s="1910"/>
      <c r="G30" s="1910"/>
      <c r="H30" s="1910"/>
      <c r="I30" s="1911"/>
      <c r="J30" s="444"/>
    </row>
    <row r="31" spans="1:10" x14ac:dyDescent="0.2">
      <c r="A31" s="444"/>
      <c r="B31" s="1928" t="s">
        <v>38</v>
      </c>
      <c r="C31" s="1929"/>
      <c r="D31" s="1930" t="s">
        <v>39</v>
      </c>
      <c r="E31" s="1930"/>
      <c r="F31" s="1930"/>
      <c r="G31" s="1930"/>
      <c r="H31" s="1930"/>
      <c r="I31" s="1931"/>
      <c r="J31" s="444"/>
    </row>
    <row r="32" spans="1:10" ht="16" customHeight="1" x14ac:dyDescent="0.2">
      <c r="A32" s="444"/>
      <c r="B32" s="1908" t="s">
        <v>40</v>
      </c>
      <c r="C32" s="1909"/>
      <c r="D32" s="1910" t="s">
        <v>41</v>
      </c>
      <c r="E32" s="1910"/>
      <c r="F32" s="1910"/>
      <c r="G32" s="1910"/>
      <c r="H32" s="1910"/>
      <c r="I32" s="1911"/>
      <c r="J32" s="444"/>
    </row>
    <row r="33" spans="1:10" x14ac:dyDescent="0.2">
      <c r="A33" s="444"/>
      <c r="B33" s="1908" t="s">
        <v>42</v>
      </c>
      <c r="C33" s="1909"/>
      <c r="D33" s="1910" t="s">
        <v>43</v>
      </c>
      <c r="E33" s="1910"/>
      <c r="F33" s="1910"/>
      <c r="G33" s="1910"/>
      <c r="H33" s="1910"/>
      <c r="I33" s="1911"/>
      <c r="J33" s="444"/>
    </row>
    <row r="34" spans="1:10" x14ac:dyDescent="0.2">
      <c r="A34" s="444"/>
      <c r="B34" s="1908" t="s">
        <v>44</v>
      </c>
      <c r="C34" s="1909"/>
      <c r="D34" s="1910" t="s">
        <v>45</v>
      </c>
      <c r="E34" s="1910"/>
      <c r="F34" s="1910"/>
      <c r="G34" s="1910"/>
      <c r="H34" s="1910"/>
      <c r="I34" s="1911"/>
      <c r="J34" s="444"/>
    </row>
    <row r="35" spans="1:10" x14ac:dyDescent="0.2">
      <c r="A35" s="444"/>
      <c r="B35" s="1926" t="s">
        <v>46</v>
      </c>
      <c r="C35" s="1927"/>
      <c r="D35" s="1910" t="s">
        <v>47</v>
      </c>
      <c r="E35" s="1910"/>
      <c r="F35" s="1910"/>
      <c r="G35" s="1910"/>
      <c r="H35" s="1910"/>
      <c r="I35" s="1911"/>
      <c r="J35" s="444"/>
    </row>
    <row r="36" spans="1:10" x14ac:dyDescent="0.2">
      <c r="A36" s="444"/>
      <c r="B36" s="1908" t="s">
        <v>48</v>
      </c>
      <c r="C36" s="1909"/>
      <c r="D36" s="1910" t="s">
        <v>49</v>
      </c>
      <c r="E36" s="1910"/>
      <c r="F36" s="1910"/>
      <c r="G36" s="1910"/>
      <c r="H36" s="1910"/>
      <c r="I36" s="1911"/>
      <c r="J36" s="444"/>
    </row>
    <row r="37" spans="1:10" ht="17" thickBot="1" x14ac:dyDescent="0.25">
      <c r="A37" s="444"/>
      <c r="B37" s="1932" t="s">
        <v>50</v>
      </c>
      <c r="C37" s="1933"/>
      <c r="D37" s="1934" t="s">
        <v>51</v>
      </c>
      <c r="E37" s="1934"/>
      <c r="F37" s="1934"/>
      <c r="G37" s="1934"/>
      <c r="H37" s="1934"/>
      <c r="I37" s="1935"/>
      <c r="J37" s="444"/>
    </row>
    <row r="38" spans="1:10" x14ac:dyDescent="0.2">
      <c r="A38" s="444"/>
      <c r="B38" s="1925"/>
      <c r="C38" s="1925"/>
      <c r="D38" s="444"/>
      <c r="E38" s="444"/>
      <c r="F38" s="444"/>
      <c r="G38" s="444"/>
      <c r="H38" s="444"/>
      <c r="I38" s="444"/>
      <c r="J38" s="444"/>
    </row>
    <row r="39" spans="1:10" x14ac:dyDescent="0.2">
      <c r="A39" s="444"/>
      <c r="B39" s="1925"/>
      <c r="C39" s="1925"/>
      <c r="D39" s="444"/>
      <c r="E39" s="444"/>
      <c r="F39" s="444"/>
      <c r="G39" s="444"/>
      <c r="H39" s="444"/>
      <c r="I39" s="444"/>
      <c r="J39" s="444"/>
    </row>
    <row r="40" spans="1:10" x14ac:dyDescent="0.2">
      <c r="A40" s="444"/>
      <c r="B40" s="1925"/>
      <c r="C40" s="1925"/>
      <c r="D40" s="444"/>
      <c r="E40" s="444"/>
      <c r="F40" s="444"/>
      <c r="G40" s="444"/>
      <c r="H40" s="444"/>
      <c r="I40" s="444"/>
      <c r="J40" s="444"/>
    </row>
    <row r="41" spans="1:10" x14ac:dyDescent="0.2">
      <c r="A41" s="444"/>
      <c r="B41" s="1925"/>
      <c r="C41" s="1925"/>
      <c r="D41" s="444"/>
      <c r="E41" s="444"/>
      <c r="F41" s="444"/>
      <c r="G41" s="444"/>
      <c r="H41" s="444"/>
      <c r="I41" s="444"/>
      <c r="J41" s="444"/>
    </row>
    <row r="42" spans="1:10" x14ac:dyDescent="0.2">
      <c r="A42" s="444"/>
      <c r="B42" s="1925"/>
      <c r="C42" s="1925"/>
      <c r="D42" s="444"/>
      <c r="E42" s="444"/>
      <c r="F42" s="444"/>
      <c r="G42" s="444"/>
      <c r="H42" s="444"/>
      <c r="I42" s="444"/>
      <c r="J42" s="444"/>
    </row>
    <row r="43" spans="1:10" x14ac:dyDescent="0.2">
      <c r="A43" s="444"/>
      <c r="B43" s="1925"/>
      <c r="C43" s="1925"/>
      <c r="D43" s="444"/>
      <c r="E43" s="444"/>
      <c r="F43" s="444"/>
      <c r="G43" s="444"/>
      <c r="H43" s="444"/>
      <c r="I43" s="444"/>
      <c r="J43" s="444"/>
    </row>
    <row r="44" spans="1:10" x14ac:dyDescent="0.2">
      <c r="A44" s="444"/>
      <c r="B44" s="1925"/>
      <c r="C44" s="1925"/>
      <c r="D44" s="444"/>
      <c r="E44" s="444"/>
      <c r="F44" s="444"/>
      <c r="G44" s="444"/>
      <c r="H44" s="444"/>
      <c r="I44" s="444"/>
      <c r="J44" s="444"/>
    </row>
    <row r="45" spans="1:10" x14ac:dyDescent="0.2">
      <c r="A45" s="444"/>
      <c r="B45" s="1925"/>
      <c r="C45" s="1925"/>
      <c r="D45" s="444"/>
      <c r="E45" s="444"/>
      <c r="F45" s="444"/>
      <c r="G45" s="444"/>
      <c r="H45" s="444"/>
      <c r="I45" s="444"/>
      <c r="J45" s="444"/>
    </row>
    <row r="46" spans="1:10" x14ac:dyDescent="0.2">
      <c r="A46" s="444"/>
      <c r="B46" s="1925"/>
      <c r="C46" s="1925"/>
      <c r="D46" s="444"/>
      <c r="E46" s="444"/>
      <c r="F46" s="444"/>
      <c r="G46" s="444"/>
      <c r="H46" s="444"/>
      <c r="I46" s="444"/>
      <c r="J46" s="444"/>
    </row>
    <row r="47" spans="1:10" x14ac:dyDescent="0.2">
      <c r="A47" s="444"/>
      <c r="B47" s="444"/>
      <c r="C47" s="444"/>
      <c r="D47" s="444"/>
      <c r="E47" s="444"/>
      <c r="F47" s="444"/>
      <c r="G47" s="444"/>
      <c r="H47" s="444"/>
      <c r="I47" s="444"/>
      <c r="J47" s="444"/>
    </row>
    <row r="48" spans="1:10" x14ac:dyDescent="0.2">
      <c r="A48" s="444"/>
      <c r="B48" s="444"/>
      <c r="C48" s="444"/>
      <c r="D48" s="444"/>
      <c r="E48" s="444"/>
      <c r="F48" s="444"/>
      <c r="G48" s="444"/>
      <c r="H48" s="444"/>
      <c r="I48" s="444"/>
      <c r="J48" s="444"/>
    </row>
    <row r="49" spans="1:10" x14ac:dyDescent="0.2">
      <c r="A49" s="444"/>
      <c r="B49" s="444"/>
      <c r="C49" s="444"/>
      <c r="D49" s="444"/>
      <c r="E49" s="444"/>
      <c r="F49" s="444"/>
      <c r="G49" s="444"/>
      <c r="H49" s="444"/>
      <c r="I49" s="444"/>
      <c r="J49" s="444"/>
    </row>
    <row r="50" spans="1:10" x14ac:dyDescent="0.2">
      <c r="A50" s="444"/>
      <c r="B50" s="444"/>
      <c r="C50" s="444"/>
      <c r="D50" s="444"/>
      <c r="E50" s="444"/>
      <c r="F50" s="444"/>
      <c r="G50" s="444"/>
      <c r="H50" s="444"/>
      <c r="I50" s="444"/>
      <c r="J50" s="444"/>
    </row>
    <row r="51" spans="1:10" x14ac:dyDescent="0.2">
      <c r="A51" s="444"/>
      <c r="B51" s="444"/>
      <c r="C51" s="444"/>
      <c r="D51" s="444"/>
      <c r="E51" s="444"/>
      <c r="F51" s="444"/>
      <c r="G51" s="444"/>
      <c r="H51" s="444"/>
      <c r="I51" s="444"/>
      <c r="J51" s="444"/>
    </row>
    <row r="52" spans="1:10" x14ac:dyDescent="0.2">
      <c r="A52" s="444"/>
      <c r="B52" s="444"/>
      <c r="C52" s="444"/>
      <c r="D52" s="444"/>
      <c r="E52" s="444"/>
      <c r="F52" s="444"/>
      <c r="G52" s="444"/>
      <c r="H52" s="444"/>
      <c r="I52" s="444"/>
      <c r="J52" s="444"/>
    </row>
    <row r="53" spans="1:10" x14ac:dyDescent="0.2">
      <c r="A53" s="444"/>
      <c r="B53" s="444"/>
      <c r="C53" s="444"/>
      <c r="D53" s="444"/>
      <c r="E53" s="444"/>
      <c r="F53" s="444"/>
      <c r="G53" s="444"/>
      <c r="H53" s="444"/>
      <c r="I53" s="444"/>
      <c r="J53" s="444"/>
    </row>
    <row r="54" spans="1:10" x14ac:dyDescent="0.2">
      <c r="A54" s="444"/>
      <c r="B54" s="444"/>
      <c r="C54" s="444"/>
      <c r="D54" s="444"/>
      <c r="E54" s="444"/>
      <c r="F54" s="444"/>
      <c r="G54" s="444"/>
      <c r="H54" s="444"/>
      <c r="I54" s="444"/>
      <c r="J54" s="444"/>
    </row>
    <row r="55" spans="1:10" x14ac:dyDescent="0.2">
      <c r="A55" s="444"/>
      <c r="B55" s="444"/>
      <c r="C55" s="444"/>
      <c r="D55" s="444"/>
      <c r="E55" s="444"/>
      <c r="F55" s="444"/>
      <c r="G55" s="444"/>
      <c r="H55" s="444"/>
      <c r="I55" s="444"/>
      <c r="J55" s="444"/>
    </row>
    <row r="56" spans="1:10" x14ac:dyDescent="0.2">
      <c r="A56" s="444"/>
      <c r="B56" s="444"/>
      <c r="C56" s="444"/>
      <c r="D56" s="444"/>
      <c r="E56" s="444"/>
      <c r="F56" s="444"/>
      <c r="G56" s="444"/>
      <c r="H56" s="444"/>
      <c r="I56" s="444"/>
      <c r="J56" s="444"/>
    </row>
    <row r="57" spans="1:10" x14ac:dyDescent="0.2">
      <c r="A57" s="444"/>
      <c r="B57" s="444"/>
      <c r="C57" s="444"/>
      <c r="D57" s="444"/>
      <c r="E57" s="444"/>
      <c r="F57" s="444"/>
      <c r="G57" s="444"/>
      <c r="H57" s="444"/>
      <c r="I57" s="444"/>
      <c r="J57" s="444"/>
    </row>
    <row r="58" spans="1:10" x14ac:dyDescent="0.2">
      <c r="A58" s="444"/>
      <c r="B58" s="444"/>
      <c r="C58" s="444"/>
      <c r="D58" s="444"/>
      <c r="E58" s="444"/>
      <c r="F58" s="444"/>
      <c r="G58" s="444"/>
      <c r="H58" s="444"/>
      <c r="I58" s="444"/>
      <c r="J58" s="444"/>
    </row>
    <row r="59" spans="1:10" x14ac:dyDescent="0.2">
      <c r="A59" s="444"/>
      <c r="B59" s="444"/>
      <c r="C59" s="444"/>
      <c r="D59" s="444"/>
      <c r="E59" s="444"/>
      <c r="F59" s="444"/>
      <c r="G59" s="444"/>
      <c r="H59" s="444"/>
      <c r="I59" s="444"/>
      <c r="J59" s="444"/>
    </row>
    <row r="60" spans="1:10" x14ac:dyDescent="0.2">
      <c r="A60" s="444"/>
      <c r="B60" s="444"/>
      <c r="C60" s="444"/>
      <c r="D60" s="444"/>
      <c r="E60" s="444"/>
      <c r="F60" s="444"/>
      <c r="G60" s="444"/>
      <c r="H60" s="444"/>
      <c r="I60" s="444"/>
      <c r="J60" s="444"/>
    </row>
    <row r="61" spans="1:10" x14ac:dyDescent="0.2">
      <c r="A61" s="444"/>
      <c r="B61" s="444"/>
      <c r="C61" s="444"/>
      <c r="D61" s="444"/>
      <c r="E61" s="444"/>
      <c r="F61" s="444"/>
      <c r="G61" s="444"/>
      <c r="H61" s="444"/>
      <c r="I61" s="444"/>
      <c r="J61" s="444"/>
    </row>
    <row r="62" spans="1:10" x14ac:dyDescent="0.2">
      <c r="A62" s="444"/>
      <c r="B62" s="444"/>
      <c r="C62" s="444"/>
      <c r="D62" s="444"/>
      <c r="E62" s="444"/>
      <c r="F62" s="444"/>
      <c r="G62" s="444"/>
      <c r="H62" s="444"/>
      <c r="I62" s="444"/>
      <c r="J62" s="444"/>
    </row>
    <row r="63" spans="1:10" x14ac:dyDescent="0.2">
      <c r="A63" s="444"/>
      <c r="B63" s="444"/>
      <c r="C63" s="444"/>
      <c r="D63" s="444"/>
      <c r="E63" s="444"/>
      <c r="F63" s="444"/>
      <c r="G63" s="444"/>
      <c r="H63" s="444"/>
      <c r="I63" s="444"/>
      <c r="J63" s="444"/>
    </row>
    <row r="64" spans="1:10" x14ac:dyDescent="0.2">
      <c r="A64" s="444"/>
      <c r="B64" s="444"/>
      <c r="C64" s="444"/>
      <c r="D64" s="444"/>
      <c r="E64" s="444"/>
      <c r="F64" s="444"/>
      <c r="G64" s="444"/>
      <c r="H64" s="444"/>
      <c r="I64" s="444"/>
      <c r="J64" s="444"/>
    </row>
    <row r="65" spans="1:10" x14ac:dyDescent="0.2">
      <c r="A65" s="444"/>
      <c r="B65" s="444"/>
      <c r="C65" s="444"/>
      <c r="D65" s="444"/>
      <c r="E65" s="444"/>
      <c r="F65" s="444"/>
      <c r="G65" s="444"/>
      <c r="H65" s="444"/>
      <c r="I65" s="444"/>
      <c r="J65" s="444"/>
    </row>
    <row r="66" spans="1:10" x14ac:dyDescent="0.2">
      <c r="A66" s="444"/>
      <c r="B66" s="444"/>
      <c r="C66" s="444"/>
      <c r="D66" s="444"/>
      <c r="E66" s="444"/>
      <c r="F66" s="444"/>
      <c r="G66" s="444"/>
      <c r="H66" s="444"/>
      <c r="I66" s="444"/>
      <c r="J66" s="444"/>
    </row>
    <row r="67" spans="1:10" x14ac:dyDescent="0.2">
      <c r="A67" s="444"/>
      <c r="B67" s="444"/>
      <c r="C67" s="444"/>
      <c r="D67" s="444"/>
      <c r="E67" s="444"/>
      <c r="F67" s="444"/>
      <c r="G67" s="444"/>
      <c r="H67" s="444"/>
      <c r="I67" s="444"/>
      <c r="J67" s="444"/>
    </row>
    <row r="68" spans="1:10" x14ac:dyDescent="0.2">
      <c r="A68" s="444"/>
      <c r="B68" s="444"/>
      <c r="C68" s="444"/>
      <c r="D68" s="444"/>
      <c r="E68" s="444"/>
      <c r="F68" s="444"/>
      <c r="G68" s="444"/>
      <c r="H68" s="444"/>
      <c r="I68" s="444"/>
      <c r="J68" s="444"/>
    </row>
    <row r="69" spans="1:10" x14ac:dyDescent="0.2">
      <c r="A69" s="444"/>
      <c r="B69" s="444"/>
      <c r="C69" s="444"/>
      <c r="D69" s="444"/>
      <c r="E69" s="444"/>
      <c r="F69" s="444"/>
      <c r="G69" s="444"/>
      <c r="H69" s="444"/>
      <c r="I69" s="444"/>
      <c r="J69" s="444"/>
    </row>
    <row r="70" spans="1:10" x14ac:dyDescent="0.2">
      <c r="A70" s="444"/>
      <c r="B70" s="444"/>
      <c r="C70" s="444"/>
      <c r="D70" s="444"/>
      <c r="E70" s="444"/>
      <c r="F70" s="444"/>
      <c r="G70" s="444"/>
      <c r="H70" s="444"/>
      <c r="I70" s="444"/>
      <c r="J70" s="444"/>
    </row>
    <row r="71" spans="1:10" x14ac:dyDescent="0.2">
      <c r="A71" s="444"/>
      <c r="B71" s="444"/>
      <c r="C71" s="444"/>
      <c r="D71" s="444"/>
      <c r="E71" s="444"/>
      <c r="F71" s="444"/>
      <c r="G71" s="444"/>
      <c r="H71" s="444"/>
      <c r="I71" s="444"/>
      <c r="J71" s="444"/>
    </row>
    <row r="72" spans="1:10" x14ac:dyDescent="0.2">
      <c r="A72" s="444"/>
      <c r="B72" s="444"/>
      <c r="C72" s="444"/>
      <c r="D72" s="444"/>
      <c r="E72" s="444"/>
      <c r="F72" s="444"/>
      <c r="G72" s="444"/>
      <c r="H72" s="444"/>
      <c r="I72" s="444"/>
      <c r="J72" s="444"/>
    </row>
    <row r="73" spans="1:10" x14ac:dyDescent="0.2">
      <c r="A73" s="444"/>
      <c r="B73" s="444"/>
      <c r="C73" s="444"/>
      <c r="D73" s="444"/>
      <c r="E73" s="444"/>
      <c r="F73" s="444"/>
      <c r="G73" s="444"/>
      <c r="H73" s="444"/>
      <c r="I73" s="444"/>
      <c r="J73" s="444"/>
    </row>
    <row r="74" spans="1:10" x14ac:dyDescent="0.2">
      <c r="A74" s="444"/>
      <c r="B74" s="444"/>
      <c r="C74" s="444"/>
      <c r="D74" s="444"/>
      <c r="E74" s="444"/>
      <c r="F74" s="444"/>
      <c r="G74" s="444"/>
      <c r="H74" s="444"/>
      <c r="I74" s="444"/>
      <c r="J74" s="444"/>
    </row>
    <row r="75" spans="1:10" x14ac:dyDescent="0.2">
      <c r="A75" s="444"/>
      <c r="B75" s="444"/>
      <c r="C75" s="444"/>
      <c r="D75" s="444"/>
      <c r="E75" s="444"/>
      <c r="F75" s="444"/>
      <c r="G75" s="444"/>
      <c r="H75" s="444"/>
      <c r="I75" s="444"/>
      <c r="J75" s="444"/>
    </row>
    <row r="76" spans="1:10" x14ac:dyDescent="0.2">
      <c r="A76" s="444"/>
      <c r="B76" s="444"/>
      <c r="C76" s="444"/>
      <c r="D76" s="444"/>
      <c r="E76" s="444"/>
      <c r="F76" s="444"/>
      <c r="G76" s="444"/>
      <c r="H76" s="444"/>
      <c r="I76" s="444"/>
      <c r="J76" s="444"/>
    </row>
    <row r="77" spans="1:10" x14ac:dyDescent="0.2">
      <c r="A77" s="444"/>
      <c r="B77" s="444"/>
      <c r="C77" s="444"/>
      <c r="D77" s="444"/>
      <c r="E77" s="444"/>
      <c r="F77" s="444"/>
      <c r="G77" s="444"/>
      <c r="H77" s="444"/>
      <c r="I77" s="444"/>
      <c r="J77" s="444"/>
    </row>
    <row r="78" spans="1:10" x14ac:dyDescent="0.2">
      <c r="A78" s="444"/>
      <c r="B78" s="444"/>
      <c r="C78" s="444"/>
      <c r="D78" s="444"/>
      <c r="E78" s="444"/>
      <c r="F78" s="444"/>
      <c r="G78" s="444"/>
      <c r="H78" s="444"/>
      <c r="I78" s="444"/>
      <c r="J78" s="444"/>
    </row>
    <row r="79" spans="1:10" x14ac:dyDescent="0.2">
      <c r="A79" s="444"/>
      <c r="B79" s="444"/>
      <c r="C79" s="444"/>
      <c r="D79" s="444"/>
      <c r="E79" s="444"/>
      <c r="F79" s="444"/>
      <c r="G79" s="444"/>
      <c r="H79" s="444"/>
      <c r="I79" s="444"/>
      <c r="J79" s="444"/>
    </row>
    <row r="80" spans="1:10" x14ac:dyDescent="0.2">
      <c r="A80" s="444"/>
      <c r="B80" s="444"/>
      <c r="C80" s="444"/>
      <c r="D80" s="444"/>
      <c r="E80" s="444"/>
      <c r="F80" s="444"/>
      <c r="G80" s="444"/>
      <c r="H80" s="444"/>
      <c r="I80" s="444"/>
      <c r="J80" s="444"/>
    </row>
    <row r="81" spans="1:10" x14ac:dyDescent="0.2">
      <c r="A81" s="444"/>
      <c r="B81" s="444"/>
      <c r="C81" s="444"/>
      <c r="D81" s="444"/>
      <c r="E81" s="444"/>
      <c r="F81" s="444"/>
      <c r="G81" s="444"/>
      <c r="H81" s="444"/>
      <c r="I81" s="444"/>
      <c r="J81" s="444"/>
    </row>
    <row r="82" spans="1:10" x14ac:dyDescent="0.2">
      <c r="A82" s="444"/>
      <c r="B82" s="444"/>
      <c r="C82" s="444"/>
      <c r="D82" s="444"/>
      <c r="E82" s="444"/>
      <c r="F82" s="444"/>
      <c r="G82" s="444"/>
      <c r="H82" s="444"/>
      <c r="I82" s="444"/>
      <c r="J82" s="444"/>
    </row>
    <row r="83" spans="1:10" x14ac:dyDescent="0.2">
      <c r="A83" s="444"/>
      <c r="B83" s="444"/>
      <c r="C83" s="444"/>
      <c r="D83" s="444"/>
      <c r="E83" s="444"/>
      <c r="F83" s="444"/>
      <c r="G83" s="444"/>
      <c r="H83" s="444"/>
      <c r="I83" s="444"/>
      <c r="J83" s="444"/>
    </row>
    <row r="84" spans="1:10" x14ac:dyDescent="0.2">
      <c r="A84" s="444"/>
      <c r="B84" s="444"/>
      <c r="C84" s="444"/>
      <c r="D84" s="444"/>
      <c r="E84" s="444"/>
      <c r="F84" s="444"/>
      <c r="G84" s="444"/>
      <c r="H84" s="444"/>
      <c r="I84" s="444"/>
      <c r="J84" s="444"/>
    </row>
    <row r="85" spans="1:10" x14ac:dyDescent="0.2">
      <c r="A85" s="444"/>
      <c r="B85" s="444"/>
      <c r="C85" s="444"/>
      <c r="D85" s="444"/>
      <c r="E85" s="444"/>
      <c r="F85" s="444"/>
      <c r="G85" s="444"/>
      <c r="H85" s="444"/>
      <c r="I85" s="444"/>
      <c r="J85" s="444"/>
    </row>
    <row r="86" spans="1:10" x14ac:dyDescent="0.2">
      <c r="A86" s="444"/>
      <c r="B86" s="444"/>
      <c r="C86" s="444"/>
      <c r="D86" s="444"/>
      <c r="E86" s="444"/>
      <c r="F86" s="444"/>
      <c r="G86" s="444"/>
      <c r="H86" s="444"/>
      <c r="I86" s="444"/>
      <c r="J86" s="444"/>
    </row>
    <row r="87" spans="1:10" x14ac:dyDescent="0.2">
      <c r="A87" s="444"/>
      <c r="B87" s="444"/>
      <c r="C87" s="444"/>
      <c r="D87" s="444"/>
      <c r="E87" s="444"/>
      <c r="F87" s="444"/>
      <c r="G87" s="444"/>
      <c r="H87" s="444"/>
      <c r="I87" s="444"/>
      <c r="J87" s="444"/>
    </row>
    <row r="88" spans="1:10" x14ac:dyDescent="0.2">
      <c r="A88" s="444"/>
      <c r="B88" s="444"/>
      <c r="C88" s="444"/>
      <c r="D88" s="444"/>
      <c r="E88" s="444"/>
      <c r="F88" s="444"/>
      <c r="G88" s="444"/>
      <c r="H88" s="444"/>
      <c r="I88" s="444"/>
      <c r="J88" s="444"/>
    </row>
    <row r="89" spans="1:10" x14ac:dyDescent="0.2">
      <c r="A89" s="444"/>
      <c r="B89" s="444"/>
      <c r="C89" s="444"/>
      <c r="D89" s="444"/>
      <c r="E89" s="444"/>
      <c r="F89" s="444"/>
      <c r="G89" s="444"/>
      <c r="H89" s="444"/>
      <c r="I89" s="444"/>
      <c r="J89" s="444"/>
    </row>
    <row r="90" spans="1:10" x14ac:dyDescent="0.2">
      <c r="A90" s="444"/>
      <c r="B90" s="444"/>
      <c r="C90" s="444"/>
      <c r="D90" s="444"/>
      <c r="E90" s="444"/>
      <c r="F90" s="444"/>
      <c r="G90" s="444"/>
      <c r="H90" s="444"/>
      <c r="I90" s="444"/>
      <c r="J90" s="444"/>
    </row>
    <row r="91" spans="1:10" x14ac:dyDescent="0.2">
      <c r="A91" s="444"/>
      <c r="B91" s="444"/>
      <c r="C91" s="444"/>
      <c r="D91" s="444"/>
      <c r="E91" s="444"/>
      <c r="F91" s="444"/>
      <c r="G91" s="444"/>
      <c r="H91" s="444"/>
      <c r="I91" s="444"/>
      <c r="J91" s="444"/>
    </row>
    <row r="92" spans="1:10" x14ac:dyDescent="0.2">
      <c r="A92" s="444"/>
      <c r="B92" s="444"/>
      <c r="C92" s="444"/>
      <c r="D92" s="444"/>
      <c r="E92" s="444"/>
      <c r="F92" s="444"/>
      <c r="G92" s="444"/>
      <c r="H92" s="444"/>
      <c r="I92" s="444"/>
      <c r="J92" s="444"/>
    </row>
    <row r="93" spans="1:10" x14ac:dyDescent="0.2">
      <c r="A93" s="444"/>
      <c r="B93" s="444"/>
      <c r="C93" s="444"/>
      <c r="D93" s="444"/>
      <c r="E93" s="444"/>
      <c r="F93" s="444"/>
      <c r="G93" s="444"/>
      <c r="H93" s="444"/>
      <c r="I93" s="444"/>
      <c r="J93" s="444"/>
    </row>
    <row r="94" spans="1:10" x14ac:dyDescent="0.2">
      <c r="A94" s="444"/>
      <c r="B94" s="444"/>
      <c r="C94" s="444"/>
      <c r="D94" s="444"/>
      <c r="E94" s="444"/>
      <c r="F94" s="444"/>
      <c r="G94" s="444"/>
      <c r="H94" s="444"/>
      <c r="I94" s="444"/>
      <c r="J94" s="444"/>
    </row>
    <row r="95" spans="1:10" x14ac:dyDescent="0.2">
      <c r="A95" s="444"/>
      <c r="B95" s="444"/>
      <c r="C95" s="444"/>
      <c r="D95" s="444"/>
      <c r="E95" s="444"/>
      <c r="F95" s="444"/>
      <c r="G95" s="444"/>
      <c r="H95" s="444"/>
      <c r="I95" s="444"/>
      <c r="J95" s="444"/>
    </row>
    <row r="96" spans="1:10" x14ac:dyDescent="0.2">
      <c r="A96" s="444"/>
      <c r="B96" s="444"/>
      <c r="C96" s="444"/>
      <c r="D96" s="444"/>
      <c r="E96" s="444"/>
      <c r="F96" s="444"/>
      <c r="G96" s="444"/>
      <c r="H96" s="444"/>
      <c r="I96" s="444"/>
      <c r="J96" s="444"/>
    </row>
    <row r="97" spans="1:10" x14ac:dyDescent="0.2">
      <c r="A97" s="444"/>
      <c r="B97" s="444"/>
      <c r="C97" s="444"/>
      <c r="D97" s="444"/>
      <c r="E97" s="444"/>
      <c r="F97" s="444"/>
      <c r="G97" s="444"/>
      <c r="H97" s="444"/>
      <c r="I97" s="444"/>
      <c r="J97" s="444"/>
    </row>
    <row r="98" spans="1:10" x14ac:dyDescent="0.2">
      <c r="A98" s="444"/>
      <c r="B98" s="444"/>
      <c r="C98" s="444"/>
      <c r="D98" s="444"/>
      <c r="E98" s="444"/>
      <c r="F98" s="444"/>
      <c r="G98" s="444"/>
      <c r="H98" s="444"/>
      <c r="I98" s="444"/>
      <c r="J98" s="444"/>
    </row>
    <row r="99" spans="1:10" x14ac:dyDescent="0.2">
      <c r="A99" s="444"/>
      <c r="B99" s="444"/>
      <c r="C99" s="444"/>
      <c r="D99" s="444"/>
      <c r="E99" s="444"/>
      <c r="F99" s="444"/>
      <c r="G99" s="444"/>
      <c r="H99" s="444"/>
      <c r="I99" s="444"/>
      <c r="J99" s="444"/>
    </row>
    <row r="100" spans="1:10" x14ac:dyDescent="0.2">
      <c r="A100" s="444"/>
      <c r="B100" s="444"/>
      <c r="C100" s="444"/>
      <c r="D100" s="444"/>
      <c r="E100" s="444"/>
      <c r="F100" s="444"/>
      <c r="G100" s="444"/>
      <c r="H100" s="444"/>
      <c r="I100" s="444"/>
      <c r="J100" s="444"/>
    </row>
    <row r="101" spans="1:10" x14ac:dyDescent="0.2">
      <c r="A101" s="444"/>
      <c r="B101" s="444"/>
      <c r="C101" s="444"/>
      <c r="D101" s="444"/>
      <c r="E101" s="444"/>
      <c r="F101" s="444"/>
      <c r="G101" s="444"/>
      <c r="H101" s="444"/>
      <c r="I101" s="444"/>
      <c r="J101" s="444"/>
    </row>
    <row r="102" spans="1:10" x14ac:dyDescent="0.2">
      <c r="A102" s="444"/>
      <c r="B102" s="444"/>
      <c r="C102" s="444"/>
      <c r="D102" s="444"/>
      <c r="E102" s="444"/>
      <c r="F102" s="444"/>
      <c r="G102" s="444"/>
      <c r="H102" s="444"/>
      <c r="I102" s="444"/>
      <c r="J102" s="444"/>
    </row>
    <row r="103" spans="1:10" x14ac:dyDescent="0.2">
      <c r="A103" s="444"/>
      <c r="B103" s="444"/>
      <c r="C103" s="444"/>
      <c r="D103" s="444"/>
      <c r="E103" s="444"/>
      <c r="F103" s="444"/>
      <c r="G103" s="444"/>
      <c r="H103" s="444"/>
      <c r="I103" s="444"/>
      <c r="J103" s="444"/>
    </row>
    <row r="104" spans="1:10" x14ac:dyDescent="0.2">
      <c r="A104" s="444"/>
      <c r="B104" s="444"/>
      <c r="C104" s="444"/>
      <c r="D104" s="444"/>
      <c r="E104" s="444"/>
      <c r="F104" s="444"/>
      <c r="G104" s="444"/>
      <c r="H104" s="444"/>
      <c r="I104" s="444"/>
      <c r="J104" s="444"/>
    </row>
    <row r="105" spans="1:10" x14ac:dyDescent="0.2">
      <c r="A105" s="444"/>
      <c r="B105" s="444"/>
      <c r="C105" s="444"/>
      <c r="D105" s="444"/>
      <c r="E105" s="444"/>
      <c r="F105" s="444"/>
      <c r="G105" s="444"/>
      <c r="H105" s="444"/>
      <c r="I105" s="444"/>
      <c r="J105" s="444"/>
    </row>
    <row r="106" spans="1:10" x14ac:dyDescent="0.2">
      <c r="A106" s="444"/>
      <c r="B106" s="444"/>
      <c r="C106" s="444"/>
      <c r="D106" s="444"/>
      <c r="E106" s="444"/>
      <c r="F106" s="444"/>
      <c r="G106" s="444"/>
      <c r="H106" s="444"/>
      <c r="I106" s="444"/>
      <c r="J106" s="444"/>
    </row>
    <row r="107" spans="1:10" x14ac:dyDescent="0.2">
      <c r="A107" s="444"/>
      <c r="B107" s="444"/>
      <c r="C107" s="444"/>
      <c r="D107" s="444"/>
      <c r="E107" s="444"/>
      <c r="F107" s="444"/>
      <c r="G107" s="444"/>
      <c r="H107" s="444"/>
      <c r="I107" s="444"/>
      <c r="J107" s="444"/>
    </row>
    <row r="108" spans="1:10" x14ac:dyDescent="0.2">
      <c r="A108" s="444"/>
      <c r="B108" s="444"/>
      <c r="C108" s="444"/>
      <c r="D108" s="444"/>
      <c r="E108" s="444"/>
      <c r="F108" s="444"/>
      <c r="G108" s="444"/>
      <c r="H108" s="444"/>
      <c r="I108" s="444"/>
      <c r="J108" s="444"/>
    </row>
    <row r="109" spans="1:10" x14ac:dyDescent="0.2">
      <c r="A109" s="444"/>
      <c r="B109" s="444"/>
      <c r="C109" s="444"/>
      <c r="D109" s="444"/>
      <c r="E109" s="444"/>
      <c r="F109" s="444"/>
      <c r="G109" s="444"/>
      <c r="H109" s="444"/>
      <c r="I109" s="444"/>
      <c r="J109" s="444"/>
    </row>
    <row r="110" spans="1:10" x14ac:dyDescent="0.2">
      <c r="A110" s="444"/>
      <c r="B110" s="444"/>
      <c r="C110" s="444"/>
      <c r="D110" s="444"/>
      <c r="E110" s="444"/>
      <c r="F110" s="444"/>
      <c r="G110" s="444"/>
      <c r="H110" s="444"/>
      <c r="I110" s="444"/>
      <c r="J110" s="444"/>
    </row>
    <row r="111" spans="1:10" x14ac:dyDescent="0.2">
      <c r="A111" s="444"/>
      <c r="B111" s="444"/>
      <c r="C111" s="444"/>
      <c r="D111" s="444"/>
      <c r="E111" s="444"/>
      <c r="F111" s="444"/>
      <c r="G111" s="444"/>
      <c r="H111" s="444"/>
      <c r="I111" s="444"/>
      <c r="J111" s="444"/>
    </row>
    <row r="112" spans="1:10" x14ac:dyDescent="0.2">
      <c r="A112" s="444"/>
      <c r="B112" s="444"/>
      <c r="C112" s="444"/>
      <c r="D112" s="444"/>
      <c r="E112" s="444"/>
      <c r="F112" s="444"/>
      <c r="G112" s="444"/>
      <c r="H112" s="444"/>
      <c r="I112" s="444"/>
      <c r="J112" s="444"/>
    </row>
    <row r="113" spans="1:10" x14ac:dyDescent="0.2">
      <c r="A113" s="444"/>
      <c r="B113" s="444"/>
      <c r="C113" s="444"/>
      <c r="D113" s="444"/>
      <c r="E113" s="444"/>
      <c r="F113" s="444"/>
      <c r="G113" s="444"/>
      <c r="H113" s="444"/>
      <c r="I113" s="444"/>
      <c r="J113" s="444"/>
    </row>
    <row r="114" spans="1:10" x14ac:dyDescent="0.2">
      <c r="A114" s="444"/>
      <c r="B114" s="444"/>
      <c r="C114" s="444"/>
      <c r="D114" s="444"/>
      <c r="E114" s="444"/>
      <c r="F114" s="444"/>
      <c r="G114" s="444"/>
      <c r="H114" s="444"/>
      <c r="I114" s="444"/>
      <c r="J114" s="444"/>
    </row>
    <row r="115" spans="1:10" x14ac:dyDescent="0.2">
      <c r="A115" s="444"/>
      <c r="B115" s="444"/>
      <c r="C115" s="444"/>
      <c r="D115" s="444"/>
      <c r="E115" s="444"/>
      <c r="F115" s="444"/>
      <c r="G115" s="444"/>
      <c r="H115" s="444"/>
      <c r="I115" s="444"/>
      <c r="J115" s="444"/>
    </row>
    <row r="116" spans="1:10" x14ac:dyDescent="0.2">
      <c r="A116" s="444"/>
      <c r="B116" s="444"/>
      <c r="C116" s="444"/>
      <c r="D116" s="444"/>
      <c r="E116" s="444"/>
      <c r="F116" s="444"/>
      <c r="G116" s="444"/>
      <c r="H116" s="444"/>
      <c r="I116" s="444"/>
      <c r="J116" s="444"/>
    </row>
    <row r="117" spans="1:10" x14ac:dyDescent="0.2">
      <c r="A117" s="444"/>
      <c r="B117" s="444"/>
      <c r="C117" s="444"/>
      <c r="D117" s="444"/>
      <c r="E117" s="444"/>
      <c r="F117" s="444"/>
      <c r="G117" s="444"/>
      <c r="H117" s="444"/>
      <c r="I117" s="444"/>
      <c r="J117" s="444"/>
    </row>
    <row r="118" spans="1:10" x14ac:dyDescent="0.2">
      <c r="A118" s="444"/>
      <c r="B118" s="444"/>
      <c r="C118" s="444"/>
      <c r="D118" s="444"/>
      <c r="E118" s="444"/>
      <c r="F118" s="444"/>
      <c r="G118" s="444"/>
      <c r="H118" s="444"/>
      <c r="I118" s="444"/>
      <c r="J118" s="444"/>
    </row>
    <row r="119" spans="1:10" x14ac:dyDescent="0.2">
      <c r="A119" s="444"/>
      <c r="B119" s="444"/>
      <c r="C119" s="444"/>
      <c r="D119" s="444"/>
      <c r="E119" s="444"/>
      <c r="F119" s="444"/>
      <c r="G119" s="444"/>
      <c r="H119" s="444"/>
      <c r="I119" s="444"/>
      <c r="J119" s="444"/>
    </row>
    <row r="120" spans="1:10" x14ac:dyDescent="0.2">
      <c r="A120" s="444"/>
      <c r="B120" s="444"/>
      <c r="C120" s="444"/>
      <c r="D120" s="444"/>
      <c r="E120" s="444"/>
      <c r="F120" s="444"/>
      <c r="G120" s="444"/>
      <c r="H120" s="444"/>
      <c r="I120" s="444"/>
      <c r="J120" s="444"/>
    </row>
    <row r="121" spans="1:10" x14ac:dyDescent="0.2">
      <c r="A121" s="444"/>
      <c r="B121" s="444"/>
      <c r="C121" s="444"/>
      <c r="D121" s="444"/>
      <c r="E121" s="444"/>
      <c r="F121" s="444"/>
      <c r="G121" s="444"/>
      <c r="H121" s="444"/>
      <c r="I121" s="444"/>
      <c r="J121" s="444"/>
    </row>
    <row r="122" spans="1:10" x14ac:dyDescent="0.2">
      <c r="A122" s="444"/>
      <c r="B122" s="444"/>
      <c r="C122" s="444"/>
      <c r="D122" s="444"/>
      <c r="E122" s="444"/>
      <c r="F122" s="444"/>
      <c r="G122" s="444"/>
      <c r="H122" s="444"/>
      <c r="I122" s="444"/>
      <c r="J122" s="444"/>
    </row>
    <row r="123" spans="1:10" x14ac:dyDescent="0.2">
      <c r="A123" s="444"/>
      <c r="B123" s="444"/>
      <c r="C123" s="444"/>
      <c r="D123" s="444"/>
      <c r="E123" s="444"/>
      <c r="F123" s="444"/>
      <c r="G123" s="444"/>
      <c r="H123" s="444"/>
      <c r="I123" s="444"/>
      <c r="J123" s="444"/>
    </row>
    <row r="124" spans="1:10" x14ac:dyDescent="0.2">
      <c r="A124" s="444"/>
      <c r="B124" s="444"/>
      <c r="C124" s="444"/>
      <c r="D124" s="444"/>
      <c r="E124" s="444"/>
      <c r="F124" s="444"/>
      <c r="G124" s="444"/>
      <c r="H124" s="444"/>
      <c r="I124" s="444"/>
      <c r="J124" s="444"/>
    </row>
    <row r="125" spans="1:10" x14ac:dyDescent="0.2">
      <c r="A125" s="444"/>
      <c r="B125" s="444"/>
      <c r="C125" s="444"/>
      <c r="D125" s="444"/>
      <c r="E125" s="444"/>
      <c r="F125" s="444"/>
      <c r="G125" s="444"/>
      <c r="H125" s="444"/>
      <c r="I125" s="444"/>
      <c r="J125" s="444"/>
    </row>
    <row r="126" spans="1:10" x14ac:dyDescent="0.2">
      <c r="A126" s="444"/>
      <c r="B126" s="444"/>
      <c r="C126" s="444"/>
      <c r="D126" s="444"/>
      <c r="E126" s="444"/>
      <c r="F126" s="444"/>
      <c r="G126" s="444"/>
      <c r="H126" s="444"/>
      <c r="I126" s="444"/>
      <c r="J126" s="444"/>
    </row>
    <row r="127" spans="1:10" x14ac:dyDescent="0.2">
      <c r="A127" s="444"/>
      <c r="B127" s="444"/>
      <c r="C127" s="444"/>
      <c r="D127" s="444"/>
      <c r="E127" s="444"/>
      <c r="F127" s="444"/>
      <c r="G127" s="444"/>
      <c r="H127" s="444"/>
      <c r="I127" s="444"/>
      <c r="J127" s="444"/>
    </row>
    <row r="128" spans="1:10" x14ac:dyDescent="0.2">
      <c r="A128" s="444"/>
      <c r="B128" s="444"/>
      <c r="C128" s="444"/>
      <c r="D128" s="444"/>
      <c r="E128" s="444"/>
      <c r="F128" s="444"/>
      <c r="G128" s="444"/>
      <c r="H128" s="444"/>
      <c r="I128" s="444"/>
      <c r="J128" s="444"/>
    </row>
    <row r="129" spans="1:10" x14ac:dyDescent="0.2">
      <c r="A129" s="444"/>
      <c r="B129" s="444"/>
      <c r="C129" s="444"/>
      <c r="D129" s="444"/>
      <c r="E129" s="444"/>
      <c r="F129" s="444"/>
      <c r="G129" s="444"/>
      <c r="H129" s="444"/>
      <c r="I129" s="444"/>
      <c r="J129" s="444"/>
    </row>
    <row r="130" spans="1:10" x14ac:dyDescent="0.2">
      <c r="A130" s="444"/>
      <c r="B130" s="444"/>
      <c r="C130" s="444"/>
      <c r="D130" s="444"/>
      <c r="E130" s="444"/>
      <c r="F130" s="444"/>
      <c r="G130" s="444"/>
      <c r="H130" s="444"/>
      <c r="I130" s="444"/>
      <c r="J130" s="444"/>
    </row>
    <row r="131" spans="1:10" x14ac:dyDescent="0.2">
      <c r="A131" s="444"/>
      <c r="B131" s="444"/>
      <c r="C131" s="444"/>
      <c r="D131" s="444"/>
      <c r="E131" s="444"/>
      <c r="F131" s="444"/>
      <c r="G131" s="444"/>
      <c r="H131" s="444"/>
      <c r="I131" s="444"/>
      <c r="J131" s="444"/>
    </row>
    <row r="132" spans="1:10" x14ac:dyDescent="0.2">
      <c r="A132" s="444"/>
      <c r="B132" s="444"/>
      <c r="C132" s="444"/>
      <c r="D132" s="444"/>
      <c r="E132" s="444"/>
      <c r="F132" s="444"/>
      <c r="G132" s="444"/>
      <c r="H132" s="444"/>
      <c r="I132" s="444"/>
      <c r="J132" s="444"/>
    </row>
    <row r="133" spans="1:10" x14ac:dyDescent="0.2">
      <c r="A133" s="444"/>
      <c r="B133" s="444"/>
      <c r="C133" s="444"/>
      <c r="D133" s="444"/>
      <c r="E133" s="444"/>
      <c r="F133" s="444"/>
      <c r="G133" s="444"/>
      <c r="H133" s="444"/>
      <c r="I133" s="444"/>
      <c r="J133" s="444"/>
    </row>
    <row r="134" spans="1:10" x14ac:dyDescent="0.2">
      <c r="A134" s="444"/>
      <c r="B134" s="444"/>
      <c r="C134" s="444"/>
      <c r="D134" s="444"/>
      <c r="E134" s="444"/>
      <c r="F134" s="444"/>
      <c r="G134" s="444"/>
      <c r="H134" s="444"/>
      <c r="I134" s="444"/>
      <c r="J134" s="444"/>
    </row>
    <row r="135" spans="1:10" x14ac:dyDescent="0.2">
      <c r="A135" s="444"/>
      <c r="B135" s="444"/>
      <c r="C135" s="444"/>
      <c r="D135" s="444"/>
      <c r="E135" s="444"/>
      <c r="F135" s="444"/>
      <c r="G135" s="444"/>
      <c r="H135" s="444"/>
      <c r="I135" s="444"/>
      <c r="J135" s="444"/>
    </row>
    <row r="136" spans="1:10" x14ac:dyDescent="0.2">
      <c r="A136" s="444"/>
      <c r="B136" s="444"/>
      <c r="C136" s="444"/>
      <c r="D136" s="444"/>
      <c r="E136" s="444"/>
      <c r="F136" s="444"/>
      <c r="G136" s="444"/>
      <c r="H136" s="444"/>
      <c r="I136" s="444"/>
      <c r="J136" s="444"/>
    </row>
    <row r="137" spans="1:10" x14ac:dyDescent="0.2">
      <c r="A137" s="444"/>
      <c r="B137" s="444"/>
      <c r="C137" s="444"/>
      <c r="D137" s="444"/>
      <c r="E137" s="444"/>
      <c r="F137" s="444"/>
      <c r="G137" s="444"/>
      <c r="H137" s="444"/>
      <c r="I137" s="444"/>
      <c r="J137" s="444"/>
    </row>
    <row r="138" spans="1:10" x14ac:dyDescent="0.2">
      <c r="A138" s="444"/>
      <c r="B138" s="444"/>
      <c r="C138" s="444"/>
      <c r="D138" s="444"/>
      <c r="E138" s="444"/>
      <c r="F138" s="444"/>
      <c r="G138" s="444"/>
      <c r="H138" s="444"/>
      <c r="I138" s="444"/>
      <c r="J138" s="444"/>
    </row>
    <row r="139" spans="1:10" x14ac:dyDescent="0.2">
      <c r="A139" s="444"/>
      <c r="B139" s="444"/>
      <c r="C139" s="444"/>
      <c r="D139" s="444"/>
      <c r="E139" s="444"/>
      <c r="F139" s="444"/>
      <c r="G139" s="444"/>
      <c r="H139" s="444"/>
      <c r="I139" s="444"/>
      <c r="J139" s="444"/>
    </row>
    <row r="140" spans="1:10" x14ac:dyDescent="0.2">
      <c r="A140" s="444"/>
      <c r="B140" s="444"/>
      <c r="C140" s="444"/>
      <c r="D140" s="444"/>
      <c r="E140" s="444"/>
      <c r="F140" s="444"/>
      <c r="G140" s="444"/>
      <c r="H140" s="444"/>
      <c r="I140" s="444"/>
      <c r="J140" s="444"/>
    </row>
    <row r="141" spans="1:10" x14ac:dyDescent="0.2">
      <c r="A141" s="444"/>
      <c r="B141" s="444"/>
      <c r="C141" s="444"/>
      <c r="D141" s="444"/>
      <c r="E141" s="444"/>
      <c r="F141" s="444"/>
      <c r="G141" s="444"/>
      <c r="H141" s="444"/>
      <c r="I141" s="444"/>
      <c r="J141" s="444"/>
    </row>
    <row r="142" spans="1:10" x14ac:dyDescent="0.2">
      <c r="A142" s="444"/>
      <c r="B142" s="444"/>
      <c r="C142" s="444"/>
      <c r="D142" s="444"/>
      <c r="E142" s="444"/>
      <c r="F142" s="444"/>
      <c r="G142" s="444"/>
      <c r="H142" s="444"/>
      <c r="I142" s="444"/>
      <c r="J142" s="444"/>
    </row>
    <row r="143" spans="1:10" x14ac:dyDescent="0.2">
      <c r="A143" s="444"/>
      <c r="B143" s="444"/>
      <c r="C143" s="444"/>
      <c r="D143" s="444"/>
      <c r="E143" s="444"/>
      <c r="F143" s="444"/>
      <c r="G143" s="444"/>
      <c r="H143" s="444"/>
      <c r="I143" s="444"/>
      <c r="J143" s="444"/>
    </row>
    <row r="144" spans="1:10" x14ac:dyDescent="0.2">
      <c r="A144" s="444"/>
      <c r="B144" s="444"/>
      <c r="C144" s="444"/>
      <c r="D144" s="444"/>
      <c r="E144" s="444"/>
      <c r="F144" s="444"/>
      <c r="G144" s="444"/>
      <c r="H144" s="444"/>
      <c r="I144" s="444"/>
      <c r="J144" s="444"/>
    </row>
    <row r="145" spans="1:10" x14ac:dyDescent="0.2">
      <c r="A145" s="444"/>
      <c r="B145" s="444"/>
      <c r="C145" s="444"/>
      <c r="D145" s="444"/>
      <c r="E145" s="444"/>
      <c r="F145" s="444"/>
      <c r="G145" s="444"/>
      <c r="H145" s="444"/>
      <c r="I145" s="444"/>
      <c r="J145" s="444"/>
    </row>
    <row r="146" spans="1:10" x14ac:dyDescent="0.2">
      <c r="A146" s="444"/>
      <c r="B146" s="444"/>
      <c r="C146" s="444"/>
      <c r="D146" s="444"/>
      <c r="E146" s="444"/>
      <c r="F146" s="444"/>
      <c r="G146" s="444"/>
      <c r="H146" s="444"/>
      <c r="I146" s="444"/>
      <c r="J146" s="444"/>
    </row>
    <row r="147" spans="1:10" x14ac:dyDescent="0.2">
      <c r="A147" s="444"/>
      <c r="B147" s="444"/>
      <c r="C147" s="444"/>
      <c r="D147" s="444"/>
      <c r="E147" s="444"/>
      <c r="F147" s="444"/>
      <c r="G147" s="444"/>
      <c r="H147" s="444"/>
      <c r="I147" s="444"/>
      <c r="J147" s="444"/>
    </row>
    <row r="148" spans="1:10" x14ac:dyDescent="0.2">
      <c r="A148" s="444"/>
      <c r="B148" s="444"/>
      <c r="C148" s="444"/>
      <c r="D148" s="444"/>
      <c r="E148" s="444"/>
      <c r="F148" s="444"/>
      <c r="G148" s="444"/>
      <c r="H148" s="444"/>
      <c r="I148" s="444"/>
      <c r="J148" s="444"/>
    </row>
    <row r="149" spans="1:10" x14ac:dyDescent="0.2">
      <c r="A149" s="444"/>
      <c r="B149" s="444"/>
      <c r="C149" s="444"/>
      <c r="D149" s="444"/>
      <c r="E149" s="444"/>
      <c r="F149" s="444"/>
      <c r="G149" s="444"/>
      <c r="H149" s="444"/>
      <c r="I149" s="444"/>
      <c r="J149" s="444"/>
    </row>
    <row r="150" spans="1:10" x14ac:dyDescent="0.2">
      <c r="A150" s="444"/>
      <c r="B150" s="444"/>
      <c r="C150" s="444"/>
      <c r="D150" s="444"/>
      <c r="E150" s="444"/>
      <c r="F150" s="444"/>
      <c r="G150" s="444"/>
      <c r="H150" s="444"/>
      <c r="I150" s="444"/>
      <c r="J150" s="444"/>
    </row>
    <row r="151" spans="1:10" x14ac:dyDescent="0.2">
      <c r="A151" s="444"/>
      <c r="B151" s="444"/>
      <c r="C151" s="444"/>
      <c r="D151" s="444"/>
      <c r="E151" s="444"/>
      <c r="F151" s="444"/>
      <c r="G151" s="444"/>
      <c r="H151" s="444"/>
      <c r="I151" s="444"/>
      <c r="J151" s="444"/>
    </row>
    <row r="152" spans="1:10" x14ac:dyDescent="0.2">
      <c r="A152" s="444"/>
      <c r="B152" s="444"/>
      <c r="C152" s="444"/>
      <c r="D152" s="444"/>
      <c r="E152" s="444"/>
      <c r="F152" s="444"/>
      <c r="G152" s="444"/>
      <c r="H152" s="444"/>
      <c r="I152" s="444"/>
      <c r="J152" s="444"/>
    </row>
    <row r="153" spans="1:10" x14ac:dyDescent="0.2">
      <c r="A153" s="444"/>
      <c r="B153" s="444"/>
      <c r="C153" s="444"/>
      <c r="D153" s="444"/>
      <c r="E153" s="444"/>
      <c r="F153" s="444"/>
      <c r="G153" s="444"/>
      <c r="H153" s="444"/>
      <c r="I153" s="444"/>
      <c r="J153" s="444"/>
    </row>
    <row r="154" spans="1:10" x14ac:dyDescent="0.2">
      <c r="A154" s="444"/>
      <c r="B154" s="444"/>
      <c r="C154" s="444"/>
      <c r="D154" s="444"/>
      <c r="E154" s="444"/>
      <c r="F154" s="444"/>
      <c r="G154" s="444"/>
      <c r="H154" s="444"/>
      <c r="I154" s="444"/>
      <c r="J154" s="444"/>
    </row>
    <row r="155" spans="1:10" x14ac:dyDescent="0.2">
      <c r="A155" s="444"/>
      <c r="B155" s="444"/>
      <c r="C155" s="444"/>
      <c r="D155" s="444"/>
      <c r="E155" s="444"/>
      <c r="F155" s="444"/>
      <c r="G155" s="444"/>
      <c r="H155" s="444"/>
      <c r="I155" s="444"/>
      <c r="J155" s="444"/>
    </row>
    <row r="156" spans="1:10" x14ac:dyDescent="0.2">
      <c r="A156" s="444"/>
      <c r="B156" s="444"/>
      <c r="C156" s="444"/>
      <c r="D156" s="444"/>
      <c r="E156" s="444"/>
      <c r="F156" s="444"/>
      <c r="G156" s="444"/>
      <c r="H156" s="444"/>
      <c r="I156" s="444"/>
      <c r="J156" s="444"/>
    </row>
    <row r="157" spans="1:10" x14ac:dyDescent="0.2">
      <c r="A157" s="444"/>
      <c r="B157" s="444"/>
      <c r="C157" s="444"/>
      <c r="D157" s="444"/>
      <c r="E157" s="444"/>
      <c r="F157" s="444"/>
      <c r="G157" s="444"/>
      <c r="H157" s="444"/>
      <c r="I157" s="444"/>
      <c r="J157" s="444"/>
    </row>
    <row r="158" spans="1:10" x14ac:dyDescent="0.2">
      <c r="A158" s="444"/>
      <c r="B158" s="444"/>
      <c r="C158" s="444"/>
      <c r="D158" s="444"/>
      <c r="E158" s="444"/>
      <c r="F158" s="444"/>
      <c r="G158" s="444"/>
      <c r="H158" s="444"/>
      <c r="I158" s="444"/>
      <c r="J158" s="444"/>
    </row>
    <row r="159" spans="1:10" x14ac:dyDescent="0.2">
      <c r="A159" s="444"/>
      <c r="B159" s="444"/>
      <c r="C159" s="444"/>
      <c r="D159" s="444"/>
      <c r="E159" s="444"/>
      <c r="F159" s="444"/>
      <c r="G159" s="444"/>
      <c r="H159" s="444"/>
      <c r="I159" s="444"/>
      <c r="J159" s="444"/>
    </row>
    <row r="160" spans="1:10" x14ac:dyDescent="0.2">
      <c r="A160" s="444"/>
      <c r="B160" s="444"/>
      <c r="C160" s="444"/>
      <c r="D160" s="444"/>
      <c r="E160" s="444"/>
      <c r="F160" s="444"/>
      <c r="G160" s="444"/>
      <c r="H160" s="444"/>
      <c r="I160" s="444"/>
      <c r="J160" s="444"/>
    </row>
    <row r="161" spans="1:10" x14ac:dyDescent="0.2">
      <c r="A161" s="444"/>
      <c r="B161" s="444"/>
      <c r="C161" s="444"/>
      <c r="D161" s="444"/>
      <c r="E161" s="444"/>
      <c r="F161" s="444"/>
      <c r="G161" s="444"/>
      <c r="H161" s="444"/>
      <c r="I161" s="444"/>
      <c r="J161" s="444"/>
    </row>
    <row r="162" spans="1:10" x14ac:dyDescent="0.2">
      <c r="A162" s="444"/>
      <c r="B162" s="444"/>
      <c r="C162" s="444"/>
      <c r="D162" s="444"/>
      <c r="E162" s="444"/>
      <c r="F162" s="444"/>
      <c r="G162" s="444"/>
      <c r="H162" s="444"/>
      <c r="I162" s="444"/>
      <c r="J162" s="444"/>
    </row>
    <row r="163" spans="1:10" x14ac:dyDescent="0.2">
      <c r="A163" s="444"/>
      <c r="B163" s="444"/>
      <c r="C163" s="444"/>
      <c r="D163" s="444"/>
      <c r="E163" s="444"/>
      <c r="F163" s="444"/>
      <c r="G163" s="444"/>
      <c r="H163" s="444"/>
      <c r="I163" s="444"/>
      <c r="J163" s="444"/>
    </row>
    <row r="164" spans="1:10" x14ac:dyDescent="0.2">
      <c r="A164" s="444"/>
      <c r="B164" s="444"/>
      <c r="C164" s="444"/>
      <c r="D164" s="444"/>
      <c r="E164" s="444"/>
      <c r="F164" s="444"/>
      <c r="G164" s="444"/>
      <c r="H164" s="444"/>
      <c r="I164" s="444"/>
      <c r="J164" s="444"/>
    </row>
    <row r="165" spans="1:10" x14ac:dyDescent="0.2">
      <c r="A165" s="444"/>
      <c r="B165" s="444"/>
      <c r="C165" s="444"/>
      <c r="D165" s="444"/>
      <c r="E165" s="444"/>
      <c r="F165" s="444"/>
      <c r="G165" s="444"/>
      <c r="H165" s="444"/>
      <c r="I165" s="444"/>
      <c r="J165" s="444"/>
    </row>
    <row r="166" spans="1:10" x14ac:dyDescent="0.2">
      <c r="A166" s="444"/>
      <c r="B166" s="444"/>
      <c r="C166" s="444"/>
      <c r="D166" s="444"/>
      <c r="E166" s="444"/>
      <c r="F166" s="444"/>
      <c r="G166" s="444"/>
      <c r="H166" s="444"/>
      <c r="I166" s="444"/>
      <c r="J166" s="444"/>
    </row>
    <row r="167" spans="1:10" x14ac:dyDescent="0.2">
      <c r="A167" s="444"/>
      <c r="B167" s="444"/>
      <c r="C167" s="444"/>
      <c r="D167" s="444"/>
      <c r="E167" s="444"/>
      <c r="F167" s="444"/>
      <c r="G167" s="444"/>
      <c r="H167" s="444"/>
      <c r="I167" s="444"/>
      <c r="J167" s="444"/>
    </row>
    <row r="168" spans="1:10" x14ac:dyDescent="0.2">
      <c r="A168" s="444"/>
      <c r="B168" s="444"/>
      <c r="C168" s="444"/>
      <c r="D168" s="444"/>
      <c r="E168" s="444"/>
      <c r="F168" s="444"/>
      <c r="G168" s="444"/>
      <c r="H168" s="444"/>
      <c r="I168" s="444"/>
      <c r="J168" s="444"/>
    </row>
    <row r="169" spans="1:10" x14ac:dyDescent="0.2">
      <c r="A169" s="444"/>
      <c r="B169" s="444"/>
      <c r="C169" s="444"/>
      <c r="D169" s="444"/>
      <c r="E169" s="444"/>
      <c r="F169" s="444"/>
      <c r="G169" s="444"/>
      <c r="H169" s="444"/>
      <c r="I169" s="444"/>
      <c r="J169" s="444"/>
    </row>
    <row r="170" spans="1:10" x14ac:dyDescent="0.2">
      <c r="A170" s="444"/>
      <c r="B170" s="444"/>
      <c r="C170" s="444"/>
      <c r="D170" s="444"/>
      <c r="E170" s="444"/>
      <c r="F170" s="444"/>
      <c r="G170" s="444"/>
      <c r="H170" s="444"/>
      <c r="I170" s="444"/>
      <c r="J170" s="444"/>
    </row>
    <row r="171" spans="1:10" x14ac:dyDescent="0.2">
      <c r="A171" s="444"/>
      <c r="B171" s="444"/>
      <c r="C171" s="444"/>
      <c r="D171" s="444"/>
      <c r="E171" s="444"/>
      <c r="F171" s="444"/>
      <c r="G171" s="444"/>
      <c r="H171" s="444"/>
      <c r="I171" s="444"/>
      <c r="J171" s="444"/>
    </row>
    <row r="172" spans="1:10" x14ac:dyDescent="0.2">
      <c r="A172" s="444"/>
      <c r="B172" s="444"/>
      <c r="C172" s="444"/>
      <c r="D172" s="444"/>
      <c r="E172" s="444"/>
      <c r="F172" s="444"/>
      <c r="G172" s="444"/>
      <c r="H172" s="444"/>
      <c r="I172" s="444"/>
      <c r="J172" s="444"/>
    </row>
    <row r="173" spans="1:10" x14ac:dyDescent="0.2">
      <c r="A173" s="444"/>
      <c r="B173" s="444"/>
      <c r="C173" s="444"/>
      <c r="D173" s="444"/>
      <c r="E173" s="444"/>
      <c r="F173" s="444"/>
      <c r="G173" s="444"/>
      <c r="H173" s="444"/>
      <c r="I173" s="444"/>
      <c r="J173" s="444"/>
    </row>
    <row r="174" spans="1:10" x14ac:dyDescent="0.2">
      <c r="A174" s="444"/>
      <c r="B174" s="444"/>
      <c r="C174" s="444"/>
      <c r="D174" s="444"/>
      <c r="E174" s="444"/>
      <c r="F174" s="444"/>
      <c r="G174" s="444"/>
      <c r="H174" s="444"/>
      <c r="I174" s="444"/>
      <c r="J174" s="444"/>
    </row>
    <row r="175" spans="1:10" x14ac:dyDescent="0.2">
      <c r="A175" s="444"/>
      <c r="B175" s="444"/>
      <c r="C175" s="444"/>
      <c r="D175" s="444"/>
      <c r="E175" s="444"/>
      <c r="F175" s="444"/>
      <c r="G175" s="444"/>
      <c r="H175" s="444"/>
      <c r="I175" s="444"/>
      <c r="J175" s="444"/>
    </row>
    <row r="176" spans="1:10" x14ac:dyDescent="0.2">
      <c r="A176" s="444"/>
      <c r="B176" s="444"/>
      <c r="C176" s="444"/>
      <c r="D176" s="444"/>
      <c r="E176" s="444"/>
      <c r="F176" s="444"/>
      <c r="G176" s="444"/>
      <c r="H176" s="444"/>
      <c r="I176" s="444"/>
      <c r="J176" s="444"/>
    </row>
    <row r="177" spans="1:10" x14ac:dyDescent="0.2">
      <c r="A177" s="444"/>
      <c r="B177" s="444"/>
      <c r="C177" s="444"/>
      <c r="D177" s="444"/>
      <c r="E177" s="444"/>
      <c r="F177" s="444"/>
      <c r="G177" s="444"/>
      <c r="H177" s="444"/>
      <c r="I177" s="444"/>
      <c r="J177" s="444"/>
    </row>
    <row r="178" spans="1:10" x14ac:dyDescent="0.2">
      <c r="A178" s="444"/>
      <c r="B178" s="444"/>
      <c r="C178" s="444"/>
      <c r="D178" s="444"/>
      <c r="E178" s="444"/>
      <c r="F178" s="444"/>
      <c r="G178" s="444"/>
      <c r="H178" s="444"/>
      <c r="I178" s="444"/>
      <c r="J178" s="444"/>
    </row>
    <row r="179" spans="1:10" x14ac:dyDescent="0.2">
      <c r="A179" s="444"/>
      <c r="B179" s="444"/>
      <c r="C179" s="444"/>
      <c r="D179" s="444"/>
      <c r="E179" s="444"/>
      <c r="F179" s="444"/>
      <c r="G179" s="444"/>
      <c r="H179" s="444"/>
      <c r="I179" s="444"/>
      <c r="J179" s="444"/>
    </row>
    <row r="180" spans="1:10" x14ac:dyDescent="0.2">
      <c r="A180" s="444"/>
      <c r="B180" s="444"/>
      <c r="C180" s="444"/>
      <c r="D180" s="444"/>
      <c r="E180" s="444"/>
      <c r="F180" s="444"/>
      <c r="G180" s="444"/>
      <c r="H180" s="444"/>
      <c r="I180" s="444"/>
      <c r="J180" s="444"/>
    </row>
    <row r="181" spans="1:10" x14ac:dyDescent="0.2">
      <c r="A181" s="444"/>
      <c r="B181" s="444"/>
      <c r="C181" s="444"/>
      <c r="D181" s="444"/>
      <c r="E181" s="444"/>
      <c r="F181" s="444"/>
      <c r="G181" s="444"/>
      <c r="H181" s="444"/>
      <c r="I181" s="444"/>
      <c r="J181" s="444"/>
    </row>
    <row r="182" spans="1:10" x14ac:dyDescent="0.2">
      <c r="A182" s="444"/>
      <c r="B182" s="444"/>
      <c r="C182" s="444"/>
      <c r="D182" s="444"/>
      <c r="E182" s="444"/>
      <c r="F182" s="444"/>
      <c r="G182" s="444"/>
      <c r="H182" s="444"/>
      <c r="I182" s="444"/>
      <c r="J182" s="444"/>
    </row>
    <row r="183" spans="1:10" x14ac:dyDescent="0.2">
      <c r="A183" s="444"/>
      <c r="B183" s="444"/>
      <c r="C183" s="444"/>
      <c r="D183" s="444"/>
      <c r="E183" s="444"/>
      <c r="F183" s="444"/>
      <c r="G183" s="444"/>
      <c r="H183" s="444"/>
      <c r="I183" s="444"/>
      <c r="J183" s="444"/>
    </row>
    <row r="184" spans="1:10" x14ac:dyDescent="0.2">
      <c r="A184" s="444"/>
      <c r="B184" s="444"/>
      <c r="C184" s="444"/>
      <c r="D184" s="444"/>
      <c r="E184" s="444"/>
      <c r="F184" s="444"/>
      <c r="G184" s="444"/>
      <c r="H184" s="444"/>
      <c r="I184" s="444"/>
      <c r="J184" s="444"/>
    </row>
    <row r="185" spans="1:10" x14ac:dyDescent="0.2">
      <c r="A185" s="444"/>
      <c r="B185" s="444"/>
      <c r="C185" s="444"/>
      <c r="D185" s="444"/>
      <c r="E185" s="444"/>
      <c r="F185" s="444"/>
      <c r="G185" s="444"/>
      <c r="H185" s="444"/>
      <c r="I185" s="444"/>
      <c r="J185" s="444"/>
    </row>
    <row r="186" spans="1:10" x14ac:dyDescent="0.2">
      <c r="A186" s="444"/>
      <c r="B186" s="444"/>
      <c r="C186" s="444"/>
      <c r="D186" s="444"/>
      <c r="E186" s="444"/>
      <c r="F186" s="444"/>
      <c r="G186" s="444"/>
      <c r="H186" s="444"/>
      <c r="I186" s="444"/>
      <c r="J186" s="444"/>
    </row>
    <row r="187" spans="1:10" x14ac:dyDescent="0.2">
      <c r="A187" s="444"/>
      <c r="B187" s="444"/>
      <c r="C187" s="444"/>
      <c r="D187" s="444"/>
      <c r="E187" s="444"/>
      <c r="F187" s="444"/>
      <c r="G187" s="444"/>
      <c r="H187" s="444"/>
      <c r="I187" s="444"/>
      <c r="J187" s="444"/>
    </row>
    <row r="188" spans="1:10" x14ac:dyDescent="0.2">
      <c r="A188" s="444"/>
      <c r="B188" s="444"/>
      <c r="C188" s="444"/>
      <c r="D188" s="444"/>
      <c r="E188" s="444"/>
      <c r="F188" s="444"/>
      <c r="G188" s="444"/>
      <c r="H188" s="444"/>
      <c r="I188" s="444"/>
      <c r="J188" s="444"/>
    </row>
    <row r="189" spans="1:10" x14ac:dyDescent="0.2">
      <c r="A189" s="444"/>
      <c r="B189" s="444"/>
      <c r="C189" s="444"/>
      <c r="D189" s="444"/>
      <c r="E189" s="444"/>
      <c r="F189" s="444"/>
      <c r="G189" s="444"/>
      <c r="H189" s="444"/>
      <c r="I189" s="444"/>
      <c r="J189" s="444"/>
    </row>
    <row r="190" spans="1:10" x14ac:dyDescent="0.2">
      <c r="A190" s="444"/>
      <c r="B190" s="444"/>
      <c r="C190" s="444"/>
      <c r="D190" s="444"/>
      <c r="E190" s="444"/>
      <c r="F190" s="444"/>
      <c r="G190" s="444"/>
      <c r="H190" s="444"/>
      <c r="I190" s="444"/>
      <c r="J190" s="444"/>
    </row>
    <row r="191" spans="1:10" x14ac:dyDescent="0.2">
      <c r="A191" s="444"/>
      <c r="B191" s="444"/>
      <c r="C191" s="444"/>
      <c r="D191" s="444"/>
      <c r="E191" s="444"/>
      <c r="F191" s="444"/>
      <c r="G191" s="444"/>
      <c r="H191" s="444"/>
      <c r="I191" s="444"/>
      <c r="J191" s="444"/>
    </row>
    <row r="192" spans="1:10" x14ac:dyDescent="0.2">
      <c r="A192" s="444"/>
      <c r="B192" s="444"/>
      <c r="C192" s="444"/>
      <c r="D192" s="444"/>
      <c r="E192" s="444"/>
      <c r="F192" s="444"/>
      <c r="G192" s="444"/>
      <c r="H192" s="444"/>
      <c r="I192" s="444"/>
      <c r="J192" s="444"/>
    </row>
    <row r="193" spans="1:10" x14ac:dyDescent="0.2">
      <c r="A193" s="444"/>
      <c r="B193" s="444"/>
      <c r="C193" s="444"/>
      <c r="D193" s="444"/>
      <c r="E193" s="444"/>
      <c r="F193" s="444"/>
      <c r="G193" s="444"/>
      <c r="H193" s="444"/>
      <c r="I193" s="444"/>
      <c r="J193" s="444"/>
    </row>
    <row r="194" spans="1:10" x14ac:dyDescent="0.2">
      <c r="A194" s="444"/>
      <c r="B194" s="444"/>
      <c r="C194" s="444"/>
      <c r="D194" s="444"/>
      <c r="E194" s="444"/>
      <c r="F194" s="444"/>
      <c r="G194" s="444"/>
      <c r="H194" s="444"/>
      <c r="I194" s="444"/>
      <c r="J194" s="444"/>
    </row>
    <row r="195" spans="1:10" x14ac:dyDescent="0.2">
      <c r="A195" s="444"/>
      <c r="B195" s="444"/>
      <c r="C195" s="444"/>
      <c r="D195" s="444"/>
      <c r="E195" s="444"/>
      <c r="F195" s="444"/>
      <c r="G195" s="444"/>
      <c r="H195" s="444"/>
      <c r="I195" s="444"/>
      <c r="J195" s="444"/>
    </row>
    <row r="196" spans="1:10" x14ac:dyDescent="0.2">
      <c r="A196" s="444"/>
      <c r="B196" s="444"/>
      <c r="C196" s="444"/>
      <c r="D196" s="444"/>
      <c r="E196" s="444"/>
      <c r="F196" s="444"/>
      <c r="G196" s="444"/>
      <c r="H196" s="444"/>
      <c r="I196" s="444"/>
      <c r="J196" s="444"/>
    </row>
    <row r="197" spans="1:10" x14ac:dyDescent="0.2">
      <c r="A197" s="444"/>
      <c r="B197" s="444"/>
      <c r="C197" s="444"/>
      <c r="D197" s="444"/>
      <c r="E197" s="444"/>
      <c r="F197" s="444"/>
      <c r="G197" s="444"/>
      <c r="H197" s="444"/>
      <c r="I197" s="444"/>
      <c r="J197" s="444"/>
    </row>
    <row r="198" spans="1:10" x14ac:dyDescent="0.2">
      <c r="A198" s="444"/>
      <c r="B198" s="444"/>
      <c r="C198" s="444"/>
      <c r="D198" s="444"/>
      <c r="E198" s="444"/>
      <c r="F198" s="444"/>
      <c r="G198" s="444"/>
      <c r="H198" s="444"/>
      <c r="I198" s="444"/>
      <c r="J198" s="444"/>
    </row>
    <row r="199" spans="1:10" x14ac:dyDescent="0.2">
      <c r="A199" s="444"/>
      <c r="B199" s="444"/>
      <c r="C199" s="444"/>
      <c r="D199" s="444"/>
      <c r="E199" s="444"/>
      <c r="F199" s="444"/>
      <c r="G199" s="444"/>
      <c r="H199" s="444"/>
      <c r="I199" s="444"/>
      <c r="J199" s="444"/>
    </row>
    <row r="200" spans="1:10" x14ac:dyDescent="0.2">
      <c r="A200" s="444"/>
      <c r="B200" s="444"/>
      <c r="C200" s="444"/>
      <c r="D200" s="444"/>
      <c r="E200" s="444"/>
      <c r="F200" s="444"/>
      <c r="G200" s="444"/>
      <c r="H200" s="444"/>
      <c r="I200" s="444"/>
      <c r="J200" s="444"/>
    </row>
    <row r="201" spans="1:10" x14ac:dyDescent="0.2">
      <c r="A201" s="444"/>
      <c r="B201" s="444"/>
      <c r="C201" s="444"/>
      <c r="D201" s="444"/>
      <c r="E201" s="444"/>
      <c r="F201" s="444"/>
      <c r="G201" s="444"/>
      <c r="H201" s="444"/>
      <c r="I201" s="444"/>
      <c r="J201" s="444"/>
    </row>
    <row r="202" spans="1:10" x14ac:dyDescent="0.2">
      <c r="A202" s="444"/>
      <c r="B202" s="444"/>
      <c r="C202" s="444"/>
      <c r="D202" s="444"/>
      <c r="E202" s="444"/>
      <c r="F202" s="444"/>
      <c r="G202" s="444"/>
      <c r="H202" s="444"/>
      <c r="I202" s="444"/>
      <c r="J202" s="444"/>
    </row>
    <row r="203" spans="1:10" x14ac:dyDescent="0.2">
      <c r="A203" s="444"/>
      <c r="B203" s="444"/>
      <c r="C203" s="444"/>
      <c r="D203" s="444"/>
      <c r="E203" s="444"/>
      <c r="F203" s="444"/>
      <c r="G203" s="444"/>
      <c r="H203" s="444"/>
      <c r="I203" s="444"/>
      <c r="J203" s="444"/>
    </row>
    <row r="204" spans="1:10" x14ac:dyDescent="0.2">
      <c r="A204" s="444"/>
      <c r="B204" s="444"/>
      <c r="C204" s="444"/>
      <c r="D204" s="444"/>
      <c r="E204" s="444"/>
      <c r="F204" s="444"/>
      <c r="G204" s="444"/>
      <c r="H204" s="444"/>
      <c r="I204" s="444"/>
      <c r="J204" s="444"/>
    </row>
    <row r="205" spans="1:10" x14ac:dyDescent="0.2">
      <c r="A205" s="444"/>
      <c r="B205" s="444"/>
      <c r="C205" s="444"/>
      <c r="D205" s="444"/>
      <c r="E205" s="444"/>
      <c r="F205" s="444"/>
      <c r="G205" s="444"/>
      <c r="H205" s="444"/>
      <c r="I205" s="444"/>
      <c r="J205" s="444"/>
    </row>
    <row r="206" spans="1:10" x14ac:dyDescent="0.2">
      <c r="A206" s="444"/>
      <c r="B206" s="444"/>
      <c r="C206" s="444"/>
      <c r="D206" s="444"/>
      <c r="E206" s="444"/>
      <c r="F206" s="444"/>
      <c r="G206" s="444"/>
      <c r="H206" s="444"/>
      <c r="I206" s="444"/>
      <c r="J206" s="444"/>
    </row>
    <row r="207" spans="1:10" x14ac:dyDescent="0.2">
      <c r="A207" s="444"/>
      <c r="B207" s="444"/>
      <c r="C207" s="444"/>
      <c r="D207" s="444"/>
      <c r="E207" s="444"/>
      <c r="F207" s="444"/>
      <c r="G207" s="444"/>
      <c r="H207" s="444"/>
      <c r="I207" s="444"/>
      <c r="J207" s="444"/>
    </row>
    <row r="208" spans="1:10" x14ac:dyDescent="0.2">
      <c r="A208" s="444"/>
      <c r="B208" s="444"/>
      <c r="C208" s="444"/>
      <c r="D208" s="444"/>
      <c r="E208" s="444"/>
      <c r="F208" s="444"/>
      <c r="G208" s="444"/>
      <c r="H208" s="444"/>
      <c r="I208" s="444"/>
      <c r="J208" s="444"/>
    </row>
    <row r="209" spans="1:10" x14ac:dyDescent="0.2">
      <c r="A209" s="444"/>
      <c r="B209" s="444"/>
      <c r="C209" s="444"/>
      <c r="D209" s="444"/>
      <c r="E209" s="444"/>
      <c r="F209" s="444"/>
      <c r="G209" s="444"/>
      <c r="H209" s="444"/>
      <c r="I209" s="444"/>
      <c r="J209" s="444"/>
    </row>
    <row r="210" spans="1:10" x14ac:dyDescent="0.2">
      <c r="A210" s="444"/>
      <c r="B210" s="444"/>
      <c r="C210" s="444"/>
      <c r="D210" s="444"/>
      <c r="E210" s="444"/>
      <c r="F210" s="444"/>
      <c r="G210" s="444"/>
      <c r="H210" s="444"/>
      <c r="I210" s="444"/>
      <c r="J210" s="444"/>
    </row>
    <row r="211" spans="1:10" x14ac:dyDescent="0.2">
      <c r="A211" s="444"/>
      <c r="B211" s="444"/>
      <c r="C211" s="444"/>
      <c r="D211" s="444"/>
      <c r="E211" s="444"/>
      <c r="F211" s="444"/>
      <c r="G211" s="444"/>
      <c r="H211" s="444"/>
      <c r="I211" s="444"/>
      <c r="J211" s="444"/>
    </row>
    <row r="212" spans="1:10" x14ac:dyDescent="0.2">
      <c r="A212" s="444"/>
      <c r="B212" s="444"/>
      <c r="C212" s="444"/>
      <c r="D212" s="444"/>
      <c r="E212" s="444"/>
      <c r="F212" s="444"/>
      <c r="G212" s="444"/>
      <c r="H212" s="444"/>
      <c r="I212" s="444"/>
      <c r="J212" s="444"/>
    </row>
    <row r="213" spans="1:10" x14ac:dyDescent="0.2">
      <c r="A213" s="444"/>
      <c r="B213" s="444"/>
      <c r="C213" s="444"/>
      <c r="D213" s="444"/>
      <c r="E213" s="444"/>
      <c r="F213" s="444"/>
      <c r="G213" s="444"/>
      <c r="H213" s="444"/>
      <c r="I213" s="444"/>
      <c r="J213" s="444"/>
    </row>
    <row r="214" spans="1:10" x14ac:dyDescent="0.2">
      <c r="A214" s="444"/>
      <c r="B214" s="444"/>
      <c r="C214" s="444"/>
      <c r="D214" s="444"/>
      <c r="E214" s="444"/>
      <c r="F214" s="444"/>
      <c r="G214" s="444"/>
      <c r="H214" s="444"/>
      <c r="I214" s="444"/>
      <c r="J214" s="444"/>
    </row>
    <row r="215" spans="1:10" x14ac:dyDescent="0.2">
      <c r="A215" s="444"/>
      <c r="B215" s="444"/>
      <c r="C215" s="444"/>
      <c r="D215" s="444"/>
      <c r="E215" s="444"/>
      <c r="F215" s="444"/>
      <c r="G215" s="444"/>
      <c r="H215" s="444"/>
      <c r="I215" s="444"/>
      <c r="J215" s="444"/>
    </row>
    <row r="216" spans="1:10" x14ac:dyDescent="0.2">
      <c r="A216" s="444"/>
      <c r="B216" s="444"/>
      <c r="C216" s="444"/>
      <c r="D216" s="444"/>
      <c r="E216" s="444"/>
      <c r="F216" s="444"/>
      <c r="G216" s="444"/>
      <c r="H216" s="444"/>
      <c r="I216" s="444"/>
      <c r="J216" s="444"/>
    </row>
    <row r="217" spans="1:10" x14ac:dyDescent="0.2">
      <c r="A217" s="444"/>
      <c r="B217" s="444"/>
      <c r="C217" s="444"/>
      <c r="D217" s="444"/>
      <c r="E217" s="444"/>
      <c r="F217" s="444"/>
      <c r="G217" s="444"/>
      <c r="H217" s="444"/>
      <c r="I217" s="444"/>
      <c r="J217" s="444"/>
    </row>
    <row r="218" spans="1:10" x14ac:dyDescent="0.2">
      <c r="A218" s="444"/>
      <c r="B218" s="444"/>
      <c r="C218" s="444"/>
      <c r="D218" s="444"/>
      <c r="E218" s="444"/>
      <c r="F218" s="444"/>
      <c r="G218" s="444"/>
      <c r="H218" s="444"/>
      <c r="I218" s="444"/>
      <c r="J218" s="444"/>
    </row>
    <row r="219" spans="1:10" x14ac:dyDescent="0.2">
      <c r="A219" s="444"/>
      <c r="B219" s="444"/>
      <c r="C219" s="444"/>
      <c r="D219" s="444"/>
      <c r="E219" s="444"/>
      <c r="F219" s="444"/>
      <c r="G219" s="444"/>
      <c r="H219" s="444"/>
      <c r="I219" s="444"/>
      <c r="J219" s="444"/>
    </row>
    <row r="220" spans="1:10" x14ac:dyDescent="0.2">
      <c r="A220" s="444"/>
      <c r="B220" s="444"/>
      <c r="C220" s="444"/>
      <c r="D220" s="444"/>
      <c r="E220" s="444"/>
      <c r="F220" s="444"/>
      <c r="G220" s="444"/>
      <c r="H220" s="444"/>
      <c r="I220" s="444"/>
      <c r="J220" s="444"/>
    </row>
    <row r="221" spans="1:10" x14ac:dyDescent="0.2">
      <c r="A221" s="444"/>
      <c r="B221" s="444"/>
      <c r="C221" s="444"/>
      <c r="D221" s="444"/>
      <c r="E221" s="444"/>
      <c r="F221" s="444"/>
      <c r="G221" s="444"/>
      <c r="H221" s="444"/>
      <c r="I221" s="444"/>
      <c r="J221" s="444"/>
    </row>
    <row r="222" spans="1:10" x14ac:dyDescent="0.2">
      <c r="A222" s="444"/>
      <c r="B222" s="444"/>
      <c r="C222" s="444"/>
      <c r="D222" s="444"/>
      <c r="E222" s="444"/>
      <c r="F222" s="444"/>
      <c r="G222" s="444"/>
      <c r="H222" s="444"/>
      <c r="I222" s="444"/>
      <c r="J222" s="444"/>
    </row>
    <row r="223" spans="1:10" x14ac:dyDescent="0.2">
      <c r="A223" s="444"/>
      <c r="B223" s="444"/>
      <c r="C223" s="444"/>
      <c r="D223" s="444"/>
      <c r="E223" s="444"/>
      <c r="F223" s="444"/>
      <c r="G223" s="444"/>
      <c r="H223" s="444"/>
      <c r="I223" s="444"/>
      <c r="J223" s="444"/>
    </row>
    <row r="224" spans="1:10" x14ac:dyDescent="0.2">
      <c r="A224" s="444"/>
      <c r="B224" s="444"/>
      <c r="C224" s="444"/>
      <c r="D224" s="444"/>
      <c r="E224" s="444"/>
      <c r="F224" s="444"/>
      <c r="G224" s="444"/>
      <c r="H224" s="444"/>
      <c r="I224" s="444"/>
      <c r="J224" s="444"/>
    </row>
    <row r="225" spans="1:10" x14ac:dyDescent="0.2">
      <c r="A225" s="444"/>
      <c r="B225" s="444"/>
      <c r="C225" s="444"/>
      <c r="D225" s="444"/>
      <c r="E225" s="444"/>
      <c r="F225" s="444"/>
      <c r="G225" s="444"/>
      <c r="H225" s="444"/>
      <c r="I225" s="444"/>
      <c r="J225" s="444"/>
    </row>
    <row r="226" spans="1:10" x14ac:dyDescent="0.2">
      <c r="A226" s="444"/>
      <c r="B226" s="444"/>
      <c r="C226" s="444"/>
      <c r="D226" s="444"/>
      <c r="E226" s="444"/>
      <c r="F226" s="444"/>
      <c r="G226" s="444"/>
      <c r="H226" s="444"/>
      <c r="I226" s="444"/>
      <c r="J226" s="444"/>
    </row>
    <row r="227" spans="1:10" x14ac:dyDescent="0.2">
      <c r="A227" s="444"/>
      <c r="B227" s="444"/>
      <c r="C227" s="444"/>
      <c r="D227" s="444"/>
      <c r="E227" s="444"/>
      <c r="F227" s="444"/>
      <c r="G227" s="444"/>
      <c r="H227" s="444"/>
      <c r="I227" s="444"/>
      <c r="J227" s="444"/>
    </row>
    <row r="228" spans="1:10" x14ac:dyDescent="0.2">
      <c r="A228" s="444"/>
      <c r="B228" s="444"/>
      <c r="C228" s="444"/>
      <c r="D228" s="444"/>
      <c r="E228" s="444"/>
      <c r="F228" s="444"/>
      <c r="G228" s="444"/>
      <c r="H228" s="444"/>
      <c r="I228" s="444"/>
      <c r="J228" s="444"/>
    </row>
    <row r="229" spans="1:10" x14ac:dyDescent="0.2">
      <c r="A229" s="444"/>
      <c r="B229" s="444"/>
      <c r="C229" s="444"/>
      <c r="D229" s="444"/>
      <c r="E229" s="444"/>
      <c r="F229" s="444"/>
      <c r="G229" s="444"/>
      <c r="H229" s="444"/>
      <c r="I229" s="444"/>
      <c r="J229" s="444"/>
    </row>
    <row r="230" spans="1:10" x14ac:dyDescent="0.2">
      <c r="A230" s="444"/>
      <c r="B230" s="444"/>
      <c r="C230" s="444"/>
      <c r="D230" s="444"/>
      <c r="E230" s="444"/>
      <c r="F230" s="444"/>
      <c r="G230" s="444"/>
      <c r="H230" s="444"/>
      <c r="I230" s="444"/>
      <c r="J230" s="444"/>
    </row>
    <row r="231" spans="1:10" x14ac:dyDescent="0.2">
      <c r="A231" s="444"/>
      <c r="B231" s="444"/>
      <c r="C231" s="444"/>
      <c r="D231" s="444"/>
      <c r="E231" s="444"/>
      <c r="F231" s="444"/>
      <c r="G231" s="444"/>
      <c r="H231" s="444"/>
      <c r="I231" s="444"/>
      <c r="J231" s="444"/>
    </row>
    <row r="232" spans="1:10" x14ac:dyDescent="0.2">
      <c r="A232" s="444"/>
      <c r="B232" s="444"/>
      <c r="C232" s="444"/>
      <c r="D232" s="444"/>
      <c r="E232" s="444"/>
      <c r="F232" s="444"/>
      <c r="G232" s="444"/>
      <c r="H232" s="444"/>
      <c r="I232" s="444"/>
      <c r="J232" s="444"/>
    </row>
    <row r="233" spans="1:10" x14ac:dyDescent="0.2">
      <c r="A233" s="444"/>
      <c r="B233" s="444"/>
      <c r="C233" s="444"/>
      <c r="D233" s="444"/>
      <c r="E233" s="444"/>
      <c r="F233" s="444"/>
      <c r="G233" s="444"/>
      <c r="H233" s="444"/>
      <c r="I233" s="444"/>
      <c r="J233" s="444"/>
    </row>
    <row r="234" spans="1:10" x14ac:dyDescent="0.2">
      <c r="A234" s="444"/>
      <c r="B234" s="444"/>
      <c r="C234" s="444"/>
      <c r="D234" s="444"/>
      <c r="E234" s="444"/>
      <c r="F234" s="444"/>
      <c r="G234" s="444"/>
      <c r="H234" s="444"/>
      <c r="I234" s="444"/>
      <c r="J234" s="444"/>
    </row>
    <row r="235" spans="1:10" x14ac:dyDescent="0.2">
      <c r="A235" s="444"/>
      <c r="B235" s="444"/>
      <c r="C235" s="444"/>
      <c r="D235" s="444"/>
      <c r="E235" s="444"/>
      <c r="F235" s="444"/>
      <c r="G235" s="444"/>
      <c r="H235" s="444"/>
      <c r="I235" s="444"/>
      <c r="J235" s="444"/>
    </row>
    <row r="236" spans="1:10" x14ac:dyDescent="0.2">
      <c r="A236" s="444"/>
      <c r="B236" s="444"/>
      <c r="C236" s="444"/>
      <c r="D236" s="444"/>
      <c r="E236" s="444"/>
      <c r="F236" s="444"/>
      <c r="G236" s="444"/>
      <c r="H236" s="444"/>
      <c r="I236" s="444"/>
      <c r="J236" s="444"/>
    </row>
    <row r="237" spans="1:10" x14ac:dyDescent="0.2">
      <c r="A237" s="444"/>
      <c r="B237" s="444"/>
      <c r="C237" s="444"/>
      <c r="D237" s="444"/>
      <c r="E237" s="444"/>
      <c r="F237" s="444"/>
      <c r="G237" s="444"/>
      <c r="H237" s="444"/>
      <c r="I237" s="444"/>
      <c r="J237" s="444"/>
    </row>
    <row r="238" spans="1:10" x14ac:dyDescent="0.2">
      <c r="A238" s="444"/>
      <c r="B238" s="444"/>
      <c r="C238" s="444"/>
      <c r="D238" s="444"/>
      <c r="E238" s="444"/>
      <c r="F238" s="444"/>
      <c r="G238" s="444"/>
      <c r="H238" s="444"/>
      <c r="I238" s="444"/>
      <c r="J238" s="444"/>
    </row>
    <row r="239" spans="1:10" x14ac:dyDescent="0.2">
      <c r="A239" s="444"/>
      <c r="B239" s="444"/>
      <c r="C239" s="444"/>
      <c r="D239" s="444"/>
      <c r="E239" s="444"/>
      <c r="F239" s="444"/>
      <c r="G239" s="444"/>
      <c r="H239" s="444"/>
      <c r="I239" s="444"/>
      <c r="J239" s="444"/>
    </row>
    <row r="240" spans="1:10" x14ac:dyDescent="0.2">
      <c r="A240" s="444"/>
      <c r="B240" s="444"/>
      <c r="C240" s="444"/>
      <c r="D240" s="444"/>
      <c r="E240" s="444"/>
      <c r="F240" s="444"/>
      <c r="G240" s="444"/>
      <c r="H240" s="444"/>
      <c r="I240" s="444"/>
      <c r="J240" s="444"/>
    </row>
    <row r="241" spans="1:10" x14ac:dyDescent="0.2">
      <c r="A241" s="444"/>
      <c r="B241" s="444"/>
      <c r="C241" s="444"/>
      <c r="D241" s="444"/>
      <c r="E241" s="444"/>
      <c r="F241" s="444"/>
      <c r="G241" s="444"/>
      <c r="H241" s="444"/>
      <c r="I241" s="444"/>
      <c r="J241" s="444"/>
    </row>
    <row r="242" spans="1:10" x14ac:dyDescent="0.2">
      <c r="A242" s="444"/>
      <c r="B242" s="444"/>
      <c r="C242" s="444"/>
      <c r="D242" s="444"/>
      <c r="E242" s="444"/>
      <c r="F242" s="444"/>
      <c r="G242" s="444"/>
      <c r="H242" s="444"/>
      <c r="I242" s="444"/>
      <c r="J242" s="444"/>
    </row>
    <row r="243" spans="1:10" x14ac:dyDescent="0.2">
      <c r="A243" s="444"/>
      <c r="B243" s="444"/>
      <c r="C243" s="444"/>
      <c r="D243" s="444"/>
      <c r="E243" s="444"/>
      <c r="F243" s="444"/>
      <c r="G243" s="444"/>
      <c r="H243" s="444"/>
      <c r="I243" s="444"/>
      <c r="J243" s="444"/>
    </row>
    <row r="244" spans="1:10" x14ac:dyDescent="0.2">
      <c r="A244" s="444"/>
      <c r="B244" s="444"/>
      <c r="C244" s="444"/>
      <c r="D244" s="444"/>
      <c r="E244" s="444"/>
      <c r="F244" s="444"/>
      <c r="G244" s="444"/>
      <c r="H244" s="444"/>
      <c r="I244" s="444"/>
      <c r="J244" s="444"/>
    </row>
    <row r="245" spans="1:10" x14ac:dyDescent="0.2">
      <c r="A245" s="444"/>
      <c r="B245" s="444"/>
      <c r="C245" s="444"/>
      <c r="D245" s="444"/>
      <c r="E245" s="444"/>
      <c r="F245" s="444"/>
      <c r="G245" s="444"/>
      <c r="H245" s="444"/>
      <c r="I245" s="444"/>
      <c r="J245" s="444"/>
    </row>
    <row r="246" spans="1:10" x14ac:dyDescent="0.2">
      <c r="A246" s="444"/>
      <c r="B246" s="444"/>
      <c r="C246" s="444"/>
      <c r="D246" s="444"/>
      <c r="E246" s="444"/>
      <c r="F246" s="444"/>
      <c r="G246" s="444"/>
      <c r="H246" s="444"/>
      <c r="I246" s="444"/>
      <c r="J246" s="444"/>
    </row>
    <row r="247" spans="1:10" x14ac:dyDescent="0.2">
      <c r="A247" s="444"/>
      <c r="B247" s="444"/>
      <c r="C247" s="444"/>
      <c r="D247" s="444"/>
      <c r="E247" s="444"/>
      <c r="F247" s="444"/>
      <c r="G247" s="444"/>
      <c r="H247" s="444"/>
      <c r="I247" s="444"/>
      <c r="J247" s="444"/>
    </row>
    <row r="248" spans="1:10" x14ac:dyDescent="0.2">
      <c r="A248" s="444"/>
      <c r="B248" s="444"/>
      <c r="C248" s="444"/>
      <c r="D248" s="444"/>
      <c r="E248" s="444"/>
      <c r="F248" s="444"/>
      <c r="G248" s="444"/>
      <c r="H248" s="444"/>
      <c r="I248" s="444"/>
      <c r="J248" s="444"/>
    </row>
    <row r="249" spans="1:10" x14ac:dyDescent="0.2">
      <c r="A249" s="444"/>
      <c r="B249" s="444"/>
      <c r="C249" s="444"/>
      <c r="D249" s="444"/>
      <c r="E249" s="444"/>
      <c r="F249" s="444"/>
      <c r="G249" s="444"/>
      <c r="H249" s="444"/>
      <c r="I249" s="444"/>
      <c r="J249" s="444"/>
    </row>
    <row r="250" spans="1:10" x14ac:dyDescent="0.2">
      <c r="A250" s="444"/>
      <c r="B250" s="444"/>
      <c r="C250" s="444"/>
      <c r="D250" s="444"/>
      <c r="E250" s="444"/>
      <c r="F250" s="444"/>
      <c r="G250" s="444"/>
      <c r="H250" s="444"/>
      <c r="I250" s="444"/>
      <c r="J250" s="444"/>
    </row>
    <row r="251" spans="1:10" x14ac:dyDescent="0.2">
      <c r="A251" s="444"/>
      <c r="B251" s="444"/>
      <c r="C251" s="444"/>
      <c r="D251" s="444"/>
      <c r="E251" s="444"/>
      <c r="F251" s="444"/>
      <c r="G251" s="444"/>
      <c r="H251" s="444"/>
      <c r="I251" s="444"/>
      <c r="J251" s="444"/>
    </row>
    <row r="252" spans="1:10" x14ac:dyDescent="0.2">
      <c r="A252" s="444"/>
      <c r="B252" s="444"/>
      <c r="C252" s="444"/>
      <c r="D252" s="444"/>
      <c r="E252" s="444"/>
      <c r="F252" s="444"/>
      <c r="G252" s="444"/>
      <c r="H252" s="444"/>
      <c r="I252" s="444"/>
      <c r="J252" s="444"/>
    </row>
    <row r="253" spans="1:10" x14ac:dyDescent="0.2">
      <c r="A253" s="444"/>
      <c r="B253" s="444"/>
      <c r="C253" s="444"/>
      <c r="D253" s="444"/>
      <c r="E253" s="444"/>
      <c r="F253" s="444"/>
      <c r="G253" s="444"/>
      <c r="H253" s="444"/>
      <c r="I253" s="444"/>
      <c r="J253" s="444"/>
    </row>
    <row r="254" spans="1:10" x14ac:dyDescent="0.2">
      <c r="A254" s="444"/>
      <c r="B254" s="444"/>
      <c r="C254" s="444"/>
      <c r="D254" s="444"/>
      <c r="E254" s="444"/>
      <c r="F254" s="444"/>
      <c r="G254" s="444"/>
      <c r="H254" s="444"/>
      <c r="I254" s="444"/>
      <c r="J254" s="444"/>
    </row>
    <row r="255" spans="1:10" x14ac:dyDescent="0.2">
      <c r="A255" s="444"/>
      <c r="B255" s="444"/>
      <c r="C255" s="444"/>
      <c r="D255" s="444"/>
      <c r="E255" s="444"/>
      <c r="F255" s="444"/>
      <c r="G255" s="444"/>
      <c r="H255" s="444"/>
      <c r="I255" s="444"/>
      <c r="J255" s="444"/>
    </row>
    <row r="256" spans="1:10" x14ac:dyDescent="0.2">
      <c r="A256" s="444"/>
      <c r="B256" s="444"/>
      <c r="C256" s="444"/>
      <c r="D256" s="444"/>
      <c r="E256" s="444"/>
      <c r="F256" s="444"/>
      <c r="G256" s="444"/>
      <c r="H256" s="444"/>
      <c r="I256" s="444"/>
      <c r="J256" s="444"/>
    </row>
    <row r="257" spans="1:10" x14ac:dyDescent="0.2">
      <c r="A257" s="444"/>
      <c r="B257" s="444"/>
      <c r="C257" s="444"/>
      <c r="D257" s="444"/>
      <c r="E257" s="444"/>
      <c r="F257" s="444"/>
      <c r="G257" s="444"/>
      <c r="H257" s="444"/>
      <c r="I257" s="444"/>
      <c r="J257" s="444"/>
    </row>
    <row r="258" spans="1:10" x14ac:dyDescent="0.2">
      <c r="A258" s="444"/>
      <c r="B258" s="444"/>
      <c r="C258" s="444"/>
      <c r="D258" s="444"/>
      <c r="E258" s="444"/>
      <c r="F258" s="444"/>
      <c r="G258" s="444"/>
      <c r="H258" s="444"/>
      <c r="I258" s="444"/>
      <c r="J258" s="444"/>
    </row>
    <row r="259" spans="1:10" x14ac:dyDescent="0.2">
      <c r="A259" s="444"/>
      <c r="B259" s="444"/>
      <c r="C259" s="444"/>
      <c r="D259" s="444"/>
      <c r="E259" s="444"/>
      <c r="F259" s="444"/>
      <c r="G259" s="444"/>
      <c r="H259" s="444"/>
      <c r="I259" s="444"/>
      <c r="J259" s="444"/>
    </row>
    <row r="260" spans="1:10" x14ac:dyDescent="0.2">
      <c r="A260" s="444"/>
      <c r="B260" s="444"/>
      <c r="C260" s="444"/>
      <c r="D260" s="444"/>
      <c r="E260" s="444"/>
      <c r="F260" s="444"/>
      <c r="G260" s="444"/>
      <c r="H260" s="444"/>
      <c r="I260" s="444"/>
      <c r="J260" s="444"/>
    </row>
    <row r="261" spans="1:10" x14ac:dyDescent="0.2">
      <c r="A261" s="444"/>
      <c r="B261" s="444"/>
      <c r="C261" s="444"/>
      <c r="D261" s="444"/>
      <c r="E261" s="444"/>
      <c r="F261" s="444"/>
      <c r="G261" s="444"/>
      <c r="H261" s="444"/>
      <c r="I261" s="444"/>
      <c r="J261" s="444"/>
    </row>
    <row r="262" spans="1:10" x14ac:dyDescent="0.2">
      <c r="A262" s="444"/>
      <c r="B262" s="444"/>
      <c r="C262" s="444"/>
      <c r="D262" s="444"/>
      <c r="E262" s="444"/>
      <c r="F262" s="444"/>
      <c r="G262" s="444"/>
      <c r="H262" s="444"/>
      <c r="I262" s="444"/>
      <c r="J262" s="444"/>
    </row>
    <row r="263" spans="1:10" x14ac:dyDescent="0.2">
      <c r="A263" s="444"/>
      <c r="B263" s="444"/>
      <c r="C263" s="444"/>
      <c r="D263" s="444"/>
      <c r="E263" s="444"/>
      <c r="F263" s="444"/>
      <c r="G263" s="444"/>
      <c r="H263" s="444"/>
      <c r="I263" s="444"/>
      <c r="J263" s="444"/>
    </row>
    <row r="264" spans="1:10" x14ac:dyDescent="0.2">
      <c r="A264" s="444"/>
      <c r="B264" s="444"/>
      <c r="C264" s="444"/>
      <c r="D264" s="444"/>
      <c r="E264" s="444"/>
      <c r="F264" s="444"/>
      <c r="G264" s="444"/>
      <c r="H264" s="444"/>
      <c r="I264" s="444"/>
      <c r="J264" s="444"/>
    </row>
    <row r="265" spans="1:10" x14ac:dyDescent="0.2">
      <c r="A265" s="444"/>
      <c r="B265" s="444"/>
      <c r="C265" s="444"/>
      <c r="D265" s="444"/>
      <c r="E265" s="444"/>
      <c r="F265" s="444"/>
      <c r="G265" s="444"/>
      <c r="H265" s="444"/>
      <c r="I265" s="444"/>
      <c r="J265" s="444"/>
    </row>
    <row r="266" spans="1:10" x14ac:dyDescent="0.2">
      <c r="A266" s="444"/>
      <c r="B266" s="444"/>
      <c r="C266" s="444"/>
      <c r="D266" s="444"/>
      <c r="E266" s="444"/>
      <c r="F266" s="444"/>
      <c r="G266" s="444"/>
      <c r="H266" s="444"/>
      <c r="I266" s="444"/>
      <c r="J266" s="444"/>
    </row>
    <row r="267" spans="1:10" x14ac:dyDescent="0.2">
      <c r="A267" s="444"/>
      <c r="B267" s="444"/>
      <c r="C267" s="444"/>
      <c r="D267" s="444"/>
      <c r="E267" s="444"/>
      <c r="F267" s="444"/>
      <c r="G267" s="444"/>
      <c r="H267" s="444"/>
      <c r="I267" s="444"/>
      <c r="J267" s="444"/>
    </row>
    <row r="268" spans="1:10" x14ac:dyDescent="0.2">
      <c r="A268" s="444"/>
      <c r="B268" s="444"/>
      <c r="C268" s="444"/>
      <c r="D268" s="444"/>
      <c r="E268" s="444"/>
      <c r="F268" s="444"/>
      <c r="G268" s="444"/>
      <c r="H268" s="444"/>
      <c r="I268" s="444"/>
      <c r="J268" s="444"/>
    </row>
    <row r="269" spans="1:10" x14ac:dyDescent="0.2">
      <c r="A269" s="444"/>
      <c r="B269" s="444"/>
      <c r="C269" s="444"/>
      <c r="D269" s="444"/>
      <c r="E269" s="444"/>
      <c r="F269" s="444"/>
      <c r="G269" s="444"/>
      <c r="H269" s="444"/>
      <c r="I269" s="444"/>
      <c r="J269" s="444"/>
    </row>
    <row r="270" spans="1:10" x14ac:dyDescent="0.2">
      <c r="A270" s="444"/>
      <c r="B270" s="444"/>
      <c r="C270" s="444"/>
      <c r="D270" s="444"/>
      <c r="E270" s="444"/>
      <c r="F270" s="444"/>
      <c r="G270" s="444"/>
      <c r="H270" s="444"/>
      <c r="I270" s="444"/>
      <c r="J270" s="444"/>
    </row>
    <row r="271" spans="1:10" x14ac:dyDescent="0.2">
      <c r="A271" s="444"/>
      <c r="B271" s="444"/>
      <c r="C271" s="444"/>
      <c r="D271" s="444"/>
      <c r="E271" s="444"/>
      <c r="F271" s="444"/>
      <c r="G271" s="444"/>
      <c r="H271" s="444"/>
      <c r="I271" s="444"/>
      <c r="J271" s="444"/>
    </row>
    <row r="272" spans="1:10" x14ac:dyDescent="0.2">
      <c r="A272" s="444"/>
      <c r="B272" s="444"/>
      <c r="C272" s="444"/>
      <c r="D272" s="444"/>
      <c r="E272" s="444"/>
      <c r="F272" s="444"/>
      <c r="G272" s="444"/>
      <c r="H272" s="444"/>
      <c r="I272" s="444"/>
      <c r="J272" s="444"/>
    </row>
    <row r="273" spans="1:10" x14ac:dyDescent="0.2">
      <c r="A273" s="444"/>
      <c r="B273" s="444"/>
      <c r="C273" s="444"/>
      <c r="D273" s="444"/>
      <c r="E273" s="444"/>
      <c r="F273" s="444"/>
      <c r="G273" s="444"/>
      <c r="H273" s="444"/>
      <c r="I273" s="444"/>
      <c r="J273" s="444"/>
    </row>
    <row r="274" spans="1:10" x14ac:dyDescent="0.2">
      <c r="A274" s="444"/>
      <c r="B274" s="444"/>
      <c r="C274" s="444"/>
      <c r="D274" s="444"/>
      <c r="E274" s="444"/>
      <c r="F274" s="444"/>
      <c r="G274" s="444"/>
      <c r="H274" s="444"/>
      <c r="I274" s="444"/>
      <c r="J274" s="444"/>
    </row>
    <row r="275" spans="1:10" x14ac:dyDescent="0.2">
      <c r="A275" s="444"/>
      <c r="B275" s="444"/>
      <c r="C275" s="444"/>
      <c r="D275" s="444"/>
      <c r="E275" s="444"/>
      <c r="F275" s="444"/>
      <c r="G275" s="444"/>
      <c r="H275" s="444"/>
      <c r="I275" s="444"/>
      <c r="J275" s="444"/>
    </row>
    <row r="276" spans="1:10" x14ac:dyDescent="0.2">
      <c r="A276" s="444"/>
      <c r="B276" s="444"/>
      <c r="C276" s="444"/>
      <c r="D276" s="444"/>
      <c r="E276" s="444"/>
      <c r="F276" s="444"/>
      <c r="G276" s="444"/>
      <c r="H276" s="444"/>
      <c r="I276" s="444"/>
      <c r="J276" s="444"/>
    </row>
    <row r="277" spans="1:10" x14ac:dyDescent="0.2">
      <c r="A277" s="444"/>
      <c r="B277" s="444"/>
      <c r="C277" s="444"/>
      <c r="D277" s="444"/>
      <c r="E277" s="444"/>
      <c r="F277" s="444"/>
      <c r="G277" s="444"/>
      <c r="H277" s="444"/>
      <c r="I277" s="444"/>
      <c r="J277" s="444"/>
    </row>
    <row r="278" spans="1:10" x14ac:dyDescent="0.2">
      <c r="A278" s="444"/>
      <c r="B278" s="444"/>
      <c r="C278" s="444"/>
      <c r="D278" s="444"/>
      <c r="E278" s="444"/>
      <c r="F278" s="444"/>
      <c r="G278" s="444"/>
      <c r="H278" s="444"/>
      <c r="I278" s="444"/>
      <c r="J278" s="444"/>
    </row>
    <row r="279" spans="1:10" x14ac:dyDescent="0.2">
      <c r="A279" s="444"/>
      <c r="B279" s="444"/>
      <c r="C279" s="444"/>
      <c r="D279" s="444"/>
      <c r="E279" s="444"/>
      <c r="F279" s="444"/>
      <c r="G279" s="444"/>
      <c r="H279" s="444"/>
      <c r="I279" s="444"/>
      <c r="J279" s="444"/>
    </row>
    <row r="280" spans="1:10" x14ac:dyDescent="0.2">
      <c r="A280" s="444"/>
      <c r="B280" s="444"/>
      <c r="C280" s="444"/>
      <c r="D280" s="444"/>
      <c r="E280" s="444"/>
      <c r="F280" s="444"/>
      <c r="G280" s="444"/>
      <c r="H280" s="444"/>
      <c r="I280" s="444"/>
      <c r="J280" s="444"/>
    </row>
    <row r="281" spans="1:10" x14ac:dyDescent="0.2">
      <c r="A281" s="444"/>
      <c r="B281" s="444"/>
      <c r="C281" s="444"/>
      <c r="D281" s="444"/>
      <c r="E281" s="444"/>
      <c r="F281" s="444"/>
      <c r="G281" s="444"/>
      <c r="H281" s="444"/>
      <c r="I281" s="444"/>
      <c r="J281" s="444"/>
    </row>
    <row r="282" spans="1:10" x14ac:dyDescent="0.2">
      <c r="A282" s="444"/>
      <c r="B282" s="444"/>
      <c r="C282" s="444"/>
      <c r="D282" s="444"/>
      <c r="E282" s="444"/>
      <c r="F282" s="444"/>
      <c r="G282" s="444"/>
      <c r="H282" s="444"/>
      <c r="I282" s="444"/>
      <c r="J282" s="444"/>
    </row>
    <row r="283" spans="1:10" x14ac:dyDescent="0.2">
      <c r="A283" s="444"/>
      <c r="B283" s="444"/>
      <c r="C283" s="444"/>
      <c r="D283" s="444"/>
      <c r="E283" s="444"/>
      <c r="F283" s="444"/>
      <c r="G283" s="444"/>
      <c r="H283" s="444"/>
      <c r="I283" s="444"/>
      <c r="J283" s="444"/>
    </row>
    <row r="284" spans="1:10" x14ac:dyDescent="0.2">
      <c r="A284" s="444"/>
      <c r="B284" s="444"/>
      <c r="C284" s="444"/>
      <c r="D284" s="444"/>
      <c r="E284" s="444"/>
      <c r="F284" s="444"/>
      <c r="G284" s="444"/>
      <c r="H284" s="444"/>
      <c r="I284" s="444"/>
      <c r="J284" s="444"/>
    </row>
    <row r="285" spans="1:10" x14ac:dyDescent="0.2">
      <c r="A285" s="444"/>
      <c r="B285" s="444"/>
      <c r="C285" s="444"/>
      <c r="D285" s="444"/>
      <c r="E285" s="444"/>
      <c r="F285" s="444"/>
      <c r="G285" s="444"/>
      <c r="H285" s="444"/>
      <c r="I285" s="444"/>
      <c r="J285" s="444"/>
    </row>
    <row r="286" spans="1:10" x14ac:dyDescent="0.2">
      <c r="A286" s="444"/>
      <c r="B286" s="444"/>
      <c r="C286" s="444"/>
      <c r="D286" s="444"/>
      <c r="E286" s="444"/>
      <c r="F286" s="444"/>
      <c r="G286" s="444"/>
      <c r="H286" s="444"/>
      <c r="I286" s="444"/>
      <c r="J286" s="444"/>
    </row>
    <row r="287" spans="1:10" x14ac:dyDescent="0.2">
      <c r="A287" s="444"/>
      <c r="B287" s="444"/>
      <c r="C287" s="444"/>
      <c r="D287" s="444"/>
      <c r="E287" s="444"/>
      <c r="F287" s="444"/>
      <c r="G287" s="444"/>
      <c r="H287" s="444"/>
      <c r="I287" s="444"/>
      <c r="J287" s="444"/>
    </row>
    <row r="288" spans="1:10" x14ac:dyDescent="0.2">
      <c r="A288" s="444"/>
      <c r="B288" s="444"/>
      <c r="C288" s="444"/>
      <c r="D288" s="444"/>
      <c r="E288" s="444"/>
      <c r="F288" s="444"/>
      <c r="G288" s="444"/>
      <c r="H288" s="444"/>
      <c r="I288" s="444"/>
      <c r="J288" s="444"/>
    </row>
    <row r="289" spans="1:10" x14ac:dyDescent="0.2">
      <c r="A289" s="444"/>
      <c r="B289" s="444"/>
      <c r="C289" s="444"/>
      <c r="D289" s="444"/>
      <c r="E289" s="444"/>
      <c r="F289" s="444"/>
      <c r="G289" s="444"/>
      <c r="H289" s="444"/>
      <c r="I289" s="444"/>
      <c r="J289" s="444"/>
    </row>
    <row r="290" spans="1:10" x14ac:dyDescent="0.2">
      <c r="A290" s="444"/>
      <c r="B290" s="444"/>
      <c r="C290" s="444"/>
      <c r="D290" s="444"/>
      <c r="E290" s="444"/>
      <c r="F290" s="444"/>
      <c r="G290" s="444"/>
      <c r="H290" s="444"/>
      <c r="I290" s="444"/>
      <c r="J290" s="444"/>
    </row>
    <row r="291" spans="1:10" x14ac:dyDescent="0.2">
      <c r="A291" s="444"/>
      <c r="B291" s="444"/>
      <c r="C291" s="444"/>
      <c r="D291" s="444"/>
      <c r="E291" s="444"/>
      <c r="F291" s="444"/>
      <c r="G291" s="444"/>
      <c r="H291" s="444"/>
      <c r="I291" s="444"/>
      <c r="J291" s="444"/>
    </row>
    <row r="292" spans="1:10" x14ac:dyDescent="0.2">
      <c r="A292" s="444"/>
      <c r="B292" s="444"/>
      <c r="C292" s="444"/>
      <c r="D292" s="444"/>
      <c r="E292" s="444"/>
      <c r="F292" s="444"/>
      <c r="G292" s="444"/>
      <c r="H292" s="444"/>
      <c r="I292" s="444"/>
      <c r="J292" s="444"/>
    </row>
    <row r="293" spans="1:10" x14ac:dyDescent="0.2">
      <c r="A293" s="444"/>
      <c r="B293" s="444"/>
      <c r="C293" s="444"/>
      <c r="D293" s="444"/>
      <c r="E293" s="444"/>
      <c r="F293" s="444"/>
      <c r="G293" s="444"/>
      <c r="H293" s="444"/>
      <c r="I293" s="444"/>
      <c r="J293" s="444"/>
    </row>
    <row r="294" spans="1:10" x14ac:dyDescent="0.2">
      <c r="A294" s="444"/>
      <c r="B294" s="444"/>
      <c r="C294" s="444"/>
      <c r="D294" s="444"/>
      <c r="E294" s="444"/>
      <c r="F294" s="444"/>
      <c r="G294" s="444"/>
      <c r="H294" s="444"/>
      <c r="I294" s="444"/>
      <c r="J294" s="444"/>
    </row>
    <row r="295" spans="1:10" x14ac:dyDescent="0.2">
      <c r="A295" s="444"/>
      <c r="B295" s="444"/>
      <c r="C295" s="444"/>
      <c r="D295" s="444"/>
      <c r="E295" s="444"/>
      <c r="F295" s="444"/>
      <c r="G295" s="444"/>
      <c r="H295" s="444"/>
      <c r="I295" s="444"/>
      <c r="J295" s="444"/>
    </row>
    <row r="296" spans="1:10" x14ac:dyDescent="0.2">
      <c r="A296" s="444"/>
      <c r="B296" s="444"/>
      <c r="C296" s="444"/>
      <c r="D296" s="444"/>
      <c r="E296" s="444"/>
      <c r="F296" s="444"/>
      <c r="G296" s="444"/>
      <c r="H296" s="444"/>
      <c r="I296" s="444"/>
      <c r="J296" s="444"/>
    </row>
    <row r="297" spans="1:10" x14ac:dyDescent="0.2">
      <c r="A297" s="444"/>
      <c r="B297" s="444"/>
      <c r="C297" s="444"/>
      <c r="D297" s="444"/>
      <c r="E297" s="444"/>
      <c r="F297" s="444"/>
      <c r="G297" s="444"/>
      <c r="H297" s="444"/>
      <c r="I297" s="444"/>
      <c r="J297" s="444"/>
    </row>
    <row r="298" spans="1:10" x14ac:dyDescent="0.2">
      <c r="A298" s="444"/>
      <c r="B298" s="444"/>
      <c r="C298" s="444"/>
      <c r="D298" s="444"/>
      <c r="E298" s="444"/>
      <c r="F298" s="444"/>
      <c r="G298" s="444"/>
      <c r="H298" s="444"/>
      <c r="I298" s="444"/>
      <c r="J298" s="444"/>
    </row>
    <row r="299" spans="1:10" x14ac:dyDescent="0.2">
      <c r="A299" s="444"/>
      <c r="B299" s="444"/>
      <c r="C299" s="444"/>
      <c r="D299" s="444"/>
      <c r="E299" s="444"/>
      <c r="F299" s="444"/>
      <c r="G299" s="444"/>
      <c r="H299" s="444"/>
      <c r="I299" s="444"/>
      <c r="J299" s="444"/>
    </row>
    <row r="300" spans="1:10" x14ac:dyDescent="0.2">
      <c r="A300" s="444"/>
      <c r="B300" s="444"/>
      <c r="C300" s="444"/>
      <c r="D300" s="444"/>
      <c r="E300" s="444"/>
      <c r="F300" s="444"/>
      <c r="G300" s="444"/>
      <c r="H300" s="444"/>
      <c r="I300" s="444"/>
      <c r="J300" s="444"/>
    </row>
    <row r="301" spans="1:10" x14ac:dyDescent="0.2">
      <c r="A301" s="444"/>
      <c r="B301" s="444"/>
      <c r="C301" s="444"/>
      <c r="D301" s="444"/>
      <c r="E301" s="444"/>
      <c r="F301" s="444"/>
      <c r="G301" s="444"/>
      <c r="H301" s="444"/>
      <c r="I301" s="444"/>
      <c r="J301" s="444"/>
    </row>
    <row r="302" spans="1:10" x14ac:dyDescent="0.2">
      <c r="A302" s="444"/>
      <c r="B302" s="444"/>
      <c r="C302" s="444"/>
      <c r="D302" s="444"/>
      <c r="E302" s="444"/>
      <c r="F302" s="444"/>
      <c r="G302" s="444"/>
      <c r="H302" s="444"/>
      <c r="I302" s="444"/>
      <c r="J302" s="444"/>
    </row>
    <row r="303" spans="1:10" x14ac:dyDescent="0.2">
      <c r="A303" s="444"/>
      <c r="B303" s="444"/>
      <c r="C303" s="444"/>
      <c r="D303" s="444"/>
      <c r="E303" s="444"/>
      <c r="F303" s="444"/>
      <c r="G303" s="444"/>
      <c r="H303" s="444"/>
      <c r="I303" s="444"/>
      <c r="J303" s="444"/>
    </row>
    <row r="304" spans="1:10" x14ac:dyDescent="0.2">
      <c r="A304" s="444"/>
      <c r="B304" s="444"/>
      <c r="C304" s="444"/>
      <c r="D304" s="444"/>
      <c r="E304" s="444"/>
      <c r="F304" s="444"/>
      <c r="G304" s="444"/>
      <c r="H304" s="444"/>
      <c r="I304" s="444"/>
      <c r="J304" s="444"/>
    </row>
    <row r="305" spans="1:10" x14ac:dyDescent="0.2">
      <c r="A305" s="444"/>
      <c r="B305" s="444"/>
      <c r="C305" s="444"/>
      <c r="D305" s="444"/>
      <c r="E305" s="444"/>
      <c r="F305" s="444"/>
      <c r="G305" s="444"/>
      <c r="H305" s="444"/>
      <c r="I305" s="444"/>
      <c r="J305" s="444"/>
    </row>
    <row r="306" spans="1:10" x14ac:dyDescent="0.2">
      <c r="A306" s="444"/>
      <c r="B306" s="444"/>
      <c r="C306" s="444"/>
      <c r="D306" s="444"/>
      <c r="E306" s="444"/>
      <c r="F306" s="444"/>
      <c r="G306" s="444"/>
      <c r="H306" s="444"/>
      <c r="I306" s="444"/>
      <c r="J306" s="444"/>
    </row>
    <row r="307" spans="1:10" x14ac:dyDescent="0.2">
      <c r="A307" s="444"/>
      <c r="B307" s="444"/>
      <c r="C307" s="444"/>
      <c r="D307" s="444"/>
      <c r="E307" s="444"/>
      <c r="F307" s="444"/>
      <c r="G307" s="444"/>
      <c r="H307" s="444"/>
      <c r="I307" s="444"/>
      <c r="J307" s="444"/>
    </row>
    <row r="308" spans="1:10" x14ac:dyDescent="0.2">
      <c r="A308" s="444"/>
      <c r="B308" s="444"/>
      <c r="C308" s="444"/>
      <c r="D308" s="444"/>
      <c r="E308" s="444"/>
      <c r="F308" s="444"/>
      <c r="G308" s="444"/>
      <c r="H308" s="444"/>
      <c r="I308" s="444"/>
      <c r="J308" s="444"/>
    </row>
    <row r="309" spans="1:10" x14ac:dyDescent="0.2">
      <c r="A309" s="444"/>
      <c r="B309" s="444"/>
      <c r="C309" s="444"/>
      <c r="D309" s="444"/>
      <c r="E309" s="444"/>
      <c r="F309" s="444"/>
      <c r="G309" s="444"/>
      <c r="H309" s="444"/>
      <c r="I309" s="444"/>
      <c r="J309" s="444"/>
    </row>
    <row r="310" spans="1:10" x14ac:dyDescent="0.2">
      <c r="A310" s="444"/>
      <c r="B310" s="444"/>
      <c r="C310" s="444"/>
      <c r="D310" s="444"/>
      <c r="E310" s="444"/>
      <c r="F310" s="444"/>
      <c r="G310" s="444"/>
      <c r="H310" s="444"/>
      <c r="I310" s="444"/>
      <c r="J310" s="444"/>
    </row>
    <row r="311" spans="1:10" x14ac:dyDescent="0.2">
      <c r="A311" s="444"/>
      <c r="B311" s="444"/>
      <c r="C311" s="444"/>
      <c r="D311" s="444"/>
      <c r="E311" s="444"/>
      <c r="F311" s="444"/>
      <c r="G311" s="444"/>
      <c r="H311" s="444"/>
      <c r="I311" s="444"/>
      <c r="J311" s="444"/>
    </row>
    <row r="312" spans="1:10" x14ac:dyDescent="0.2">
      <c r="A312" s="444"/>
      <c r="B312" s="444"/>
      <c r="C312" s="444"/>
      <c r="D312" s="444"/>
      <c r="E312" s="444"/>
      <c r="F312" s="444"/>
      <c r="G312" s="444"/>
      <c r="H312" s="444"/>
      <c r="I312" s="444"/>
      <c r="J312" s="444"/>
    </row>
    <row r="313" spans="1:10" x14ac:dyDescent="0.2">
      <c r="A313" s="444"/>
      <c r="B313" s="444"/>
      <c r="C313" s="444"/>
      <c r="D313" s="444"/>
      <c r="E313" s="444"/>
      <c r="F313" s="444"/>
      <c r="G313" s="444"/>
      <c r="H313" s="444"/>
      <c r="I313" s="444"/>
      <c r="J313" s="444"/>
    </row>
    <row r="314" spans="1:10" x14ac:dyDescent="0.2">
      <c r="A314" s="444"/>
      <c r="B314" s="444"/>
      <c r="C314" s="444"/>
      <c r="D314" s="444"/>
      <c r="E314" s="444"/>
      <c r="F314" s="444"/>
      <c r="G314" s="444"/>
      <c r="H314" s="444"/>
      <c r="I314" s="444"/>
      <c r="J314" s="444"/>
    </row>
    <row r="315" spans="1:10" x14ac:dyDescent="0.2">
      <c r="A315" s="444"/>
      <c r="B315" s="444"/>
      <c r="C315" s="444"/>
      <c r="D315" s="444"/>
      <c r="E315" s="444"/>
      <c r="F315" s="444"/>
      <c r="G315" s="444"/>
      <c r="H315" s="444"/>
      <c r="I315" s="444"/>
      <c r="J315" s="444"/>
    </row>
    <row r="316" spans="1:10" x14ac:dyDescent="0.2">
      <c r="A316" s="444"/>
      <c r="B316" s="444"/>
      <c r="C316" s="444"/>
      <c r="D316" s="444"/>
      <c r="E316" s="444"/>
      <c r="F316" s="444"/>
      <c r="G316" s="444"/>
      <c r="H316" s="444"/>
      <c r="I316" s="444"/>
      <c r="J316" s="444"/>
    </row>
    <row r="317" spans="1:10" x14ac:dyDescent="0.2">
      <c r="A317" s="444"/>
      <c r="B317" s="444"/>
      <c r="C317" s="444"/>
      <c r="D317" s="444"/>
      <c r="E317" s="444"/>
      <c r="F317" s="444"/>
      <c r="G317" s="444"/>
      <c r="H317" s="444"/>
      <c r="I317" s="444"/>
      <c r="J317" s="444"/>
    </row>
    <row r="318" spans="1:10" x14ac:dyDescent="0.2">
      <c r="A318" s="444"/>
      <c r="B318" s="444"/>
      <c r="C318" s="444"/>
      <c r="D318" s="444"/>
      <c r="E318" s="444"/>
      <c r="F318" s="444"/>
      <c r="G318" s="444"/>
      <c r="H318" s="444"/>
      <c r="I318" s="444"/>
      <c r="J318" s="444"/>
    </row>
    <row r="319" spans="1:10" x14ac:dyDescent="0.2">
      <c r="A319" s="444"/>
      <c r="B319" s="444"/>
      <c r="C319" s="444"/>
      <c r="D319" s="444"/>
      <c r="E319" s="444"/>
      <c r="F319" s="444"/>
      <c r="G319" s="444"/>
      <c r="H319" s="444"/>
      <c r="I319" s="444"/>
      <c r="J319" s="444"/>
    </row>
    <row r="320" spans="1:10" x14ac:dyDescent="0.2">
      <c r="A320" s="444"/>
      <c r="B320" s="444"/>
      <c r="C320" s="444"/>
      <c r="D320" s="444"/>
      <c r="E320" s="444"/>
      <c r="F320" s="444"/>
      <c r="G320" s="444"/>
      <c r="H320" s="444"/>
      <c r="I320" s="444"/>
      <c r="J320" s="444"/>
    </row>
    <row r="321" spans="1:10" x14ac:dyDescent="0.2">
      <c r="A321" s="444"/>
      <c r="B321" s="444"/>
      <c r="C321" s="444"/>
      <c r="D321" s="444"/>
      <c r="E321" s="444"/>
      <c r="F321" s="444"/>
      <c r="G321" s="444"/>
      <c r="H321" s="444"/>
      <c r="I321" s="444"/>
      <c r="J321" s="444"/>
    </row>
    <row r="322" spans="1:10" x14ac:dyDescent="0.2">
      <c r="A322" s="444"/>
      <c r="B322" s="444"/>
      <c r="C322" s="444"/>
      <c r="D322" s="444"/>
      <c r="E322" s="444"/>
      <c r="F322" s="444"/>
      <c r="G322" s="444"/>
      <c r="H322" s="444"/>
      <c r="I322" s="444"/>
      <c r="J322" s="444"/>
    </row>
    <row r="323" spans="1:10" x14ac:dyDescent="0.2">
      <c r="A323" s="444"/>
      <c r="B323" s="444"/>
      <c r="C323" s="444"/>
      <c r="D323" s="444"/>
      <c r="E323" s="444"/>
      <c r="F323" s="444"/>
      <c r="G323" s="444"/>
      <c r="H323" s="444"/>
      <c r="I323" s="444"/>
      <c r="J323" s="444"/>
    </row>
    <row r="324" spans="1:10" x14ac:dyDescent="0.2">
      <c r="A324" s="444"/>
      <c r="B324" s="444"/>
      <c r="C324" s="444"/>
      <c r="D324" s="444"/>
      <c r="E324" s="444"/>
      <c r="F324" s="444"/>
      <c r="G324" s="444"/>
      <c r="H324" s="444"/>
      <c r="I324" s="444"/>
      <c r="J324" s="444"/>
    </row>
    <row r="325" spans="1:10" x14ac:dyDescent="0.2">
      <c r="A325" s="444"/>
      <c r="B325" s="444"/>
      <c r="C325" s="444"/>
      <c r="D325" s="444"/>
      <c r="E325" s="444"/>
      <c r="F325" s="444"/>
      <c r="G325" s="444"/>
      <c r="H325" s="444"/>
      <c r="I325" s="444"/>
      <c r="J325" s="444"/>
    </row>
    <row r="326" spans="1:10" x14ac:dyDescent="0.2">
      <c r="A326" s="444"/>
      <c r="B326" s="444"/>
      <c r="C326" s="444"/>
      <c r="D326" s="444"/>
      <c r="E326" s="444"/>
      <c r="F326" s="444"/>
      <c r="G326" s="444"/>
      <c r="H326" s="444"/>
      <c r="I326" s="444"/>
      <c r="J326" s="444"/>
    </row>
    <row r="327" spans="1:10" x14ac:dyDescent="0.2">
      <c r="A327" s="444"/>
      <c r="B327" s="444"/>
      <c r="C327" s="444"/>
      <c r="D327" s="444"/>
      <c r="E327" s="444"/>
      <c r="F327" s="444"/>
      <c r="G327" s="444"/>
      <c r="H327" s="444"/>
      <c r="I327" s="444"/>
      <c r="J327" s="444"/>
    </row>
    <row r="328" spans="1:10" x14ac:dyDescent="0.2">
      <c r="A328" s="444"/>
      <c r="B328" s="444"/>
      <c r="C328" s="444"/>
      <c r="D328" s="444"/>
      <c r="E328" s="444"/>
      <c r="F328" s="444"/>
      <c r="G328" s="444"/>
      <c r="H328" s="444"/>
      <c r="I328" s="444"/>
      <c r="J328" s="444"/>
    </row>
    <row r="329" spans="1:10" x14ac:dyDescent="0.2">
      <c r="A329" s="444"/>
      <c r="B329" s="444"/>
      <c r="C329" s="444"/>
      <c r="D329" s="444"/>
      <c r="E329" s="444"/>
      <c r="F329" s="444"/>
      <c r="G329" s="444"/>
      <c r="H329" s="444"/>
      <c r="I329" s="444"/>
      <c r="J329" s="444"/>
    </row>
    <row r="330" spans="1:10" x14ac:dyDescent="0.2">
      <c r="A330" s="444"/>
      <c r="B330" s="444"/>
      <c r="C330" s="444"/>
      <c r="D330" s="444"/>
      <c r="E330" s="444"/>
      <c r="F330" s="444"/>
      <c r="G330" s="444"/>
      <c r="H330" s="444"/>
      <c r="I330" s="444"/>
      <c r="J330" s="444"/>
    </row>
    <row r="331" spans="1:10" x14ac:dyDescent="0.2">
      <c r="A331" s="444"/>
      <c r="B331" s="444"/>
      <c r="C331" s="444"/>
      <c r="D331" s="444"/>
      <c r="E331" s="444"/>
      <c r="F331" s="444"/>
      <c r="G331" s="444"/>
      <c r="H331" s="444"/>
      <c r="I331" s="444"/>
      <c r="J331" s="444"/>
    </row>
    <row r="332" spans="1:10" x14ac:dyDescent="0.2">
      <c r="A332" s="444"/>
      <c r="B332" s="444"/>
      <c r="C332" s="444"/>
      <c r="D332" s="444"/>
      <c r="E332" s="444"/>
      <c r="F332" s="444"/>
      <c r="G332" s="444"/>
      <c r="H332" s="444"/>
      <c r="I332" s="444"/>
      <c r="J332" s="444"/>
    </row>
    <row r="333" spans="1:10" x14ac:dyDescent="0.2">
      <c r="A333" s="444"/>
      <c r="B333" s="444"/>
      <c r="C333" s="444"/>
      <c r="D333" s="444"/>
      <c r="E333" s="444"/>
      <c r="F333" s="444"/>
      <c r="G333" s="444"/>
      <c r="H333" s="444"/>
      <c r="I333" s="444"/>
      <c r="J333" s="444"/>
    </row>
    <row r="334" spans="1:10" x14ac:dyDescent="0.2">
      <c r="A334" s="444"/>
      <c r="B334" s="444"/>
      <c r="C334" s="444"/>
      <c r="D334" s="444"/>
      <c r="E334" s="444"/>
      <c r="F334" s="444"/>
      <c r="G334" s="444"/>
      <c r="H334" s="444"/>
      <c r="I334" s="444"/>
      <c r="J334" s="444"/>
    </row>
    <row r="335" spans="1:10" x14ac:dyDescent="0.2">
      <c r="A335" s="444"/>
      <c r="B335" s="444"/>
      <c r="C335" s="444"/>
      <c r="D335" s="444"/>
      <c r="E335" s="444"/>
      <c r="F335" s="444"/>
      <c r="G335" s="444"/>
      <c r="H335" s="444"/>
      <c r="I335" s="444"/>
      <c r="J335" s="444"/>
    </row>
    <row r="336" spans="1:10" x14ac:dyDescent="0.2">
      <c r="A336" s="444"/>
      <c r="B336" s="444"/>
      <c r="C336" s="444"/>
      <c r="D336" s="444"/>
      <c r="E336" s="444"/>
      <c r="F336" s="444"/>
      <c r="G336" s="444"/>
      <c r="H336" s="444"/>
      <c r="I336" s="444"/>
      <c r="J336" s="444"/>
    </row>
    <row r="337" spans="1:10" x14ac:dyDescent="0.2">
      <c r="A337" s="444"/>
      <c r="B337" s="444"/>
      <c r="C337" s="444"/>
      <c r="D337" s="444"/>
      <c r="E337" s="444"/>
      <c r="F337" s="444"/>
      <c r="G337" s="444"/>
      <c r="H337" s="444"/>
      <c r="I337" s="444"/>
      <c r="J337" s="444"/>
    </row>
    <row r="338" spans="1:10" x14ac:dyDescent="0.2">
      <c r="A338" s="444"/>
      <c r="B338" s="444"/>
      <c r="C338" s="444"/>
      <c r="D338" s="444"/>
      <c r="E338" s="444"/>
      <c r="F338" s="444"/>
      <c r="G338" s="444"/>
      <c r="H338" s="444"/>
      <c r="I338" s="444"/>
      <c r="J338" s="444"/>
    </row>
    <row r="339" spans="1:10" x14ac:dyDescent="0.2">
      <c r="A339" s="444"/>
      <c r="B339" s="444"/>
      <c r="C339" s="444"/>
      <c r="D339" s="444"/>
      <c r="E339" s="444"/>
      <c r="F339" s="444"/>
      <c r="G339" s="444"/>
      <c r="H339" s="444"/>
      <c r="I339" s="444"/>
      <c r="J339" s="444"/>
    </row>
    <row r="340" spans="1:10" x14ac:dyDescent="0.2">
      <c r="A340" s="444"/>
      <c r="B340" s="444"/>
      <c r="C340" s="444"/>
      <c r="D340" s="444"/>
      <c r="E340" s="444"/>
      <c r="F340" s="444"/>
      <c r="G340" s="444"/>
      <c r="H340" s="444"/>
      <c r="I340" s="444"/>
      <c r="J340" s="444"/>
    </row>
    <row r="341" spans="1:10" x14ac:dyDescent="0.2">
      <c r="A341" s="444"/>
      <c r="B341" s="444"/>
      <c r="C341" s="444"/>
      <c r="D341" s="444"/>
      <c r="E341" s="444"/>
      <c r="F341" s="444"/>
      <c r="G341" s="444"/>
      <c r="H341" s="444"/>
      <c r="I341" s="444"/>
      <c r="J341" s="444"/>
    </row>
    <row r="342" spans="1:10" x14ac:dyDescent="0.2">
      <c r="A342" s="444"/>
      <c r="B342" s="444"/>
      <c r="C342" s="444"/>
      <c r="D342" s="444"/>
      <c r="E342" s="444"/>
      <c r="F342" s="444"/>
      <c r="G342" s="444"/>
      <c r="H342" s="444"/>
      <c r="I342" s="444"/>
      <c r="J342" s="444"/>
    </row>
    <row r="343" spans="1:10" x14ac:dyDescent="0.2">
      <c r="A343" s="444"/>
      <c r="B343" s="444"/>
      <c r="C343" s="444"/>
      <c r="D343" s="444"/>
      <c r="E343" s="444"/>
      <c r="F343" s="444"/>
      <c r="G343" s="444"/>
      <c r="H343" s="444"/>
      <c r="I343" s="444"/>
      <c r="J343" s="444"/>
    </row>
    <row r="344" spans="1:10" x14ac:dyDescent="0.2">
      <c r="A344" s="444"/>
      <c r="B344" s="444"/>
      <c r="C344" s="444"/>
      <c r="D344" s="444"/>
      <c r="E344" s="444"/>
      <c r="F344" s="444"/>
      <c r="G344" s="444"/>
      <c r="H344" s="444"/>
      <c r="I344" s="444"/>
      <c r="J344" s="444"/>
    </row>
    <row r="345" spans="1:10" x14ac:dyDescent="0.2">
      <c r="A345" s="444"/>
      <c r="B345" s="444"/>
      <c r="C345" s="444"/>
      <c r="D345" s="444"/>
      <c r="E345" s="444"/>
      <c r="F345" s="444"/>
      <c r="G345" s="444"/>
      <c r="H345" s="444"/>
      <c r="I345" s="444"/>
      <c r="J345" s="444"/>
    </row>
    <row r="346" spans="1:10" x14ac:dyDescent="0.2">
      <c r="A346" s="444"/>
      <c r="B346" s="444"/>
      <c r="C346" s="444"/>
      <c r="D346" s="444"/>
      <c r="E346" s="444"/>
      <c r="F346" s="444"/>
      <c r="G346" s="444"/>
      <c r="H346" s="444"/>
      <c r="I346" s="444"/>
      <c r="J346" s="444"/>
    </row>
    <row r="347" spans="1:10" x14ac:dyDescent="0.2">
      <c r="A347" s="444"/>
      <c r="B347" s="444"/>
      <c r="C347" s="444"/>
      <c r="D347" s="444"/>
      <c r="E347" s="444"/>
      <c r="F347" s="444"/>
      <c r="G347" s="444"/>
      <c r="H347" s="444"/>
      <c r="I347" s="444"/>
      <c r="J347" s="444"/>
    </row>
    <row r="348" spans="1:10" x14ac:dyDescent="0.2">
      <c r="A348" s="444"/>
      <c r="B348" s="444"/>
      <c r="C348" s="444"/>
      <c r="D348" s="444"/>
      <c r="E348" s="444"/>
      <c r="F348" s="444"/>
      <c r="G348" s="444"/>
      <c r="H348" s="444"/>
      <c r="I348" s="444"/>
      <c r="J348" s="444"/>
    </row>
    <row r="349" spans="1:10" x14ac:dyDescent="0.2">
      <c r="A349" s="444"/>
      <c r="B349" s="444"/>
      <c r="C349" s="444"/>
      <c r="D349" s="444"/>
      <c r="E349" s="444"/>
      <c r="F349" s="444"/>
      <c r="G349" s="444"/>
      <c r="H349" s="444"/>
      <c r="I349" s="444"/>
      <c r="J349" s="444"/>
    </row>
    <row r="350" spans="1:10" x14ac:dyDescent="0.2">
      <c r="A350" s="444"/>
      <c r="B350" s="444"/>
      <c r="C350" s="444"/>
      <c r="D350" s="444"/>
      <c r="E350" s="444"/>
      <c r="F350" s="444"/>
      <c r="G350" s="444"/>
      <c r="H350" s="444"/>
      <c r="I350" s="444"/>
      <c r="J350" s="444"/>
    </row>
    <row r="351" spans="1:10" x14ac:dyDescent="0.2">
      <c r="A351" s="444"/>
      <c r="B351" s="444"/>
      <c r="C351" s="444"/>
      <c r="D351" s="444"/>
      <c r="E351" s="444"/>
      <c r="F351" s="444"/>
      <c r="G351" s="444"/>
      <c r="H351" s="444"/>
      <c r="I351" s="444"/>
      <c r="J351" s="444"/>
    </row>
    <row r="352" spans="1:10" x14ac:dyDescent="0.2">
      <c r="A352" s="444"/>
      <c r="B352" s="444"/>
      <c r="C352" s="444"/>
      <c r="D352" s="444"/>
      <c r="E352" s="444"/>
      <c r="F352" s="444"/>
      <c r="G352" s="444"/>
      <c r="H352" s="444"/>
      <c r="I352" s="444"/>
      <c r="J352" s="444"/>
    </row>
    <row r="353" spans="1:10" x14ac:dyDescent="0.2">
      <c r="A353" s="444"/>
      <c r="B353" s="444"/>
      <c r="C353" s="444"/>
      <c r="D353" s="444"/>
      <c r="E353" s="444"/>
      <c r="F353" s="444"/>
      <c r="G353" s="444"/>
      <c r="H353" s="444"/>
      <c r="I353" s="444"/>
      <c r="J353" s="444"/>
    </row>
    <row r="354" spans="1:10" x14ac:dyDescent="0.2">
      <c r="A354" s="444"/>
      <c r="B354" s="444"/>
      <c r="C354" s="444"/>
      <c r="D354" s="444"/>
      <c r="E354" s="444"/>
      <c r="F354" s="444"/>
      <c r="G354" s="444"/>
      <c r="H354" s="444"/>
      <c r="I354" s="444"/>
      <c r="J354" s="444"/>
    </row>
    <row r="355" spans="1:10" x14ac:dyDescent="0.2">
      <c r="A355" s="444"/>
      <c r="B355" s="444"/>
      <c r="C355" s="444"/>
      <c r="D355" s="444"/>
      <c r="E355" s="444"/>
      <c r="F355" s="444"/>
      <c r="G355" s="444"/>
      <c r="H355" s="444"/>
      <c r="I355" s="444"/>
      <c r="J355" s="444"/>
    </row>
    <row r="356" spans="1:10" x14ac:dyDescent="0.2">
      <c r="A356" s="444"/>
      <c r="B356" s="444"/>
      <c r="C356" s="444"/>
      <c r="D356" s="444"/>
      <c r="E356" s="444"/>
      <c r="F356" s="444"/>
      <c r="G356" s="444"/>
      <c r="H356" s="444"/>
      <c r="I356" s="444"/>
      <c r="J356" s="444"/>
    </row>
    <row r="357" spans="1:10" x14ac:dyDescent="0.2">
      <c r="A357" s="444"/>
      <c r="B357" s="444"/>
      <c r="C357" s="444"/>
      <c r="D357" s="444"/>
      <c r="E357" s="444"/>
      <c r="F357" s="444"/>
      <c r="G357" s="444"/>
      <c r="H357" s="444"/>
      <c r="I357" s="444"/>
      <c r="J357" s="444"/>
    </row>
    <row r="358" spans="1:10" x14ac:dyDescent="0.2">
      <c r="A358" s="444"/>
      <c r="B358" s="444"/>
      <c r="C358" s="444"/>
      <c r="D358" s="444"/>
      <c r="E358" s="444"/>
      <c r="F358" s="444"/>
      <c r="G358" s="444"/>
      <c r="H358" s="444"/>
      <c r="I358" s="444"/>
      <c r="J358" s="444"/>
    </row>
    <row r="359" spans="1:10" x14ac:dyDescent="0.2">
      <c r="A359" s="444"/>
      <c r="B359" s="444"/>
      <c r="C359" s="444"/>
      <c r="D359" s="444"/>
      <c r="E359" s="444"/>
      <c r="F359" s="444"/>
      <c r="G359" s="444"/>
      <c r="H359" s="444"/>
      <c r="I359" s="444"/>
      <c r="J359" s="444"/>
    </row>
    <row r="360" spans="1:10" x14ac:dyDescent="0.2">
      <c r="A360" s="444"/>
      <c r="B360" s="444"/>
      <c r="C360" s="444"/>
      <c r="D360" s="444"/>
      <c r="E360" s="444"/>
      <c r="F360" s="444"/>
      <c r="G360" s="444"/>
      <c r="H360" s="444"/>
      <c r="I360" s="444"/>
      <c r="J360" s="444"/>
    </row>
    <row r="361" spans="1:10" x14ac:dyDescent="0.2">
      <c r="A361" s="444"/>
      <c r="B361" s="444"/>
      <c r="C361" s="444"/>
      <c r="D361" s="444"/>
      <c r="E361" s="444"/>
      <c r="F361" s="444"/>
      <c r="G361" s="444"/>
      <c r="H361" s="444"/>
      <c r="I361" s="444"/>
      <c r="J361" s="444"/>
    </row>
    <row r="362" spans="1:10" x14ac:dyDescent="0.2">
      <c r="A362" s="444"/>
      <c r="B362" s="444"/>
      <c r="C362" s="444"/>
      <c r="D362" s="444"/>
      <c r="E362" s="444"/>
      <c r="F362" s="444"/>
      <c r="G362" s="444"/>
      <c r="H362" s="444"/>
      <c r="I362" s="444"/>
      <c r="J362" s="444"/>
    </row>
    <row r="363" spans="1:10" x14ac:dyDescent="0.2">
      <c r="A363" s="444"/>
      <c r="B363" s="444"/>
      <c r="C363" s="444"/>
      <c r="D363" s="444"/>
      <c r="E363" s="444"/>
      <c r="F363" s="444"/>
      <c r="G363" s="444"/>
      <c r="H363" s="444"/>
      <c r="I363" s="444"/>
      <c r="J363" s="444"/>
    </row>
    <row r="364" spans="1:10" x14ac:dyDescent="0.2">
      <c r="A364" s="444"/>
      <c r="B364" s="444"/>
      <c r="C364" s="444"/>
      <c r="D364" s="444"/>
      <c r="E364" s="444"/>
      <c r="F364" s="444"/>
      <c r="G364" s="444"/>
      <c r="H364" s="444"/>
      <c r="I364" s="444"/>
      <c r="J364" s="444"/>
    </row>
    <row r="365" spans="1:10" x14ac:dyDescent="0.2">
      <c r="A365" s="444"/>
      <c r="B365" s="444"/>
      <c r="C365" s="444"/>
      <c r="D365" s="444"/>
      <c r="E365" s="444"/>
      <c r="F365" s="444"/>
      <c r="G365" s="444"/>
      <c r="H365" s="444"/>
      <c r="I365" s="444"/>
      <c r="J365" s="444"/>
    </row>
    <row r="366" spans="1:10" x14ac:dyDescent="0.2">
      <c r="A366" s="444"/>
      <c r="B366" s="444"/>
      <c r="C366" s="444"/>
      <c r="D366" s="444"/>
      <c r="E366" s="444"/>
      <c r="F366" s="444"/>
      <c r="G366" s="444"/>
      <c r="H366" s="444"/>
      <c r="I366" s="444"/>
      <c r="J366" s="444"/>
    </row>
    <row r="367" spans="1:10" x14ac:dyDescent="0.2">
      <c r="A367" s="444"/>
      <c r="B367" s="444"/>
      <c r="C367" s="444"/>
      <c r="D367" s="444"/>
      <c r="E367" s="444"/>
      <c r="F367" s="444"/>
      <c r="G367" s="444"/>
      <c r="H367" s="444"/>
      <c r="I367" s="444"/>
      <c r="J367" s="444"/>
    </row>
    <row r="368" spans="1:10" x14ac:dyDescent="0.2">
      <c r="A368" s="444"/>
      <c r="B368" s="444"/>
      <c r="C368" s="444"/>
      <c r="D368" s="444"/>
      <c r="E368" s="444"/>
      <c r="F368" s="444"/>
      <c r="G368" s="444"/>
      <c r="H368" s="444"/>
      <c r="I368" s="444"/>
      <c r="J368" s="444"/>
    </row>
    <row r="369" spans="1:10" x14ac:dyDescent="0.2">
      <c r="A369" s="444"/>
      <c r="B369" s="444"/>
      <c r="C369" s="444"/>
      <c r="D369" s="444"/>
      <c r="E369" s="444"/>
      <c r="F369" s="444"/>
      <c r="G369" s="444"/>
      <c r="H369" s="444"/>
      <c r="I369" s="444"/>
      <c r="J369" s="444"/>
    </row>
    <row r="370" spans="1:10" x14ac:dyDescent="0.2">
      <c r="A370" s="444"/>
      <c r="B370" s="444"/>
      <c r="C370" s="444"/>
      <c r="D370" s="444"/>
      <c r="E370" s="444"/>
      <c r="F370" s="444"/>
      <c r="G370" s="444"/>
      <c r="H370" s="444"/>
      <c r="I370" s="444"/>
      <c r="J370" s="444"/>
    </row>
    <row r="371" spans="1:10" x14ac:dyDescent="0.2">
      <c r="A371" s="444"/>
      <c r="B371" s="444"/>
      <c r="C371" s="444"/>
      <c r="D371" s="444"/>
      <c r="E371" s="444"/>
      <c r="F371" s="444"/>
      <c r="G371" s="444"/>
      <c r="H371" s="444"/>
      <c r="I371" s="444"/>
      <c r="J371" s="444"/>
    </row>
    <row r="372" spans="1:10" x14ac:dyDescent="0.2">
      <c r="A372" s="444"/>
      <c r="B372" s="444"/>
      <c r="C372" s="444"/>
      <c r="D372" s="444"/>
      <c r="E372" s="444"/>
      <c r="F372" s="444"/>
      <c r="G372" s="444"/>
      <c r="H372" s="444"/>
      <c r="I372" s="444"/>
      <c r="J372" s="444"/>
    </row>
    <row r="373" spans="1:10" x14ac:dyDescent="0.2">
      <c r="A373" s="444"/>
      <c r="B373" s="444"/>
      <c r="C373" s="444"/>
      <c r="D373" s="444"/>
      <c r="E373" s="444"/>
      <c r="F373" s="444"/>
      <c r="G373" s="444"/>
      <c r="H373" s="444"/>
      <c r="I373" s="444"/>
      <c r="J373" s="444"/>
    </row>
    <row r="374" spans="1:10" x14ac:dyDescent="0.2">
      <c r="A374" s="444"/>
      <c r="B374" s="444"/>
      <c r="C374" s="444"/>
      <c r="D374" s="444"/>
      <c r="E374" s="444"/>
      <c r="F374" s="444"/>
      <c r="G374" s="444"/>
      <c r="H374" s="444"/>
      <c r="I374" s="444"/>
      <c r="J374" s="444"/>
    </row>
    <row r="375" spans="1:10" x14ac:dyDescent="0.2">
      <c r="A375" s="444"/>
      <c r="B375" s="444"/>
      <c r="C375" s="444"/>
      <c r="D375" s="444"/>
      <c r="E375" s="444"/>
      <c r="F375" s="444"/>
      <c r="G375" s="444"/>
      <c r="H375" s="444"/>
      <c r="I375" s="444"/>
      <c r="J375" s="444"/>
    </row>
    <row r="376" spans="1:10" x14ac:dyDescent="0.2">
      <c r="A376" s="444"/>
      <c r="B376" s="444"/>
      <c r="C376" s="444"/>
      <c r="D376" s="444"/>
      <c r="E376" s="444"/>
      <c r="F376" s="444"/>
      <c r="G376" s="444"/>
      <c r="H376" s="444"/>
      <c r="I376" s="444"/>
      <c r="J376" s="444"/>
    </row>
    <row r="377" spans="1:10" x14ac:dyDescent="0.2">
      <c r="A377" s="444"/>
      <c r="B377" s="444"/>
      <c r="C377" s="444"/>
      <c r="D377" s="444"/>
      <c r="E377" s="444"/>
      <c r="F377" s="444"/>
      <c r="G377" s="444"/>
      <c r="H377" s="444"/>
      <c r="I377" s="444"/>
      <c r="J377" s="444"/>
    </row>
    <row r="378" spans="1:10" x14ac:dyDescent="0.2">
      <c r="A378" s="444"/>
      <c r="B378" s="444"/>
      <c r="C378" s="444"/>
      <c r="D378" s="444"/>
      <c r="E378" s="444"/>
      <c r="F378" s="444"/>
      <c r="G378" s="444"/>
      <c r="H378" s="444"/>
      <c r="I378" s="444"/>
      <c r="J378" s="444"/>
    </row>
    <row r="379" spans="1:10" x14ac:dyDescent="0.2">
      <c r="A379" s="444"/>
      <c r="B379" s="444"/>
      <c r="C379" s="444"/>
      <c r="D379" s="444"/>
      <c r="E379" s="444"/>
      <c r="F379" s="444"/>
      <c r="G379" s="444"/>
      <c r="H379" s="444"/>
      <c r="I379" s="444"/>
      <c r="J379" s="444"/>
    </row>
    <row r="380" spans="1:10" x14ac:dyDescent="0.2">
      <c r="A380" s="444"/>
      <c r="B380" s="444"/>
      <c r="C380" s="444"/>
      <c r="D380" s="444"/>
      <c r="E380" s="444"/>
      <c r="F380" s="444"/>
      <c r="G380" s="444"/>
      <c r="H380" s="444"/>
      <c r="I380" s="444"/>
      <c r="J380" s="444"/>
    </row>
    <row r="381" spans="1:10" x14ac:dyDescent="0.2">
      <c r="A381" s="444"/>
      <c r="B381" s="444"/>
      <c r="C381" s="444"/>
      <c r="D381" s="444"/>
      <c r="E381" s="444"/>
      <c r="F381" s="444"/>
      <c r="G381" s="444"/>
      <c r="H381" s="444"/>
      <c r="I381" s="444"/>
      <c r="J381" s="444"/>
    </row>
    <row r="382" spans="1:10" x14ac:dyDescent="0.2">
      <c r="B382" s="444"/>
      <c r="C382" s="444"/>
      <c r="D382" s="444"/>
      <c r="E382" s="444"/>
      <c r="F382" s="444"/>
      <c r="G382" s="444"/>
      <c r="H382" s="444"/>
      <c r="I382" s="444"/>
      <c r="J382" s="444"/>
    </row>
    <row r="383" spans="1:10" x14ac:dyDescent="0.2">
      <c r="B383" s="444"/>
      <c r="C383" s="444"/>
      <c r="D383" s="444"/>
      <c r="E383" s="444"/>
      <c r="F383" s="444"/>
      <c r="G383" s="444"/>
      <c r="H383" s="444"/>
      <c r="I383" s="444"/>
      <c r="J383" s="444"/>
    </row>
    <row r="384" spans="1:10" x14ac:dyDescent="0.2">
      <c r="B384" s="444"/>
      <c r="C384" s="444"/>
      <c r="D384" s="444"/>
      <c r="E384" s="444"/>
      <c r="F384" s="444"/>
      <c r="G384" s="444"/>
      <c r="H384" s="444"/>
      <c r="I384" s="444"/>
      <c r="J384" s="444"/>
    </row>
    <row r="385" spans="2:10" x14ac:dyDescent="0.2">
      <c r="B385" s="444"/>
      <c r="C385" s="444"/>
      <c r="D385" s="444"/>
      <c r="E385" s="444"/>
      <c r="F385" s="444"/>
      <c r="G385" s="444"/>
      <c r="H385" s="444"/>
      <c r="I385" s="444"/>
      <c r="J385" s="444"/>
    </row>
    <row r="386" spans="2:10" x14ac:dyDescent="0.2">
      <c r="B386" s="444"/>
      <c r="C386" s="444"/>
      <c r="D386" s="444"/>
      <c r="E386" s="444"/>
      <c r="F386" s="444"/>
      <c r="G386" s="444"/>
      <c r="H386" s="444"/>
      <c r="I386" s="444"/>
      <c r="J386" s="444"/>
    </row>
    <row r="387" spans="2:10" x14ac:dyDescent="0.2">
      <c r="B387" s="444"/>
      <c r="C387" s="444"/>
      <c r="D387" s="444"/>
      <c r="E387" s="444"/>
      <c r="F387" s="444"/>
      <c r="G387" s="444"/>
      <c r="H387" s="444"/>
      <c r="I387" s="444"/>
      <c r="J387" s="444"/>
    </row>
    <row r="388" spans="2:10" x14ac:dyDescent="0.2">
      <c r="B388" s="444"/>
      <c r="C388" s="444"/>
      <c r="D388" s="444"/>
      <c r="E388" s="444"/>
      <c r="F388" s="444"/>
      <c r="G388" s="444"/>
      <c r="H388" s="444"/>
      <c r="I388" s="444"/>
      <c r="J388" s="444"/>
    </row>
    <row r="389" spans="2:10" x14ac:dyDescent="0.2">
      <c r="B389" s="444"/>
      <c r="C389" s="444"/>
      <c r="D389" s="444"/>
      <c r="E389" s="444"/>
      <c r="F389" s="444"/>
      <c r="G389" s="444"/>
      <c r="H389" s="444"/>
      <c r="I389" s="444"/>
      <c r="J389" s="444"/>
    </row>
    <row r="390" spans="2:10" x14ac:dyDescent="0.2">
      <c r="B390" s="444"/>
      <c r="C390" s="444"/>
      <c r="D390" s="444"/>
      <c r="E390" s="444"/>
      <c r="F390" s="444"/>
      <c r="G390" s="444"/>
      <c r="H390" s="444"/>
      <c r="I390" s="444"/>
      <c r="J390" s="444"/>
    </row>
    <row r="391" spans="2:10" x14ac:dyDescent="0.2">
      <c r="B391" s="444"/>
      <c r="C391" s="444"/>
      <c r="D391" s="444"/>
      <c r="E391" s="444"/>
      <c r="F391" s="444"/>
      <c r="G391" s="444"/>
      <c r="H391" s="444"/>
      <c r="I391" s="444"/>
      <c r="J391" s="444"/>
    </row>
    <row r="392" spans="2:10" x14ac:dyDescent="0.2">
      <c r="B392" s="444"/>
      <c r="C392" s="444"/>
      <c r="D392" s="444"/>
      <c r="E392" s="444"/>
      <c r="F392" s="444"/>
      <c r="G392" s="444"/>
      <c r="H392" s="444"/>
      <c r="I392" s="444"/>
      <c r="J392" s="444"/>
    </row>
    <row r="393" spans="2:10" x14ac:dyDescent="0.2">
      <c r="B393" s="444"/>
      <c r="C393" s="444"/>
      <c r="D393" s="444"/>
      <c r="E393" s="444"/>
      <c r="F393" s="444"/>
      <c r="G393" s="444"/>
      <c r="H393" s="444"/>
      <c r="I393" s="444"/>
      <c r="J393" s="444"/>
    </row>
    <row r="394" spans="2:10" x14ac:dyDescent="0.2">
      <c r="B394" s="444"/>
      <c r="C394" s="444"/>
      <c r="D394" s="444"/>
      <c r="E394" s="444"/>
      <c r="F394" s="444"/>
      <c r="G394" s="444"/>
      <c r="H394" s="444"/>
      <c r="I394" s="444"/>
      <c r="J394" s="444"/>
    </row>
    <row r="395" spans="2:10" x14ac:dyDescent="0.2">
      <c r="B395" s="444"/>
      <c r="C395" s="444"/>
      <c r="D395" s="444"/>
      <c r="E395" s="444"/>
      <c r="F395" s="444"/>
      <c r="G395" s="444"/>
      <c r="H395" s="444"/>
      <c r="I395" s="444"/>
      <c r="J395" s="444"/>
    </row>
    <row r="396" spans="2:10" x14ac:dyDescent="0.2">
      <c r="B396" s="444"/>
      <c r="C396" s="444"/>
      <c r="D396" s="444"/>
      <c r="E396" s="444"/>
      <c r="F396" s="444"/>
      <c r="G396" s="444"/>
      <c r="H396" s="444"/>
      <c r="I396" s="444"/>
      <c r="J396" s="444"/>
    </row>
    <row r="397" spans="2:10" x14ac:dyDescent="0.2">
      <c r="B397" s="444"/>
      <c r="C397" s="444"/>
      <c r="D397" s="444"/>
      <c r="E397" s="444"/>
      <c r="F397" s="444"/>
      <c r="G397" s="444"/>
      <c r="H397" s="444"/>
      <c r="I397" s="444"/>
      <c r="J397" s="444"/>
    </row>
    <row r="398" spans="2:10" x14ac:dyDescent="0.2">
      <c r="B398" s="444"/>
      <c r="C398" s="444"/>
      <c r="D398" s="444"/>
      <c r="E398" s="444"/>
      <c r="F398" s="444"/>
      <c r="G398" s="444"/>
      <c r="H398" s="444"/>
      <c r="I398" s="444"/>
      <c r="J398" s="444"/>
    </row>
    <row r="399" spans="2:10" x14ac:dyDescent="0.2">
      <c r="B399" s="444"/>
      <c r="C399" s="444"/>
      <c r="D399" s="444"/>
      <c r="E399" s="444"/>
      <c r="F399" s="444"/>
      <c r="G399" s="444"/>
      <c r="H399" s="444"/>
      <c r="I399" s="444"/>
      <c r="J399" s="444"/>
    </row>
    <row r="400" spans="2:10" x14ac:dyDescent="0.2">
      <c r="B400" s="444"/>
      <c r="C400" s="444"/>
      <c r="D400" s="444"/>
      <c r="E400" s="444"/>
      <c r="F400" s="444"/>
      <c r="G400" s="444"/>
      <c r="H400" s="444"/>
      <c r="I400" s="444"/>
      <c r="J400" s="444"/>
    </row>
    <row r="401" spans="2:10" x14ac:dyDescent="0.2">
      <c r="B401" s="444"/>
      <c r="C401" s="444"/>
      <c r="D401" s="444"/>
      <c r="E401" s="444"/>
      <c r="F401" s="444"/>
      <c r="G401" s="444"/>
      <c r="H401" s="444"/>
      <c r="I401" s="444"/>
      <c r="J401" s="444"/>
    </row>
    <row r="402" spans="2:10" x14ac:dyDescent="0.2">
      <c r="B402" s="444"/>
      <c r="C402" s="444"/>
      <c r="D402" s="444"/>
      <c r="E402" s="444"/>
      <c r="F402" s="444"/>
      <c r="G402" s="444"/>
      <c r="H402" s="444"/>
      <c r="I402" s="444"/>
      <c r="J402" s="444"/>
    </row>
    <row r="403" spans="2:10" x14ac:dyDescent="0.2">
      <c r="B403" s="444"/>
      <c r="C403" s="444"/>
      <c r="D403" s="444"/>
      <c r="E403" s="444"/>
      <c r="F403" s="444"/>
      <c r="G403" s="444"/>
      <c r="H403" s="444"/>
      <c r="I403" s="444"/>
      <c r="J403" s="444"/>
    </row>
    <row r="404" spans="2:10" x14ac:dyDescent="0.2">
      <c r="B404" s="444"/>
      <c r="C404" s="444"/>
      <c r="D404" s="444"/>
      <c r="E404" s="444"/>
      <c r="F404" s="444"/>
      <c r="G404" s="444"/>
      <c r="H404" s="444"/>
      <c r="I404" s="444"/>
      <c r="J404" s="444"/>
    </row>
    <row r="405" spans="2:10" x14ac:dyDescent="0.2">
      <c r="B405" s="444"/>
      <c r="C405" s="444"/>
      <c r="D405" s="444"/>
      <c r="E405" s="444"/>
      <c r="F405" s="444"/>
      <c r="G405" s="444"/>
      <c r="H405" s="444"/>
      <c r="I405" s="444"/>
      <c r="J405" s="444"/>
    </row>
    <row r="406" spans="2:10" x14ac:dyDescent="0.2">
      <c r="B406" s="444"/>
      <c r="C406" s="444"/>
      <c r="D406" s="444"/>
      <c r="E406" s="444"/>
      <c r="F406" s="444"/>
      <c r="G406" s="444"/>
      <c r="H406" s="444"/>
      <c r="I406" s="444"/>
      <c r="J406" s="444"/>
    </row>
    <row r="407" spans="2:10" x14ac:dyDescent="0.2">
      <c r="B407" s="444"/>
      <c r="C407" s="444"/>
      <c r="D407" s="444"/>
      <c r="E407" s="444"/>
      <c r="F407" s="444"/>
      <c r="G407" s="444"/>
      <c r="H407" s="444"/>
      <c r="I407" s="444"/>
      <c r="J407" s="444"/>
    </row>
    <row r="408" spans="2:10" x14ac:dyDescent="0.2">
      <c r="B408" s="444"/>
      <c r="C408" s="444"/>
      <c r="D408" s="444"/>
      <c r="E408" s="444"/>
      <c r="F408" s="444"/>
      <c r="G408" s="444"/>
      <c r="H408" s="444"/>
      <c r="I408" s="444"/>
      <c r="J408" s="444"/>
    </row>
    <row r="409" spans="2:10" x14ac:dyDescent="0.2">
      <c r="B409" s="444"/>
      <c r="C409" s="444"/>
      <c r="D409" s="444"/>
      <c r="E409" s="444"/>
      <c r="F409" s="444"/>
      <c r="G409" s="444"/>
      <c r="H409" s="444"/>
      <c r="I409" s="444"/>
      <c r="J409" s="444"/>
    </row>
    <row r="410" spans="2:10" x14ac:dyDescent="0.2">
      <c r="B410" s="444"/>
      <c r="C410" s="444"/>
      <c r="D410" s="444"/>
      <c r="E410" s="444"/>
      <c r="F410" s="444"/>
      <c r="G410" s="444"/>
      <c r="H410" s="444"/>
      <c r="I410" s="444"/>
      <c r="J410" s="444"/>
    </row>
    <row r="411" spans="2:10" x14ac:dyDescent="0.2">
      <c r="B411" s="444"/>
      <c r="C411" s="444"/>
      <c r="D411" s="444"/>
      <c r="E411" s="444"/>
      <c r="F411" s="444"/>
      <c r="G411" s="444"/>
      <c r="H411" s="444"/>
      <c r="I411" s="444"/>
      <c r="J411" s="444"/>
    </row>
    <row r="412" spans="2:10" x14ac:dyDescent="0.2">
      <c r="B412" s="444"/>
      <c r="C412" s="444"/>
      <c r="D412" s="444"/>
      <c r="E412" s="444"/>
      <c r="F412" s="444"/>
      <c r="G412" s="444"/>
      <c r="H412" s="444"/>
      <c r="I412" s="444"/>
      <c r="J412" s="444"/>
    </row>
    <row r="413" spans="2:10" x14ac:dyDescent="0.2">
      <c r="B413" s="444"/>
      <c r="C413" s="444"/>
      <c r="D413" s="444"/>
      <c r="E413" s="444"/>
      <c r="F413" s="444"/>
      <c r="G413" s="444"/>
      <c r="H413" s="444"/>
      <c r="I413" s="444"/>
      <c r="J413" s="444"/>
    </row>
    <row r="414" spans="2:10" x14ac:dyDescent="0.2">
      <c r="B414" s="444"/>
      <c r="C414" s="444"/>
      <c r="D414" s="444"/>
      <c r="E414" s="444"/>
      <c r="F414" s="444"/>
      <c r="G414" s="444"/>
      <c r="H414" s="444"/>
      <c r="I414" s="444"/>
      <c r="J414" s="444"/>
    </row>
    <row r="415" spans="2:10" x14ac:dyDescent="0.2">
      <c r="B415" s="444"/>
      <c r="C415" s="444"/>
      <c r="D415" s="444"/>
      <c r="E415" s="444"/>
      <c r="F415" s="444"/>
      <c r="G415" s="444"/>
      <c r="H415" s="444"/>
      <c r="I415" s="444"/>
      <c r="J415" s="444"/>
    </row>
    <row r="416" spans="2:10" x14ac:dyDescent="0.2">
      <c r="B416" s="444"/>
      <c r="C416" s="444"/>
      <c r="D416" s="444"/>
      <c r="E416" s="444"/>
      <c r="F416" s="444"/>
      <c r="G416" s="444"/>
      <c r="H416" s="444"/>
      <c r="I416" s="444"/>
      <c r="J416" s="444"/>
    </row>
    <row r="417" spans="2:10" x14ac:dyDescent="0.2">
      <c r="B417" s="444"/>
      <c r="C417" s="444"/>
      <c r="D417" s="444"/>
      <c r="E417" s="444"/>
      <c r="F417" s="444"/>
      <c r="G417" s="444"/>
      <c r="H417" s="444"/>
      <c r="I417" s="444"/>
      <c r="J417" s="444"/>
    </row>
    <row r="418" spans="2:10" x14ac:dyDescent="0.2">
      <c r="B418" s="444"/>
      <c r="C418" s="444"/>
      <c r="D418" s="444"/>
      <c r="E418" s="444"/>
      <c r="F418" s="444"/>
      <c r="G418" s="444"/>
      <c r="H418" s="444"/>
      <c r="I418" s="444"/>
      <c r="J418" s="444"/>
    </row>
    <row r="419" spans="2:10" x14ac:dyDescent="0.2">
      <c r="B419" s="444"/>
      <c r="C419" s="444"/>
      <c r="D419" s="444"/>
      <c r="E419" s="444"/>
      <c r="F419" s="444"/>
      <c r="G419" s="444"/>
      <c r="H419" s="444"/>
      <c r="I419" s="444"/>
      <c r="J419" s="444"/>
    </row>
    <row r="420" spans="2:10" x14ac:dyDescent="0.2">
      <c r="B420" s="444"/>
      <c r="C420" s="444"/>
      <c r="D420" s="444"/>
      <c r="E420" s="444"/>
      <c r="F420" s="444"/>
      <c r="G420" s="444"/>
      <c r="H420" s="444"/>
      <c r="I420" s="444"/>
      <c r="J420" s="444"/>
    </row>
    <row r="421" spans="2:10" x14ac:dyDescent="0.2">
      <c r="B421" s="444"/>
      <c r="C421" s="444"/>
      <c r="D421" s="444"/>
      <c r="E421" s="444"/>
      <c r="F421" s="444"/>
      <c r="G421" s="444"/>
      <c r="H421" s="444"/>
      <c r="I421" s="444"/>
      <c r="J421" s="444"/>
    </row>
    <row r="422" spans="2:10" x14ac:dyDescent="0.2">
      <c r="B422" s="444"/>
      <c r="C422" s="444"/>
      <c r="D422" s="444"/>
      <c r="E422" s="444"/>
      <c r="F422" s="444"/>
      <c r="G422" s="444"/>
      <c r="H422" s="444"/>
      <c r="I422" s="444"/>
      <c r="J422" s="444"/>
    </row>
    <row r="423" spans="2:10" x14ac:dyDescent="0.2">
      <c r="B423" s="444"/>
      <c r="C423" s="444"/>
      <c r="D423" s="444"/>
      <c r="E423" s="444"/>
      <c r="F423" s="444"/>
      <c r="G423" s="444"/>
      <c r="H423" s="444"/>
      <c r="I423" s="444"/>
      <c r="J423" s="444"/>
    </row>
    <row r="424" spans="2:10" x14ac:dyDescent="0.2">
      <c r="B424" s="444"/>
      <c r="C424" s="444"/>
      <c r="D424" s="444"/>
      <c r="E424" s="444"/>
      <c r="F424" s="444"/>
      <c r="G424" s="444"/>
      <c r="H424" s="444"/>
      <c r="I424" s="444"/>
      <c r="J424" s="444"/>
    </row>
    <row r="425" spans="2:10" x14ac:dyDescent="0.2">
      <c r="B425" s="444"/>
      <c r="C425" s="444"/>
      <c r="D425" s="444"/>
      <c r="E425" s="444"/>
      <c r="F425" s="444"/>
      <c r="G425" s="444"/>
      <c r="H425" s="444"/>
      <c r="I425" s="444"/>
      <c r="J425" s="444"/>
    </row>
    <row r="426" spans="2:10" x14ac:dyDescent="0.2">
      <c r="B426" s="444"/>
      <c r="C426" s="444"/>
      <c r="D426" s="444"/>
      <c r="E426" s="444"/>
      <c r="F426" s="444"/>
      <c r="G426" s="444"/>
      <c r="H426" s="444"/>
      <c r="I426" s="444"/>
      <c r="J426" s="444"/>
    </row>
    <row r="427" spans="2:10" x14ac:dyDescent="0.2">
      <c r="B427" s="444"/>
      <c r="C427" s="444"/>
      <c r="D427" s="444"/>
      <c r="E427" s="444"/>
      <c r="F427" s="444"/>
      <c r="G427" s="444"/>
      <c r="H427" s="444"/>
      <c r="I427" s="444"/>
      <c r="J427" s="444"/>
    </row>
    <row r="428" spans="2:10" x14ac:dyDescent="0.2">
      <c r="B428" s="444"/>
      <c r="C428" s="444"/>
      <c r="D428" s="444"/>
      <c r="E428" s="444"/>
      <c r="F428" s="444"/>
      <c r="G428" s="444"/>
      <c r="H428" s="444"/>
      <c r="I428" s="444"/>
      <c r="J428" s="444"/>
    </row>
    <row r="429" spans="2:10" x14ac:dyDescent="0.2">
      <c r="B429" s="444"/>
      <c r="C429" s="444"/>
      <c r="D429" s="444"/>
      <c r="E429" s="444"/>
      <c r="F429" s="444"/>
      <c r="G429" s="444"/>
      <c r="H429" s="444"/>
      <c r="I429" s="444"/>
      <c r="J429" s="444"/>
    </row>
    <row r="430" spans="2:10" x14ac:dyDescent="0.2">
      <c r="B430" s="444"/>
      <c r="C430" s="444"/>
      <c r="D430" s="444"/>
      <c r="E430" s="444"/>
      <c r="F430" s="444"/>
      <c r="G430" s="444"/>
      <c r="H430" s="444"/>
      <c r="I430" s="444"/>
      <c r="J430" s="444"/>
    </row>
    <row r="431" spans="2:10" x14ac:dyDescent="0.2">
      <c r="B431" s="444"/>
      <c r="C431" s="444"/>
      <c r="D431" s="444"/>
      <c r="E431" s="444"/>
      <c r="F431" s="444"/>
      <c r="G431" s="444"/>
      <c r="H431" s="444"/>
      <c r="I431" s="444"/>
      <c r="J431" s="444"/>
    </row>
    <row r="432" spans="2:10" x14ac:dyDescent="0.2">
      <c r="B432" s="444"/>
      <c r="C432" s="444"/>
      <c r="D432" s="444"/>
      <c r="E432" s="444"/>
      <c r="F432" s="444"/>
      <c r="G432" s="444"/>
      <c r="H432" s="444"/>
      <c r="I432" s="444"/>
      <c r="J432" s="444"/>
    </row>
    <row r="433" spans="2:10" x14ac:dyDescent="0.2">
      <c r="B433" s="444"/>
      <c r="C433" s="444"/>
      <c r="D433" s="444"/>
      <c r="E433" s="444"/>
      <c r="F433" s="444"/>
      <c r="G433" s="444"/>
      <c r="H433" s="444"/>
      <c r="I433" s="444"/>
      <c r="J433" s="444"/>
    </row>
    <row r="434" spans="2:10" x14ac:dyDescent="0.2">
      <c r="B434" s="444"/>
      <c r="C434" s="444"/>
      <c r="D434" s="444"/>
      <c r="E434" s="444"/>
      <c r="F434" s="444"/>
      <c r="G434" s="444"/>
      <c r="H434" s="444"/>
      <c r="I434" s="444"/>
      <c r="J434" s="444"/>
    </row>
    <row r="435" spans="2:10" x14ac:dyDescent="0.2">
      <c r="B435" s="444"/>
      <c r="C435" s="444"/>
      <c r="D435" s="444"/>
      <c r="E435" s="444"/>
      <c r="F435" s="444"/>
      <c r="G435" s="444"/>
      <c r="H435" s="444"/>
      <c r="I435" s="444"/>
      <c r="J435" s="444"/>
    </row>
    <row r="436" spans="2:10" x14ac:dyDescent="0.2">
      <c r="B436" s="444"/>
      <c r="C436" s="444"/>
      <c r="D436" s="444"/>
      <c r="E436" s="444"/>
      <c r="F436" s="444"/>
      <c r="G436" s="444"/>
      <c r="H436" s="444"/>
      <c r="I436" s="444"/>
      <c r="J436" s="444"/>
    </row>
    <row r="437" spans="2:10" x14ac:dyDescent="0.2">
      <c r="B437" s="444"/>
      <c r="C437" s="444"/>
      <c r="D437" s="444"/>
      <c r="E437" s="444"/>
      <c r="F437" s="444"/>
      <c r="G437" s="444"/>
      <c r="H437" s="444"/>
      <c r="I437" s="444"/>
      <c r="J437" s="444"/>
    </row>
    <row r="438" spans="2:10" x14ac:dyDescent="0.2">
      <c r="B438" s="444"/>
      <c r="C438" s="444"/>
      <c r="D438" s="444"/>
      <c r="E438" s="444"/>
      <c r="F438" s="444"/>
      <c r="G438" s="444"/>
      <c r="H438" s="444"/>
      <c r="I438" s="444"/>
      <c r="J438" s="444"/>
    </row>
    <row r="439" spans="2:10" x14ac:dyDescent="0.2">
      <c r="B439" s="444"/>
      <c r="C439" s="444"/>
      <c r="D439" s="444"/>
      <c r="E439" s="444"/>
      <c r="F439" s="444"/>
      <c r="G439" s="444"/>
      <c r="H439" s="444"/>
      <c r="I439" s="444"/>
      <c r="J439" s="444"/>
    </row>
    <row r="440" spans="2:10" x14ac:dyDescent="0.2">
      <c r="B440" s="444"/>
      <c r="C440" s="444"/>
      <c r="D440" s="444"/>
      <c r="E440" s="444"/>
      <c r="F440" s="444"/>
      <c r="G440" s="444"/>
      <c r="H440" s="444"/>
      <c r="I440" s="444"/>
      <c r="J440" s="444"/>
    </row>
    <row r="441" spans="2:10" x14ac:dyDescent="0.2">
      <c r="B441" s="444"/>
      <c r="C441" s="444"/>
      <c r="D441" s="444"/>
      <c r="E441" s="444"/>
      <c r="F441" s="444"/>
      <c r="G441" s="444"/>
      <c r="H441" s="444"/>
      <c r="I441" s="444"/>
      <c r="J441" s="444"/>
    </row>
    <row r="442" spans="2:10" x14ac:dyDescent="0.2">
      <c r="B442" s="444"/>
      <c r="C442" s="444"/>
      <c r="D442" s="444"/>
      <c r="E442" s="444"/>
      <c r="F442" s="444"/>
      <c r="G442" s="444"/>
      <c r="H442" s="444"/>
      <c r="I442" s="444"/>
      <c r="J442" s="444"/>
    </row>
    <row r="443" spans="2:10" x14ac:dyDescent="0.2">
      <c r="B443" s="444"/>
      <c r="C443" s="444"/>
      <c r="D443" s="444"/>
      <c r="E443" s="444"/>
      <c r="F443" s="444"/>
      <c r="G443" s="444"/>
      <c r="H443" s="444"/>
      <c r="I443" s="444"/>
      <c r="J443" s="444"/>
    </row>
    <row r="444" spans="2:10" x14ac:dyDescent="0.2">
      <c r="B444" s="444"/>
      <c r="C444" s="444"/>
      <c r="D444" s="444"/>
      <c r="E444" s="444"/>
      <c r="F444" s="444"/>
      <c r="G444" s="444"/>
      <c r="H444" s="444"/>
      <c r="I444" s="444"/>
      <c r="J444" s="444"/>
    </row>
    <row r="445" spans="2:10" x14ac:dyDescent="0.2">
      <c r="B445" s="444"/>
      <c r="C445" s="444"/>
      <c r="D445" s="444"/>
      <c r="E445" s="444"/>
      <c r="F445" s="444"/>
      <c r="G445" s="444"/>
      <c r="H445" s="444"/>
      <c r="I445" s="444"/>
      <c r="J445" s="444"/>
    </row>
    <row r="446" spans="2:10" x14ac:dyDescent="0.2">
      <c r="B446" s="444"/>
      <c r="C446" s="444"/>
      <c r="D446" s="444"/>
      <c r="E446" s="444"/>
      <c r="F446" s="444"/>
      <c r="G446" s="444"/>
      <c r="H446" s="444"/>
      <c r="I446" s="444"/>
      <c r="J446" s="444"/>
    </row>
    <row r="447" spans="2:10" x14ac:dyDescent="0.2">
      <c r="B447" s="444"/>
      <c r="C447" s="444"/>
      <c r="D447" s="444"/>
      <c r="E447" s="444"/>
      <c r="F447" s="444"/>
      <c r="G447" s="444"/>
      <c r="H447" s="444"/>
      <c r="I447" s="444"/>
      <c r="J447" s="444"/>
    </row>
    <row r="448" spans="2:10" x14ac:dyDescent="0.2">
      <c r="B448" s="444"/>
      <c r="C448" s="444"/>
      <c r="D448" s="444"/>
      <c r="E448" s="444"/>
      <c r="F448" s="444"/>
      <c r="G448" s="444"/>
      <c r="H448" s="444"/>
      <c r="I448" s="444"/>
      <c r="J448" s="444"/>
    </row>
    <row r="449" spans="2:10" x14ac:dyDescent="0.2">
      <c r="B449" s="444"/>
      <c r="C449" s="444"/>
      <c r="D449" s="444"/>
      <c r="E449" s="444"/>
      <c r="F449" s="444"/>
      <c r="G449" s="444"/>
      <c r="H449" s="444"/>
      <c r="I449" s="444"/>
      <c r="J449" s="444"/>
    </row>
    <row r="450" spans="2:10" x14ac:dyDescent="0.2">
      <c r="B450" s="444"/>
      <c r="C450" s="444"/>
      <c r="D450" s="444"/>
      <c r="E450" s="444"/>
      <c r="F450" s="444"/>
      <c r="G450" s="444"/>
      <c r="H450" s="444"/>
      <c r="I450" s="444"/>
      <c r="J450" s="444"/>
    </row>
    <row r="451" spans="2:10" x14ac:dyDescent="0.2">
      <c r="B451" s="444"/>
      <c r="C451" s="444"/>
      <c r="D451" s="444"/>
      <c r="E451" s="444"/>
      <c r="F451" s="444"/>
      <c r="G451" s="444"/>
      <c r="H451" s="444"/>
      <c r="I451" s="444"/>
      <c r="J451" s="444"/>
    </row>
    <row r="452" spans="2:10" x14ac:dyDescent="0.2">
      <c r="B452" s="444"/>
      <c r="C452" s="444"/>
      <c r="D452" s="444"/>
      <c r="E452" s="444"/>
      <c r="F452" s="444"/>
      <c r="G452" s="444"/>
      <c r="H452" s="444"/>
      <c r="I452" s="444"/>
      <c r="J452" s="444"/>
    </row>
    <row r="453" spans="2:10" x14ac:dyDescent="0.2">
      <c r="B453" s="444"/>
      <c r="C453" s="444"/>
      <c r="D453" s="444"/>
      <c r="E453" s="444"/>
      <c r="F453" s="444"/>
      <c r="G453" s="444"/>
      <c r="H453" s="444"/>
      <c r="I453" s="444"/>
      <c r="J453" s="444"/>
    </row>
    <row r="454" spans="2:10" x14ac:dyDescent="0.2">
      <c r="B454" s="444"/>
      <c r="C454" s="444"/>
      <c r="D454" s="444"/>
      <c r="E454" s="444"/>
      <c r="F454" s="444"/>
      <c r="G454" s="444"/>
      <c r="H454" s="444"/>
      <c r="I454" s="444"/>
      <c r="J454" s="444"/>
    </row>
    <row r="455" spans="2:10" x14ac:dyDescent="0.2">
      <c r="B455" s="444"/>
      <c r="C455" s="444"/>
      <c r="D455" s="444"/>
      <c r="E455" s="444"/>
      <c r="F455" s="444"/>
      <c r="G455" s="444"/>
      <c r="H455" s="444"/>
      <c r="I455" s="444"/>
      <c r="J455" s="444"/>
    </row>
    <row r="456" spans="2:10" x14ac:dyDescent="0.2">
      <c r="B456" s="444"/>
      <c r="C456" s="444"/>
      <c r="D456" s="444"/>
      <c r="E456" s="444"/>
      <c r="F456" s="444"/>
      <c r="G456" s="444"/>
      <c r="H456" s="444"/>
      <c r="I456" s="444"/>
      <c r="J456" s="444"/>
    </row>
    <row r="457" spans="2:10" x14ac:dyDescent="0.2">
      <c r="B457" s="444"/>
      <c r="C457" s="444"/>
      <c r="D457" s="444"/>
      <c r="E457" s="444"/>
      <c r="F457" s="444"/>
      <c r="G457" s="444"/>
      <c r="H457" s="444"/>
      <c r="I457" s="444"/>
      <c r="J457" s="444"/>
    </row>
    <row r="458" spans="2:10" x14ac:dyDescent="0.2">
      <c r="B458" s="444"/>
      <c r="C458" s="444"/>
      <c r="D458" s="444"/>
      <c r="E458" s="444"/>
      <c r="F458" s="444"/>
      <c r="G458" s="444"/>
      <c r="H458" s="444"/>
      <c r="I458" s="444"/>
      <c r="J458" s="444"/>
    </row>
    <row r="459" spans="2:10" x14ac:dyDescent="0.2">
      <c r="B459" s="444"/>
      <c r="C459" s="444"/>
      <c r="D459" s="444"/>
      <c r="E459" s="444"/>
      <c r="F459" s="444"/>
      <c r="G459" s="444"/>
      <c r="H459" s="444"/>
      <c r="I459" s="444"/>
      <c r="J459" s="444"/>
    </row>
    <row r="460" spans="2:10" x14ac:dyDescent="0.2">
      <c r="B460" s="444"/>
      <c r="C460" s="444"/>
      <c r="D460" s="444"/>
      <c r="E460" s="444"/>
      <c r="F460" s="444"/>
      <c r="G460" s="444"/>
      <c r="H460" s="444"/>
      <c r="I460" s="444"/>
      <c r="J460" s="444"/>
    </row>
    <row r="461" spans="2:10" x14ac:dyDescent="0.2">
      <c r="B461" s="444"/>
      <c r="C461" s="444"/>
      <c r="D461" s="444"/>
      <c r="E461" s="444"/>
      <c r="F461" s="444"/>
      <c r="G461" s="444"/>
      <c r="H461" s="444"/>
      <c r="I461" s="444"/>
      <c r="J461" s="444"/>
    </row>
    <row r="462" spans="2:10" x14ac:dyDescent="0.2">
      <c r="B462" s="444"/>
      <c r="C462" s="444"/>
      <c r="D462" s="444"/>
      <c r="E462" s="444"/>
      <c r="F462" s="444"/>
      <c r="G462" s="444"/>
      <c r="H462" s="444"/>
      <c r="I462" s="444"/>
      <c r="J462" s="444"/>
    </row>
    <row r="463" spans="2:10" x14ac:dyDescent="0.2">
      <c r="B463" s="444"/>
      <c r="C463" s="444"/>
      <c r="D463" s="444"/>
      <c r="E463" s="444"/>
      <c r="F463" s="444"/>
      <c r="G463" s="444"/>
      <c r="H463" s="444"/>
      <c r="I463" s="444"/>
      <c r="J463" s="444"/>
    </row>
    <row r="464" spans="2:10" x14ac:dyDescent="0.2">
      <c r="B464" s="444"/>
      <c r="C464" s="444"/>
      <c r="D464" s="444"/>
      <c r="E464" s="444"/>
      <c r="F464" s="444"/>
      <c r="G464" s="444"/>
      <c r="H464" s="444"/>
      <c r="I464" s="444"/>
      <c r="J464" s="444"/>
    </row>
    <row r="465" spans="2:10" x14ac:dyDescent="0.2">
      <c r="B465" s="444"/>
      <c r="C465" s="444"/>
      <c r="D465" s="444"/>
      <c r="E465" s="444"/>
      <c r="F465" s="444"/>
      <c r="G465" s="444"/>
      <c r="H465" s="444"/>
      <c r="I465" s="444"/>
      <c r="J465" s="444"/>
    </row>
    <row r="466" spans="2:10" x14ac:dyDescent="0.2">
      <c r="B466" s="444"/>
      <c r="C466" s="444"/>
      <c r="D466" s="444"/>
      <c r="E466" s="444"/>
      <c r="F466" s="444"/>
      <c r="G466" s="444"/>
      <c r="H466" s="444"/>
      <c r="I466" s="444"/>
      <c r="J466" s="444"/>
    </row>
    <row r="467" spans="2:10" x14ac:dyDescent="0.2">
      <c r="B467" s="444"/>
      <c r="C467" s="444"/>
      <c r="D467" s="444"/>
      <c r="E467" s="444"/>
      <c r="F467" s="444"/>
      <c r="G467" s="444"/>
      <c r="H467" s="444"/>
      <c r="I467" s="444"/>
      <c r="J467" s="444"/>
    </row>
    <row r="468" spans="2:10" x14ac:dyDescent="0.2">
      <c r="B468" s="444"/>
      <c r="C468" s="444"/>
      <c r="D468" s="444"/>
      <c r="E468" s="444"/>
      <c r="F468" s="444"/>
      <c r="G468" s="444"/>
      <c r="H468" s="444"/>
      <c r="I468" s="444"/>
      <c r="J468" s="444"/>
    </row>
    <row r="469" spans="2:10" x14ac:dyDescent="0.2">
      <c r="B469" s="444"/>
      <c r="C469" s="444"/>
      <c r="D469" s="444"/>
      <c r="E469" s="444"/>
      <c r="F469" s="444"/>
      <c r="G469" s="444"/>
      <c r="H469" s="444"/>
      <c r="I469" s="444"/>
      <c r="J469" s="444"/>
    </row>
    <row r="470" spans="2:10" x14ac:dyDescent="0.2">
      <c r="B470" s="444"/>
      <c r="C470" s="444"/>
      <c r="D470" s="444"/>
      <c r="E470" s="444"/>
      <c r="F470" s="444"/>
      <c r="G470" s="444"/>
      <c r="H470" s="444"/>
      <c r="I470" s="444"/>
      <c r="J470" s="444"/>
    </row>
    <row r="471" spans="2:10" x14ac:dyDescent="0.2">
      <c r="B471" s="444"/>
      <c r="C471" s="444"/>
      <c r="D471" s="444"/>
      <c r="E471" s="444"/>
      <c r="F471" s="444"/>
      <c r="G471" s="444"/>
      <c r="H471" s="444"/>
      <c r="I471" s="444"/>
      <c r="J471" s="444"/>
    </row>
    <row r="472" spans="2:10" x14ac:dyDescent="0.2">
      <c r="B472" s="444"/>
      <c r="C472" s="444"/>
      <c r="D472" s="444"/>
      <c r="E472" s="444"/>
      <c r="F472" s="444"/>
      <c r="G472" s="444"/>
      <c r="H472" s="444"/>
      <c r="I472" s="444"/>
      <c r="J472" s="444"/>
    </row>
    <row r="473" spans="2:10" x14ac:dyDescent="0.2">
      <c r="B473" s="444"/>
      <c r="C473" s="444"/>
      <c r="D473" s="444"/>
      <c r="E473" s="444"/>
      <c r="F473" s="444"/>
      <c r="G473" s="444"/>
      <c r="H473" s="444"/>
      <c r="I473" s="444"/>
      <c r="J473" s="444"/>
    </row>
    <row r="474" spans="2:10" x14ac:dyDescent="0.2">
      <c r="B474" s="444"/>
      <c r="C474" s="444"/>
      <c r="D474" s="444"/>
      <c r="E474" s="444"/>
      <c r="F474" s="444"/>
      <c r="G474" s="444"/>
      <c r="H474" s="444"/>
      <c r="I474" s="444"/>
      <c r="J474" s="444"/>
    </row>
    <row r="475" spans="2:10" x14ac:dyDescent="0.2">
      <c r="B475" s="444"/>
      <c r="C475" s="444"/>
      <c r="D475" s="444"/>
      <c r="E475" s="444"/>
      <c r="F475" s="444"/>
      <c r="G475" s="444"/>
      <c r="H475" s="444"/>
      <c r="I475" s="444"/>
      <c r="J475" s="444"/>
    </row>
    <row r="476" spans="2:10" x14ac:dyDescent="0.2">
      <c r="B476" s="444"/>
      <c r="C476" s="444"/>
      <c r="D476" s="444"/>
      <c r="E476" s="444"/>
      <c r="F476" s="444"/>
      <c r="G476" s="444"/>
      <c r="H476" s="444"/>
      <c r="I476" s="444"/>
      <c r="J476" s="444"/>
    </row>
    <row r="477" spans="2:10" x14ac:dyDescent="0.2">
      <c r="B477" s="444"/>
      <c r="C477" s="444"/>
      <c r="D477" s="444"/>
      <c r="E477" s="444"/>
      <c r="F477" s="444"/>
      <c r="G477" s="444"/>
      <c r="H477" s="444"/>
      <c r="I477" s="444"/>
      <c r="J477" s="444"/>
    </row>
    <row r="478" spans="2:10" x14ac:dyDescent="0.2">
      <c r="B478" s="444"/>
      <c r="C478" s="444"/>
      <c r="D478" s="444"/>
      <c r="E478" s="444"/>
      <c r="F478" s="444"/>
      <c r="G478" s="444"/>
      <c r="H478" s="444"/>
      <c r="I478" s="444"/>
      <c r="J478" s="444"/>
    </row>
    <row r="479" spans="2:10" x14ac:dyDescent="0.2">
      <c r="B479" s="444"/>
      <c r="C479" s="444"/>
      <c r="D479" s="444"/>
      <c r="E479" s="444"/>
      <c r="F479" s="444"/>
      <c r="G479" s="444"/>
      <c r="H479" s="444"/>
      <c r="I479" s="444"/>
      <c r="J479" s="444"/>
    </row>
    <row r="480" spans="2:10" x14ac:dyDescent="0.2">
      <c r="B480" s="444"/>
      <c r="C480" s="444"/>
      <c r="D480" s="444"/>
      <c r="E480" s="444"/>
      <c r="F480" s="444"/>
      <c r="G480" s="444"/>
      <c r="H480" s="444"/>
      <c r="I480" s="444"/>
      <c r="J480" s="444"/>
    </row>
    <row r="481" spans="2:10" x14ac:dyDescent="0.2">
      <c r="B481" s="444"/>
      <c r="C481" s="444"/>
      <c r="D481" s="444"/>
      <c r="E481" s="444"/>
      <c r="F481" s="444"/>
      <c r="G481" s="444"/>
      <c r="H481" s="444"/>
      <c r="I481" s="444"/>
      <c r="J481" s="444"/>
    </row>
    <row r="482" spans="2:10" x14ac:dyDescent="0.2">
      <c r="B482" s="444"/>
      <c r="C482" s="444"/>
      <c r="D482" s="444"/>
      <c r="E482" s="444"/>
      <c r="F482" s="444"/>
      <c r="G482" s="444"/>
      <c r="H482" s="444"/>
      <c r="I482" s="444"/>
      <c r="J482" s="444"/>
    </row>
    <row r="483" spans="2:10" x14ac:dyDescent="0.2">
      <c r="B483" s="444"/>
      <c r="C483" s="444"/>
      <c r="D483" s="444"/>
      <c r="E483" s="444"/>
      <c r="F483" s="444"/>
      <c r="G483" s="444"/>
      <c r="H483" s="444"/>
      <c r="I483" s="444"/>
      <c r="J483" s="444"/>
    </row>
    <row r="484" spans="2:10" x14ac:dyDescent="0.2">
      <c r="B484" s="444"/>
      <c r="C484" s="444"/>
      <c r="D484" s="444"/>
      <c r="E484" s="444"/>
      <c r="F484" s="444"/>
      <c r="G484" s="444"/>
      <c r="H484" s="444"/>
      <c r="I484" s="444"/>
      <c r="J484" s="444"/>
    </row>
    <row r="485" spans="2:10" x14ac:dyDescent="0.2">
      <c r="B485" s="444"/>
      <c r="C485" s="444"/>
      <c r="D485" s="444"/>
      <c r="E485" s="444"/>
      <c r="F485" s="444"/>
      <c r="G485" s="444"/>
      <c r="H485" s="444"/>
      <c r="I485" s="444"/>
      <c r="J485" s="444"/>
    </row>
    <row r="486" spans="2:10" x14ac:dyDescent="0.2">
      <c r="B486" s="444"/>
      <c r="C486" s="444"/>
      <c r="D486" s="444"/>
      <c r="E486" s="444"/>
      <c r="F486" s="444"/>
      <c r="G486" s="444"/>
      <c r="H486" s="444"/>
      <c r="I486" s="444"/>
      <c r="J486" s="444"/>
    </row>
    <row r="487" spans="2:10" x14ac:dyDescent="0.2">
      <c r="B487" s="444"/>
      <c r="C487" s="444"/>
      <c r="D487" s="444"/>
      <c r="E487" s="444"/>
      <c r="F487" s="444"/>
      <c r="G487" s="444"/>
      <c r="H487" s="444"/>
      <c r="I487" s="444"/>
      <c r="J487" s="444"/>
    </row>
    <row r="488" spans="2:10" x14ac:dyDescent="0.2">
      <c r="B488" s="444"/>
      <c r="C488" s="444"/>
      <c r="D488" s="444"/>
      <c r="E488" s="444"/>
      <c r="F488" s="444"/>
      <c r="G488" s="444"/>
      <c r="H488" s="444"/>
      <c r="I488" s="444"/>
      <c r="J488" s="444"/>
    </row>
    <row r="489" spans="2:10" x14ac:dyDescent="0.2">
      <c r="B489" s="444"/>
      <c r="C489" s="444"/>
      <c r="D489" s="444"/>
      <c r="E489" s="444"/>
      <c r="F489" s="444"/>
      <c r="G489" s="444"/>
      <c r="H489" s="444"/>
      <c r="I489" s="444"/>
      <c r="J489" s="444"/>
    </row>
    <row r="490" spans="2:10" x14ac:dyDescent="0.2">
      <c r="B490" s="444"/>
      <c r="C490" s="444"/>
      <c r="D490" s="444"/>
      <c r="E490" s="444"/>
      <c r="F490" s="444"/>
      <c r="G490" s="444"/>
      <c r="H490" s="444"/>
      <c r="I490" s="444"/>
      <c r="J490" s="444"/>
    </row>
    <row r="491" spans="2:10" x14ac:dyDescent="0.2">
      <c r="B491" s="444"/>
      <c r="C491" s="444"/>
      <c r="D491" s="444"/>
      <c r="E491" s="444"/>
      <c r="F491" s="444"/>
      <c r="G491" s="444"/>
      <c r="H491" s="444"/>
      <c r="I491" s="444"/>
      <c r="J491" s="444"/>
    </row>
    <row r="492" spans="2:10" x14ac:dyDescent="0.2">
      <c r="B492" s="444"/>
      <c r="C492" s="444"/>
      <c r="D492" s="444"/>
      <c r="E492" s="444"/>
      <c r="F492" s="444"/>
      <c r="G492" s="444"/>
      <c r="H492" s="444"/>
      <c r="I492" s="444"/>
      <c r="J492" s="444"/>
    </row>
    <row r="493" spans="2:10" x14ac:dyDescent="0.2">
      <c r="B493" s="444"/>
      <c r="C493" s="444"/>
      <c r="D493" s="444"/>
      <c r="E493" s="444"/>
      <c r="F493" s="444"/>
      <c r="G493" s="444"/>
      <c r="H493" s="444"/>
      <c r="I493" s="444"/>
      <c r="J493" s="444"/>
    </row>
    <row r="494" spans="2:10" x14ac:dyDescent="0.2">
      <c r="B494" s="444"/>
      <c r="C494" s="444"/>
      <c r="D494" s="444"/>
      <c r="E494" s="444"/>
      <c r="F494" s="444"/>
      <c r="G494" s="444"/>
      <c r="H494" s="444"/>
      <c r="I494" s="444"/>
      <c r="J494" s="444"/>
    </row>
    <row r="495" spans="2:10" x14ac:dyDescent="0.2">
      <c r="B495" s="444"/>
      <c r="C495" s="444"/>
      <c r="D495" s="444"/>
      <c r="E495" s="444"/>
      <c r="F495" s="444"/>
      <c r="G495" s="444"/>
      <c r="H495" s="444"/>
      <c r="I495" s="444"/>
      <c r="J495" s="444"/>
    </row>
    <row r="496" spans="2:10" x14ac:dyDescent="0.2">
      <c r="B496" s="444"/>
      <c r="C496" s="444"/>
      <c r="D496" s="444"/>
      <c r="E496" s="444"/>
      <c r="F496" s="444"/>
      <c r="G496" s="444"/>
      <c r="H496" s="444"/>
      <c r="I496" s="444"/>
      <c r="J496" s="444"/>
    </row>
    <row r="497" spans="2:10" x14ac:dyDescent="0.2">
      <c r="B497" s="444"/>
      <c r="C497" s="444"/>
      <c r="D497" s="444"/>
      <c r="E497" s="444"/>
      <c r="F497" s="444"/>
      <c r="G497" s="444"/>
      <c r="H497" s="444"/>
      <c r="I497" s="444"/>
      <c r="J497" s="444"/>
    </row>
    <row r="498" spans="2:10" x14ac:dyDescent="0.2">
      <c r="B498" s="444"/>
      <c r="C498" s="444"/>
      <c r="D498" s="444"/>
      <c r="E498" s="444"/>
      <c r="F498" s="444"/>
      <c r="G498" s="444"/>
      <c r="H498" s="444"/>
      <c r="I498" s="444"/>
      <c r="J498" s="444"/>
    </row>
    <row r="499" spans="2:10" x14ac:dyDescent="0.2">
      <c r="B499" s="444"/>
      <c r="C499" s="444"/>
      <c r="D499" s="444"/>
      <c r="E499" s="444"/>
      <c r="F499" s="444"/>
      <c r="G499" s="444"/>
      <c r="H499" s="444"/>
      <c r="I499" s="444"/>
      <c r="J499" s="444"/>
    </row>
    <row r="500" spans="2:10" x14ac:dyDescent="0.2">
      <c r="B500" s="444"/>
      <c r="C500" s="444"/>
      <c r="D500" s="444"/>
      <c r="E500" s="444"/>
      <c r="F500" s="444"/>
      <c r="G500" s="444"/>
      <c r="H500" s="444"/>
      <c r="I500" s="444"/>
      <c r="J500" s="444"/>
    </row>
    <row r="501" spans="2:10" x14ac:dyDescent="0.2">
      <c r="B501" s="444"/>
      <c r="C501" s="444"/>
      <c r="D501" s="444"/>
      <c r="E501" s="444"/>
      <c r="F501" s="444"/>
      <c r="G501" s="444"/>
      <c r="H501" s="444"/>
      <c r="I501" s="444"/>
      <c r="J501" s="444"/>
    </row>
    <row r="502" spans="2:10" x14ac:dyDescent="0.2">
      <c r="B502" s="444"/>
      <c r="C502" s="444"/>
      <c r="D502" s="444"/>
      <c r="E502" s="444"/>
      <c r="F502" s="444"/>
      <c r="G502" s="444"/>
      <c r="H502" s="444"/>
      <c r="I502" s="444"/>
      <c r="J502" s="444"/>
    </row>
    <row r="503" spans="2:10" x14ac:dyDescent="0.2">
      <c r="B503" s="444"/>
      <c r="C503" s="444"/>
      <c r="D503" s="444"/>
      <c r="E503" s="444"/>
      <c r="F503" s="444"/>
      <c r="G503" s="444"/>
      <c r="H503" s="444"/>
      <c r="I503" s="444"/>
      <c r="J503" s="444"/>
    </row>
    <row r="504" spans="2:10" x14ac:dyDescent="0.2">
      <c r="B504" s="444"/>
      <c r="C504" s="444"/>
      <c r="D504" s="444"/>
      <c r="E504" s="444"/>
      <c r="F504" s="444"/>
      <c r="G504" s="444"/>
      <c r="H504" s="444"/>
      <c r="I504" s="444"/>
      <c r="J504" s="444"/>
    </row>
    <row r="505" spans="2:10" x14ac:dyDescent="0.2">
      <c r="B505" s="444"/>
      <c r="C505" s="444"/>
      <c r="D505" s="444"/>
      <c r="E505" s="444"/>
      <c r="F505" s="444"/>
      <c r="G505" s="444"/>
      <c r="H505" s="444"/>
      <c r="I505" s="444"/>
      <c r="J505" s="444"/>
    </row>
    <row r="506" spans="2:10" x14ac:dyDescent="0.2">
      <c r="B506" s="444"/>
      <c r="C506" s="444"/>
      <c r="D506" s="444"/>
      <c r="E506" s="444"/>
      <c r="F506" s="444"/>
      <c r="G506" s="444"/>
      <c r="H506" s="444"/>
      <c r="I506" s="444"/>
      <c r="J506" s="444"/>
    </row>
    <row r="507" spans="2:10" x14ac:dyDescent="0.2">
      <c r="B507" s="444"/>
      <c r="C507" s="444"/>
      <c r="D507" s="444"/>
      <c r="E507" s="444"/>
      <c r="F507" s="444"/>
      <c r="G507" s="444"/>
      <c r="H507" s="444"/>
      <c r="I507" s="444"/>
      <c r="J507" s="444"/>
    </row>
    <row r="508" spans="2:10" x14ac:dyDescent="0.2">
      <c r="B508" s="444"/>
      <c r="C508" s="444"/>
      <c r="D508" s="444"/>
      <c r="E508" s="444"/>
      <c r="F508" s="444"/>
      <c r="G508" s="444"/>
      <c r="H508" s="444"/>
      <c r="I508" s="444"/>
      <c r="J508" s="444"/>
    </row>
    <row r="509" spans="2:10" x14ac:dyDescent="0.2">
      <c r="B509" s="444"/>
      <c r="C509" s="444"/>
      <c r="D509" s="444"/>
      <c r="E509" s="444"/>
      <c r="F509" s="444"/>
      <c r="G509" s="444"/>
      <c r="H509" s="444"/>
      <c r="I509" s="444"/>
      <c r="J509" s="444"/>
    </row>
    <row r="510" spans="2:10" x14ac:dyDescent="0.2">
      <c r="B510" s="444"/>
      <c r="C510" s="444"/>
      <c r="D510" s="444"/>
      <c r="E510" s="444"/>
      <c r="F510" s="444"/>
      <c r="G510" s="444"/>
      <c r="H510" s="444"/>
      <c r="I510" s="444"/>
      <c r="J510" s="444"/>
    </row>
    <row r="511" spans="2:10" x14ac:dyDescent="0.2">
      <c r="B511" s="444"/>
      <c r="C511" s="444"/>
      <c r="D511" s="444"/>
      <c r="E511" s="444"/>
      <c r="F511" s="444"/>
      <c r="G511" s="444"/>
      <c r="H511" s="444"/>
      <c r="I511" s="444"/>
      <c r="J511" s="444"/>
    </row>
    <row r="512" spans="2:10" x14ac:dyDescent="0.2">
      <c r="B512" s="444"/>
      <c r="C512" s="444"/>
      <c r="D512" s="444"/>
      <c r="E512" s="444"/>
      <c r="F512" s="444"/>
      <c r="G512" s="444"/>
      <c r="H512" s="444"/>
      <c r="I512" s="444"/>
      <c r="J512" s="444"/>
    </row>
    <row r="513" spans="2:10" x14ac:dyDescent="0.2">
      <c r="B513" s="444"/>
      <c r="C513" s="444"/>
      <c r="D513" s="444"/>
      <c r="E513" s="444"/>
      <c r="F513" s="444"/>
      <c r="G513" s="444"/>
      <c r="H513" s="444"/>
      <c r="I513" s="444"/>
      <c r="J513" s="444"/>
    </row>
    <row r="514" spans="2:10" x14ac:dyDescent="0.2">
      <c r="B514" s="444"/>
      <c r="C514" s="444"/>
      <c r="D514" s="444"/>
      <c r="E514" s="444"/>
      <c r="F514" s="444"/>
      <c r="G514" s="444"/>
      <c r="H514" s="444"/>
      <c r="I514" s="444"/>
      <c r="J514" s="444"/>
    </row>
    <row r="515" spans="2:10" x14ac:dyDescent="0.2">
      <c r="B515" s="444"/>
      <c r="C515" s="444"/>
      <c r="D515" s="444"/>
      <c r="E515" s="444"/>
      <c r="F515" s="444"/>
      <c r="G515" s="444"/>
      <c r="H515" s="444"/>
      <c r="I515" s="444"/>
      <c r="J515" s="444"/>
    </row>
    <row r="516" spans="2:10" x14ac:dyDescent="0.2">
      <c r="B516" s="444"/>
      <c r="C516" s="444"/>
      <c r="D516" s="444"/>
      <c r="E516" s="444"/>
      <c r="F516" s="444"/>
      <c r="G516" s="444"/>
      <c r="H516" s="444"/>
      <c r="I516" s="444"/>
      <c r="J516" s="444"/>
    </row>
    <row r="517" spans="2:10" x14ac:dyDescent="0.2">
      <c r="B517" s="444"/>
      <c r="C517" s="444"/>
      <c r="D517" s="444"/>
      <c r="E517" s="444"/>
      <c r="F517" s="444"/>
      <c r="G517" s="444"/>
      <c r="H517" s="444"/>
      <c r="I517" s="444"/>
      <c r="J517" s="444"/>
    </row>
    <row r="518" spans="2:10" x14ac:dyDescent="0.2">
      <c r="B518" s="444"/>
      <c r="C518" s="444"/>
      <c r="D518" s="444"/>
      <c r="E518" s="444"/>
      <c r="F518" s="444"/>
      <c r="G518" s="444"/>
      <c r="H518" s="444"/>
      <c r="I518" s="444"/>
      <c r="J518" s="444"/>
    </row>
    <row r="519" spans="2:10" x14ac:dyDescent="0.2">
      <c r="B519" s="444"/>
      <c r="C519" s="444"/>
      <c r="D519" s="444"/>
      <c r="E519" s="444"/>
      <c r="F519" s="444"/>
      <c r="G519" s="444"/>
      <c r="H519" s="444"/>
      <c r="I519" s="444"/>
      <c r="J519" s="444"/>
    </row>
    <row r="520" spans="2:10" x14ac:dyDescent="0.2">
      <c r="B520" s="444"/>
      <c r="C520" s="444"/>
      <c r="D520" s="444"/>
      <c r="E520" s="444"/>
      <c r="F520" s="444"/>
      <c r="G520" s="444"/>
      <c r="H520" s="444"/>
      <c r="I520" s="444"/>
      <c r="J520" s="444"/>
    </row>
    <row r="521" spans="2:10" x14ac:dyDescent="0.2">
      <c r="B521" s="444"/>
      <c r="C521" s="444"/>
      <c r="D521" s="444"/>
      <c r="E521" s="444"/>
      <c r="F521" s="444"/>
      <c r="G521" s="444"/>
      <c r="H521" s="444"/>
      <c r="I521" s="444"/>
      <c r="J521" s="444"/>
    </row>
    <row r="522" spans="2:10" x14ac:dyDescent="0.2">
      <c r="B522" s="444"/>
      <c r="C522" s="444"/>
      <c r="D522" s="444"/>
      <c r="E522" s="444"/>
      <c r="F522" s="444"/>
      <c r="G522" s="444"/>
      <c r="H522" s="444"/>
      <c r="I522" s="444"/>
      <c r="J522" s="444"/>
    </row>
    <row r="523" spans="2:10" x14ac:dyDescent="0.2">
      <c r="B523" s="444"/>
      <c r="C523" s="444"/>
      <c r="D523" s="444"/>
      <c r="E523" s="444"/>
      <c r="F523" s="444"/>
      <c r="G523" s="444"/>
      <c r="H523" s="444"/>
      <c r="I523" s="444"/>
      <c r="J523" s="444"/>
    </row>
    <row r="524" spans="2:10" x14ac:dyDescent="0.2">
      <c r="B524" s="444"/>
      <c r="C524" s="444"/>
      <c r="D524" s="444"/>
      <c r="E524" s="444"/>
      <c r="F524" s="444"/>
      <c r="G524" s="444"/>
      <c r="H524" s="444"/>
      <c r="I524" s="444"/>
      <c r="J524" s="444"/>
    </row>
    <row r="525" spans="2:10" x14ac:dyDescent="0.2">
      <c r="B525" s="444"/>
      <c r="C525" s="444"/>
      <c r="D525" s="444"/>
      <c r="E525" s="444"/>
      <c r="F525" s="444"/>
      <c r="G525" s="444"/>
      <c r="H525" s="444"/>
      <c r="I525" s="444"/>
      <c r="J525" s="444"/>
    </row>
    <row r="526" spans="2:10" x14ac:dyDescent="0.2">
      <c r="B526" s="444"/>
      <c r="C526" s="444"/>
      <c r="D526" s="444"/>
      <c r="E526" s="444"/>
      <c r="F526" s="444"/>
      <c r="G526" s="444"/>
      <c r="H526" s="444"/>
      <c r="I526" s="444"/>
      <c r="J526" s="444"/>
    </row>
    <row r="527" spans="2:10" x14ac:dyDescent="0.2">
      <c r="B527" s="444"/>
      <c r="C527" s="444"/>
      <c r="D527" s="444"/>
      <c r="E527" s="444"/>
      <c r="F527" s="444"/>
      <c r="G527" s="444"/>
      <c r="H527" s="444"/>
      <c r="I527" s="444"/>
      <c r="J527" s="444"/>
    </row>
    <row r="528" spans="2:10" x14ac:dyDescent="0.2">
      <c r="B528" s="444"/>
      <c r="C528" s="444"/>
      <c r="D528" s="444"/>
      <c r="E528" s="444"/>
      <c r="F528" s="444"/>
      <c r="G528" s="444"/>
      <c r="H528" s="444"/>
      <c r="I528" s="444"/>
      <c r="J528" s="444"/>
    </row>
    <row r="529" spans="2:10" x14ac:dyDescent="0.2">
      <c r="B529" s="444"/>
      <c r="C529" s="444"/>
      <c r="D529" s="444"/>
      <c r="E529" s="444"/>
      <c r="F529" s="444"/>
      <c r="G529" s="444"/>
      <c r="H529" s="444"/>
      <c r="I529" s="444"/>
      <c r="J529" s="444"/>
    </row>
    <row r="530" spans="2:10" x14ac:dyDescent="0.2">
      <c r="B530" s="444"/>
      <c r="C530" s="444"/>
      <c r="D530" s="444"/>
      <c r="E530" s="444"/>
      <c r="F530" s="444"/>
      <c r="G530" s="444"/>
      <c r="H530" s="444"/>
      <c r="I530" s="444"/>
      <c r="J530" s="444"/>
    </row>
    <row r="531" spans="2:10" x14ac:dyDescent="0.2">
      <c r="B531" s="444"/>
      <c r="C531" s="444"/>
      <c r="D531" s="444"/>
      <c r="E531" s="444"/>
      <c r="F531" s="444"/>
      <c r="G531" s="444"/>
      <c r="H531" s="444"/>
      <c r="I531" s="444"/>
      <c r="J531" s="444"/>
    </row>
    <row r="532" spans="2:10" x14ac:dyDescent="0.2">
      <c r="B532" s="444"/>
      <c r="C532" s="444"/>
      <c r="D532" s="444"/>
      <c r="E532" s="444"/>
      <c r="F532" s="444"/>
      <c r="G532" s="444"/>
      <c r="H532" s="444"/>
      <c r="I532" s="444"/>
      <c r="J532" s="444"/>
    </row>
    <row r="533" spans="2:10" x14ac:dyDescent="0.2">
      <c r="B533" s="444"/>
      <c r="C533" s="444"/>
      <c r="D533" s="444"/>
      <c r="E533" s="444"/>
      <c r="F533" s="444"/>
      <c r="G533" s="444"/>
      <c r="H533" s="444"/>
      <c r="I533" s="444"/>
      <c r="J533" s="444"/>
    </row>
    <row r="534" spans="2:10" x14ac:dyDescent="0.2">
      <c r="B534" s="444"/>
      <c r="C534" s="444"/>
      <c r="D534" s="444"/>
      <c r="E534" s="444"/>
      <c r="F534" s="444"/>
      <c r="G534" s="444"/>
      <c r="H534" s="444"/>
      <c r="I534" s="444"/>
      <c r="J534" s="444"/>
    </row>
    <row r="535" spans="2:10" x14ac:dyDescent="0.2">
      <c r="B535" s="444"/>
      <c r="C535" s="444"/>
      <c r="D535" s="444"/>
      <c r="E535" s="444"/>
      <c r="F535" s="444"/>
      <c r="G535" s="444"/>
      <c r="H535" s="444"/>
      <c r="I535" s="444"/>
      <c r="J535" s="444"/>
    </row>
    <row r="536" spans="2:10" x14ac:dyDescent="0.2">
      <c r="B536" s="444"/>
      <c r="C536" s="444"/>
      <c r="D536" s="444"/>
      <c r="E536" s="444"/>
      <c r="F536" s="444"/>
      <c r="G536" s="444"/>
      <c r="H536" s="444"/>
      <c r="I536" s="444"/>
      <c r="J536" s="444"/>
    </row>
    <row r="537" spans="2:10" x14ac:dyDescent="0.2">
      <c r="B537" s="444"/>
      <c r="C537" s="444"/>
      <c r="D537" s="444"/>
      <c r="E537" s="444"/>
      <c r="F537" s="444"/>
      <c r="G537" s="444"/>
      <c r="H537" s="444"/>
      <c r="I537" s="444"/>
      <c r="J537" s="444"/>
    </row>
    <row r="538" spans="2:10" x14ac:dyDescent="0.2">
      <c r="B538" s="444"/>
      <c r="C538" s="444"/>
      <c r="D538" s="444"/>
      <c r="E538" s="444"/>
      <c r="F538" s="444"/>
      <c r="G538" s="444"/>
      <c r="H538" s="444"/>
      <c r="I538" s="444"/>
      <c r="J538" s="444"/>
    </row>
    <row r="539" spans="2:10" x14ac:dyDescent="0.2">
      <c r="B539" s="444"/>
      <c r="C539" s="444"/>
      <c r="D539" s="444"/>
      <c r="E539" s="444"/>
      <c r="F539" s="444"/>
      <c r="G539" s="444"/>
      <c r="H539" s="444"/>
      <c r="I539" s="444"/>
      <c r="J539" s="444"/>
    </row>
    <row r="540" spans="2:10" x14ac:dyDescent="0.2">
      <c r="B540" s="444"/>
      <c r="C540" s="444"/>
      <c r="D540" s="444"/>
      <c r="E540" s="444"/>
      <c r="F540" s="444"/>
      <c r="G540" s="444"/>
      <c r="H540" s="444"/>
      <c r="I540" s="444"/>
      <c r="J540" s="444"/>
    </row>
    <row r="541" spans="2:10" x14ac:dyDescent="0.2">
      <c r="B541" s="444"/>
      <c r="C541" s="444"/>
      <c r="D541" s="444"/>
      <c r="E541" s="444"/>
      <c r="F541" s="444"/>
      <c r="G541" s="444"/>
      <c r="H541" s="444"/>
      <c r="I541" s="444"/>
      <c r="J541" s="444"/>
    </row>
    <row r="542" spans="2:10" x14ac:dyDescent="0.2">
      <c r="B542" s="444"/>
      <c r="C542" s="444"/>
      <c r="D542" s="444"/>
      <c r="E542" s="444"/>
      <c r="F542" s="444"/>
      <c r="G542" s="444"/>
      <c r="H542" s="444"/>
      <c r="I542" s="444"/>
      <c r="J542" s="444"/>
    </row>
    <row r="543" spans="2:10" x14ac:dyDescent="0.2">
      <c r="B543" s="444"/>
      <c r="C543" s="444"/>
      <c r="D543" s="444"/>
      <c r="E543" s="444"/>
      <c r="F543" s="444"/>
      <c r="G543" s="444"/>
      <c r="H543" s="444"/>
      <c r="I543" s="444"/>
      <c r="J543" s="444"/>
    </row>
    <row r="544" spans="2:10" x14ac:dyDescent="0.2">
      <c r="B544" s="444"/>
      <c r="C544" s="444"/>
      <c r="D544" s="444"/>
      <c r="E544" s="444"/>
      <c r="F544" s="444"/>
      <c r="G544" s="444"/>
      <c r="H544" s="444"/>
      <c r="I544" s="444"/>
      <c r="J544" s="444"/>
    </row>
    <row r="545" spans="2:10" x14ac:dyDescent="0.2">
      <c r="B545" s="444"/>
      <c r="C545" s="444"/>
      <c r="D545" s="444"/>
      <c r="E545" s="444"/>
      <c r="F545" s="444"/>
      <c r="G545" s="444"/>
      <c r="H545" s="444"/>
      <c r="I545" s="444"/>
      <c r="J545" s="444"/>
    </row>
    <row r="546" spans="2:10" x14ac:dyDescent="0.2">
      <c r="B546" s="444"/>
      <c r="C546" s="444"/>
      <c r="D546" s="444"/>
      <c r="E546" s="444"/>
      <c r="F546" s="444"/>
      <c r="G546" s="444"/>
      <c r="H546" s="444"/>
      <c r="I546" s="444"/>
      <c r="J546" s="444"/>
    </row>
    <row r="547" spans="2:10" x14ac:dyDescent="0.2">
      <c r="B547" s="444"/>
      <c r="C547" s="444"/>
      <c r="D547" s="444"/>
      <c r="E547" s="444"/>
      <c r="F547" s="444"/>
      <c r="G547" s="444"/>
      <c r="H547" s="444"/>
      <c r="I547" s="444"/>
      <c r="J547" s="444"/>
    </row>
    <row r="548" spans="2:10" x14ac:dyDescent="0.2">
      <c r="B548" s="444"/>
      <c r="C548" s="444"/>
      <c r="D548" s="444"/>
      <c r="E548" s="444"/>
      <c r="F548" s="444"/>
      <c r="G548" s="444"/>
      <c r="H548" s="444"/>
      <c r="I548" s="444"/>
      <c r="J548" s="444"/>
    </row>
    <row r="549" spans="2:10" x14ac:dyDescent="0.2">
      <c r="B549" s="444"/>
      <c r="C549" s="444"/>
      <c r="D549" s="444"/>
      <c r="E549" s="444"/>
      <c r="F549" s="444"/>
      <c r="G549" s="444"/>
      <c r="H549" s="444"/>
      <c r="I549" s="444"/>
      <c r="J549" s="444"/>
    </row>
    <row r="550" spans="2:10" x14ac:dyDescent="0.2">
      <c r="B550" s="444"/>
      <c r="C550" s="444"/>
      <c r="D550" s="444"/>
      <c r="E550" s="444"/>
      <c r="F550" s="444"/>
      <c r="G550" s="444"/>
      <c r="H550" s="444"/>
      <c r="I550" s="444"/>
      <c r="J550" s="444"/>
    </row>
    <row r="551" spans="2:10" x14ac:dyDescent="0.2">
      <c r="B551" s="444"/>
      <c r="C551" s="444"/>
      <c r="D551" s="444"/>
      <c r="E551" s="444"/>
      <c r="F551" s="444"/>
      <c r="G551" s="444"/>
      <c r="H551" s="444"/>
      <c r="I551" s="444"/>
      <c r="J551" s="444"/>
    </row>
    <row r="552" spans="2:10" x14ac:dyDescent="0.2">
      <c r="B552" s="444"/>
      <c r="C552" s="444"/>
      <c r="D552" s="444"/>
      <c r="E552" s="444"/>
      <c r="F552" s="444"/>
      <c r="G552" s="444"/>
      <c r="H552" s="444"/>
      <c r="I552" s="444"/>
      <c r="J552" s="444"/>
    </row>
    <row r="553" spans="2:10" x14ac:dyDescent="0.2">
      <c r="B553" s="444"/>
      <c r="C553" s="444"/>
      <c r="D553" s="444"/>
      <c r="E553" s="444"/>
      <c r="F553" s="444"/>
      <c r="G553" s="444"/>
      <c r="H553" s="444"/>
      <c r="I553" s="444"/>
      <c r="J553" s="444"/>
    </row>
    <row r="554" spans="2:10" x14ac:dyDescent="0.2">
      <c r="B554" s="444"/>
      <c r="C554" s="444"/>
      <c r="D554" s="444"/>
      <c r="E554" s="444"/>
      <c r="F554" s="444"/>
      <c r="G554" s="444"/>
      <c r="H554" s="444"/>
      <c r="I554" s="444"/>
      <c r="J554" s="444"/>
    </row>
    <row r="555" spans="2:10" x14ac:dyDescent="0.2">
      <c r="B555" s="444"/>
      <c r="C555" s="444"/>
      <c r="D555" s="444"/>
      <c r="E555" s="444"/>
      <c r="F555" s="444"/>
      <c r="G555" s="444"/>
      <c r="H555" s="444"/>
      <c r="I555" s="444"/>
      <c r="J555" s="444"/>
    </row>
    <row r="556" spans="2:10" x14ac:dyDescent="0.2">
      <c r="B556" s="444"/>
      <c r="C556" s="444"/>
      <c r="D556" s="444"/>
      <c r="E556" s="444"/>
      <c r="F556" s="444"/>
      <c r="G556" s="444"/>
      <c r="H556" s="444"/>
      <c r="I556" s="444"/>
      <c r="J556" s="444"/>
    </row>
    <row r="557" spans="2:10" x14ac:dyDescent="0.2">
      <c r="B557" s="444"/>
      <c r="C557" s="444"/>
      <c r="D557" s="444"/>
      <c r="E557" s="444"/>
      <c r="F557" s="444"/>
      <c r="G557" s="444"/>
      <c r="H557" s="444"/>
      <c r="I557" s="444"/>
      <c r="J557" s="444"/>
    </row>
  </sheetData>
  <mergeCells count="36">
    <mergeCell ref="B31:C31"/>
    <mergeCell ref="D31:I31"/>
    <mergeCell ref="B45:C45"/>
    <mergeCell ref="B32:C32"/>
    <mergeCell ref="D32:I32"/>
    <mergeCell ref="B37:C37"/>
    <mergeCell ref="D37:I37"/>
    <mergeCell ref="B46:C46"/>
    <mergeCell ref="D33:I33"/>
    <mergeCell ref="D34:I34"/>
    <mergeCell ref="D36:I36"/>
    <mergeCell ref="B39:C39"/>
    <mergeCell ref="B40:C40"/>
    <mergeCell ref="B41:C41"/>
    <mergeCell ref="B42:C42"/>
    <mergeCell ref="B43:C43"/>
    <mergeCell ref="B36:C36"/>
    <mergeCell ref="B38:C38"/>
    <mergeCell ref="B33:C33"/>
    <mergeCell ref="B34:C34"/>
    <mergeCell ref="D35:I35"/>
    <mergeCell ref="B44:C44"/>
    <mergeCell ref="B35:C35"/>
    <mergeCell ref="B29:C29"/>
    <mergeCell ref="D29:I29"/>
    <mergeCell ref="B30:C30"/>
    <mergeCell ref="D30:I30"/>
    <mergeCell ref="B4:I4"/>
    <mergeCell ref="B5:I9"/>
    <mergeCell ref="B27:C27"/>
    <mergeCell ref="D27:I27"/>
    <mergeCell ref="B28:C28"/>
    <mergeCell ref="D28:I28"/>
    <mergeCell ref="D26:I26"/>
    <mergeCell ref="B26:C26"/>
    <mergeCell ref="F13:I13"/>
  </mergeCells>
  <hyperlinks>
    <hyperlink ref="B27:C27" location="'PRELIMINARY ANALYSIS'!A1" display="'PRELIMINARY ANALYSIS'!A1" xr:uid="{DF55D656-4627-784E-91A0-C984515DF09A}"/>
    <hyperlink ref="B28:C28" location="ASSUMPTIONS!A1" display="Assumptions" xr:uid="{8666601C-DC8D-CD40-9D7E-073FA675599A}"/>
    <hyperlink ref="B29:C29" location="' P&amp;L Normal Situation'!A1" display="P&amp;L Normal Situation" xr:uid="{9294EC76-DBB0-3246-82C0-33D553D8FF42}"/>
    <hyperlink ref="B30:C30" location="'1-P&amp;L Modified'!A1" display="1-P&amp;L Modified" xr:uid="{E184FD7B-070E-B043-AEDE-1B48610996C1}"/>
    <hyperlink ref="B31:C31" location="'1-F&amp;B'!A1" display="1-F&amp;B Details" xr:uid="{98BA4B62-850D-0F4A-81BC-C0E7490C5C38}"/>
    <hyperlink ref="B32:C32" location="'1-CAPEX'!A1" display="1-Capex" xr:uid="{F3898DCC-E893-804C-9680-8414A189FF0B}"/>
    <hyperlink ref="B33:C33" location="'1-CAPEX PLANNING'!A1" display="1-Capex Planning" xr:uid="{58870AB1-F8F1-CF48-947E-C73DAB40ECD8}"/>
    <hyperlink ref="B34:C34" location="'1-INCREMENTAL CF'!A1" display="1-Incremental Cash Flow" xr:uid="{909F0ECF-08C9-6D40-B5EB-8CC3825F0C3B}"/>
    <hyperlink ref="B35:C35" location="'1-SENSITIVITY'!A1" display="1-Sensitivity" xr:uid="{08F83A5A-9FF8-3748-BC4F-4039032E6282}"/>
    <hyperlink ref="B36:C36" location="'APPENDIX 1-STR Trend '!A1" display="Appendix 1-STR Trend" xr:uid="{5C8C48EB-0F5D-D54D-8FBE-5856D17BCBB8}"/>
    <hyperlink ref="B37:C37" location="'APPENDIX 2-Graph Presentation'!A1" display="Appendix 2- Graphics" xr:uid="{668BEA8B-B4E1-2141-AED9-F5062543A484}"/>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6ADB6-7BB4-3D41-8871-426981E36DE8}">
  <sheetPr>
    <tabColor theme="2" tint="-0.499984740745262"/>
  </sheetPr>
  <dimension ref="A1:U109"/>
  <sheetViews>
    <sheetView showGridLines="0" topLeftCell="D31" zoomScaleNormal="138" workbookViewId="0">
      <selection activeCell="P6" sqref="P6"/>
    </sheetView>
  </sheetViews>
  <sheetFormatPr baseColWidth="10" defaultColWidth="11" defaultRowHeight="16" x14ac:dyDescent="0.2"/>
  <cols>
    <col min="2" max="2" width="29.6640625" style="222" customWidth="1"/>
    <col min="3" max="3" width="29.5" style="222" bestFit="1" customWidth="1"/>
    <col min="4" max="4" width="15.33203125" style="222" bestFit="1" customWidth="1"/>
    <col min="5" max="5" width="27.33203125" style="222" customWidth="1"/>
    <col min="6" max="6" width="20.33203125" style="222" customWidth="1"/>
    <col min="7" max="7" width="12.6640625" style="222" customWidth="1"/>
    <col min="8" max="8" width="20.1640625" style="222" bestFit="1" customWidth="1"/>
    <col min="9" max="10" width="22.1640625" style="222" bestFit="1" customWidth="1"/>
    <col min="11" max="11" width="24.83203125" style="222" bestFit="1" customWidth="1"/>
    <col min="12" max="12" width="13.33203125" style="222" bestFit="1" customWidth="1"/>
    <col min="13" max="18" width="11" style="222"/>
  </cols>
  <sheetData>
    <row r="1" spans="1:12" ht="35" thickBot="1" x14ac:dyDescent="0.25">
      <c r="A1" s="1900" t="s">
        <v>30</v>
      </c>
      <c r="B1" s="1901"/>
    </row>
    <row r="3" spans="1:12" ht="17" thickBot="1" x14ac:dyDescent="0.25"/>
    <row r="4" spans="1:12" ht="35" thickBot="1" x14ac:dyDescent="0.25">
      <c r="B4" s="1900" t="s">
        <v>52</v>
      </c>
      <c r="C4" s="1936"/>
      <c r="D4" s="1936"/>
      <c r="E4" s="1936"/>
      <c r="F4" s="1901"/>
    </row>
    <row r="5" spans="1:12" ht="17" thickBot="1" x14ac:dyDescent="0.25">
      <c r="B5" s="1939" t="s">
        <v>53</v>
      </c>
      <c r="C5" s="1940"/>
    </row>
    <row r="6" spans="1:12" ht="24" x14ac:dyDescent="0.3">
      <c r="B6" s="656" t="s">
        <v>54</v>
      </c>
      <c r="C6" s="657" t="s">
        <v>55</v>
      </c>
      <c r="D6" s="657" t="s">
        <v>56</v>
      </c>
      <c r="E6" s="657" t="s">
        <v>57</v>
      </c>
      <c r="F6" s="657" t="s">
        <v>58</v>
      </c>
      <c r="G6" s="657" t="s">
        <v>59</v>
      </c>
      <c r="H6" s="657" t="s">
        <v>60</v>
      </c>
      <c r="I6" s="657" t="s">
        <v>61</v>
      </c>
      <c r="J6" s="657" t="s">
        <v>62</v>
      </c>
      <c r="K6" s="658" t="s">
        <v>63</v>
      </c>
      <c r="L6" s="659" t="s">
        <v>64</v>
      </c>
    </row>
    <row r="7" spans="1:12" ht="17" x14ac:dyDescent="0.2">
      <c r="B7" s="1712" t="s">
        <v>65</v>
      </c>
      <c r="C7" s="1713" t="s">
        <v>66</v>
      </c>
      <c r="D7" s="1714">
        <v>143.32</v>
      </c>
      <c r="E7" s="1715">
        <v>142</v>
      </c>
      <c r="F7" s="1715" t="s">
        <v>67</v>
      </c>
      <c r="G7" s="1715" t="s">
        <v>68</v>
      </c>
      <c r="H7" s="1715" t="s">
        <v>68</v>
      </c>
      <c r="I7" s="1715" t="s">
        <v>69</v>
      </c>
      <c r="J7" s="1715" t="s">
        <v>70</v>
      </c>
      <c r="K7" s="602" t="s">
        <v>70</v>
      </c>
      <c r="L7" s="603" t="s">
        <v>71</v>
      </c>
    </row>
    <row r="8" spans="1:12" x14ac:dyDescent="0.2">
      <c r="B8" s="604" t="s">
        <v>72</v>
      </c>
      <c r="C8" s="557" t="s">
        <v>66</v>
      </c>
      <c r="D8" s="605">
        <v>150.21</v>
      </c>
      <c r="E8" s="557">
        <v>268</v>
      </c>
      <c r="F8" s="557" t="s">
        <v>73</v>
      </c>
      <c r="G8" s="557" t="s">
        <v>68</v>
      </c>
      <c r="H8" s="557" t="s">
        <v>68</v>
      </c>
      <c r="I8" s="557" t="s">
        <v>70</v>
      </c>
      <c r="J8" s="557" t="s">
        <v>70</v>
      </c>
      <c r="K8" s="557" t="s">
        <v>70</v>
      </c>
      <c r="L8" s="606" t="s">
        <v>74</v>
      </c>
    </row>
    <row r="9" spans="1:12" ht="17" x14ac:dyDescent="0.2">
      <c r="B9" s="604" t="s">
        <v>75</v>
      </c>
      <c r="C9" s="607" t="s">
        <v>76</v>
      </c>
      <c r="D9" s="605">
        <v>114.46</v>
      </c>
      <c r="E9" s="557">
        <v>297</v>
      </c>
      <c r="F9" s="557" t="s">
        <v>67</v>
      </c>
      <c r="G9" s="557" t="s">
        <v>68</v>
      </c>
      <c r="H9" s="557" t="s">
        <v>77</v>
      </c>
      <c r="I9" s="557" t="s">
        <v>70</v>
      </c>
      <c r="J9" s="557" t="s">
        <v>78</v>
      </c>
      <c r="K9" s="557" t="s">
        <v>70</v>
      </c>
      <c r="L9" s="606" t="s">
        <v>71</v>
      </c>
    </row>
    <row r="10" spans="1:12" x14ac:dyDescent="0.2">
      <c r="B10" s="604" t="s">
        <v>79</v>
      </c>
      <c r="C10" s="557" t="s">
        <v>66</v>
      </c>
      <c r="D10" s="605">
        <v>150.21</v>
      </c>
      <c r="E10" s="557">
        <v>80</v>
      </c>
      <c r="F10" s="557" t="s">
        <v>67</v>
      </c>
      <c r="G10" s="557" t="s">
        <v>78</v>
      </c>
      <c r="H10" s="557" t="s">
        <v>70</v>
      </c>
      <c r="I10" s="557" t="s">
        <v>70</v>
      </c>
      <c r="J10" s="557" t="s">
        <v>70</v>
      </c>
      <c r="K10" s="557" t="s">
        <v>70</v>
      </c>
      <c r="L10" s="606" t="s">
        <v>71</v>
      </c>
    </row>
    <row r="11" spans="1:12" x14ac:dyDescent="0.2">
      <c r="B11" s="604" t="s">
        <v>80</v>
      </c>
      <c r="C11" s="557" t="s">
        <v>81</v>
      </c>
      <c r="D11" s="605">
        <v>73.69</v>
      </c>
      <c r="E11" s="557">
        <v>235</v>
      </c>
      <c r="F11" s="557" t="s">
        <v>67</v>
      </c>
      <c r="G11" s="557" t="s">
        <v>68</v>
      </c>
      <c r="H11" s="557" t="s">
        <v>68</v>
      </c>
      <c r="I11" s="557" t="s">
        <v>70</v>
      </c>
      <c r="J11" s="557" t="s">
        <v>70</v>
      </c>
      <c r="K11" s="557" t="s">
        <v>70</v>
      </c>
      <c r="L11" s="606" t="s">
        <v>71</v>
      </c>
    </row>
    <row r="12" spans="1:12" ht="17" thickBot="1" x14ac:dyDescent="0.25">
      <c r="B12" s="608" t="s">
        <v>82</v>
      </c>
      <c r="C12" s="609" t="s">
        <v>83</v>
      </c>
      <c r="D12" s="610">
        <v>241.82</v>
      </c>
      <c r="E12" s="611">
        <v>159</v>
      </c>
      <c r="F12" s="609" t="s">
        <v>84</v>
      </c>
      <c r="G12" s="609" t="s">
        <v>68</v>
      </c>
      <c r="H12" s="609" t="s">
        <v>85</v>
      </c>
      <c r="I12" s="609" t="s">
        <v>70</v>
      </c>
      <c r="J12" s="609" t="s">
        <v>70</v>
      </c>
      <c r="K12" s="609" t="s">
        <v>70</v>
      </c>
      <c r="L12" s="612" t="s">
        <v>74</v>
      </c>
    </row>
    <row r="13" spans="1:12" ht="16" customHeight="1" x14ac:dyDescent="0.25">
      <c r="B13" s="558" t="s">
        <v>86</v>
      </c>
      <c r="D13" s="613"/>
      <c r="E13" s="613"/>
      <c r="F13" s="613"/>
    </row>
    <row r="14" spans="1:12" x14ac:dyDescent="0.2">
      <c r="D14" s="613"/>
      <c r="E14" s="613"/>
      <c r="F14" s="613"/>
    </row>
    <row r="15" spans="1:12" ht="17" thickBot="1" x14ac:dyDescent="0.25"/>
    <row r="16" spans="1:12" ht="35" thickBot="1" x14ac:dyDescent="0.25">
      <c r="B16" s="580" t="s">
        <v>87</v>
      </c>
      <c r="C16" s="581"/>
      <c r="D16" s="581"/>
      <c r="E16" s="581"/>
      <c r="F16" s="582"/>
    </row>
    <row r="17" spans="2:12" ht="17" thickBot="1" x14ac:dyDescent="0.25"/>
    <row r="18" spans="2:12" ht="25" thickBot="1" x14ac:dyDescent="0.25">
      <c r="B18" s="1943" t="s">
        <v>88</v>
      </c>
      <c r="C18" s="1951"/>
      <c r="D18" s="1943" t="s">
        <v>89</v>
      </c>
      <c r="E18" s="1944"/>
      <c r="F18" s="1943" t="s">
        <v>90</v>
      </c>
      <c r="G18" s="1944"/>
      <c r="H18" s="1943" t="s">
        <v>91</v>
      </c>
      <c r="I18" s="1944"/>
      <c r="J18" s="1943" t="s">
        <v>92</v>
      </c>
      <c r="K18" s="1944"/>
      <c r="L18" s="583"/>
    </row>
    <row r="19" spans="2:12" ht="16" customHeight="1" thickBot="1" x14ac:dyDescent="0.25">
      <c r="B19" s="1952" t="s">
        <v>53</v>
      </c>
      <c r="C19" s="1953"/>
      <c r="D19" s="1954" t="s">
        <v>93</v>
      </c>
      <c r="E19" s="1955"/>
      <c r="F19" s="1956" t="s">
        <v>94</v>
      </c>
      <c r="G19" s="1950"/>
      <c r="H19" s="1949" t="s">
        <v>95</v>
      </c>
      <c r="I19" s="1950"/>
      <c r="J19" s="1945"/>
      <c r="K19" s="1946"/>
    </row>
    <row r="20" spans="2:12" ht="20" customHeight="1" x14ac:dyDescent="0.2">
      <c r="B20" s="560" t="s">
        <v>96</v>
      </c>
      <c r="C20" s="1537" t="s">
        <v>97</v>
      </c>
      <c r="D20" s="626" t="s">
        <v>98</v>
      </c>
      <c r="E20" s="627">
        <f>-1%</f>
        <v>-0.01</v>
      </c>
      <c r="F20" s="617" t="s">
        <v>96</v>
      </c>
      <c r="G20" s="628" t="s">
        <v>99</v>
      </c>
      <c r="H20" s="626" t="s">
        <v>96</v>
      </c>
      <c r="I20" s="628" t="s">
        <v>100</v>
      </c>
      <c r="J20" s="560" t="s">
        <v>101</v>
      </c>
      <c r="K20" s="561">
        <f>_xlfn.RRI(B32-B21,C21,C32)</f>
        <v>1.440778963362499E-2</v>
      </c>
    </row>
    <row r="21" spans="2:12" x14ac:dyDescent="0.2">
      <c r="B21" s="1716">
        <v>2013</v>
      </c>
      <c r="C21" s="1538">
        <f>'APPENDIX 1-STR Trend '!P27</f>
        <v>131.98998522213699</v>
      </c>
      <c r="D21" s="1540"/>
      <c r="E21" s="564"/>
      <c r="F21" s="1717">
        <v>2024</v>
      </c>
      <c r="G21" s="1718">
        <v>119.3</v>
      </c>
      <c r="H21" s="1716">
        <v>2025</v>
      </c>
      <c r="I21" s="1719">
        <v>1.7600000000000001E-2</v>
      </c>
      <c r="J21" s="1720" t="s">
        <v>102</v>
      </c>
      <c r="K21" s="561">
        <f>-1%</f>
        <v>-0.01</v>
      </c>
    </row>
    <row r="22" spans="2:12" x14ac:dyDescent="0.2">
      <c r="B22" s="1716">
        <v>2014</v>
      </c>
      <c r="C22" s="1536">
        <f>'APPENDIX 1-STR Trend '!P28</f>
        <v>129.93660044905499</v>
      </c>
      <c r="D22" s="284"/>
      <c r="E22" s="250"/>
      <c r="F22" s="1717">
        <v>2023</v>
      </c>
      <c r="G22" s="562">
        <v>116.7</v>
      </c>
      <c r="H22" s="1716">
        <v>2026</v>
      </c>
      <c r="I22" s="566">
        <v>1.9900000000000001E-2</v>
      </c>
      <c r="J22" s="1720" t="s">
        <v>103</v>
      </c>
      <c r="K22" s="561">
        <f>-_xlfn.RRI(F21-F32,G32,G21)</f>
        <v>-1.7569355093762562E-2</v>
      </c>
    </row>
    <row r="23" spans="2:12" x14ac:dyDescent="0.2">
      <c r="B23" s="1716">
        <v>2015</v>
      </c>
      <c r="C23" s="1538">
        <f>'APPENDIX 1-STR Trend '!P29</f>
        <v>135.83352781925899</v>
      </c>
      <c r="D23" s="1405"/>
      <c r="E23" s="250"/>
      <c r="F23" s="1717">
        <v>2022</v>
      </c>
      <c r="G23" s="565">
        <v>110.2</v>
      </c>
      <c r="H23" s="1716">
        <v>2027</v>
      </c>
      <c r="I23" s="561">
        <v>2.1100000000000001E-2</v>
      </c>
      <c r="J23" s="1720" t="s">
        <v>104</v>
      </c>
      <c r="K23" s="568">
        <f>AVERAGE(I21:I31)</f>
        <v>2.1181818181818177E-2</v>
      </c>
    </row>
    <row r="24" spans="2:12" x14ac:dyDescent="0.2">
      <c r="B24" s="1716">
        <v>2016</v>
      </c>
      <c r="C24" s="1536">
        <f>'APPENDIX 1-STR Trend '!P30</f>
        <v>133.929020489805</v>
      </c>
      <c r="D24" s="284"/>
      <c r="E24" s="250"/>
      <c r="F24" s="1717">
        <v>2021</v>
      </c>
      <c r="G24" s="562">
        <v>109.1</v>
      </c>
      <c r="H24" s="1716">
        <v>2028</v>
      </c>
      <c r="I24" s="566">
        <v>2.18E-2</v>
      </c>
      <c r="J24" s="569"/>
      <c r="K24" s="570"/>
    </row>
    <row r="25" spans="2:12" x14ac:dyDescent="0.2">
      <c r="B25" s="1716">
        <v>2017</v>
      </c>
      <c r="C25" s="1538">
        <f>'APPENDIX 1-STR Trend '!P31</f>
        <v>139.26256736982199</v>
      </c>
      <c r="D25" s="284"/>
      <c r="E25" s="250"/>
      <c r="F25" s="1717">
        <v>2020</v>
      </c>
      <c r="G25" s="565">
        <v>105.8</v>
      </c>
      <c r="H25" s="1716">
        <v>2029</v>
      </c>
      <c r="I25" s="561">
        <v>2.18E-2</v>
      </c>
      <c r="J25" s="559" t="s">
        <v>105</v>
      </c>
      <c r="K25" s="1721">
        <f>SUM(K20:K23)</f>
        <v>8.0202527216806044E-3</v>
      </c>
    </row>
    <row r="26" spans="2:12" x14ac:dyDescent="0.2">
      <c r="B26" s="1716">
        <v>2018</v>
      </c>
      <c r="C26" s="1536">
        <f>'APPENDIX 1-STR Trend '!P32</f>
        <v>139.824644546516</v>
      </c>
      <c r="D26" s="284"/>
      <c r="E26" s="250"/>
      <c r="F26" s="1717">
        <v>2019</v>
      </c>
      <c r="G26" s="562">
        <v>105.3</v>
      </c>
      <c r="H26" s="1716">
        <v>2030</v>
      </c>
      <c r="I26" s="566">
        <v>2.18E-2</v>
      </c>
      <c r="J26" s="284"/>
      <c r="K26" s="250"/>
    </row>
    <row r="27" spans="2:12" x14ac:dyDescent="0.2">
      <c r="B27" s="1716">
        <v>2019</v>
      </c>
      <c r="C27" s="1538">
        <f>'APPENDIX 1-STR Trend '!P33</f>
        <v>140.515021355724</v>
      </c>
      <c r="D27" s="284"/>
      <c r="E27" s="250"/>
      <c r="F27" s="1717">
        <v>2018</v>
      </c>
      <c r="G27" s="565">
        <v>103.8</v>
      </c>
      <c r="H27" s="1716">
        <v>2031</v>
      </c>
      <c r="I27" s="561">
        <v>2.18E-2</v>
      </c>
      <c r="J27" s="284"/>
      <c r="K27" s="250"/>
    </row>
    <row r="28" spans="2:12" x14ac:dyDescent="0.2">
      <c r="B28" s="1716">
        <v>2020</v>
      </c>
      <c r="C28" s="1536">
        <f>'APPENDIX 1-STR Trend '!P34</f>
        <v>126.006490642914</v>
      </c>
      <c r="D28" s="284"/>
      <c r="E28" s="250"/>
      <c r="F28" s="1717">
        <v>2017</v>
      </c>
      <c r="G28" s="562">
        <v>102</v>
      </c>
      <c r="H28" s="1716">
        <v>2032</v>
      </c>
      <c r="I28" s="566">
        <v>2.18E-2</v>
      </c>
      <c r="J28" s="284"/>
      <c r="K28" s="250"/>
    </row>
    <row r="29" spans="2:12" x14ac:dyDescent="0.2">
      <c r="B29" s="1716">
        <v>2021</v>
      </c>
      <c r="C29" s="1538">
        <f>'APPENDIX 1-STR Trend '!P35</f>
        <v>116.60951239507099</v>
      </c>
      <c r="D29" s="284"/>
      <c r="E29" s="250"/>
      <c r="F29" s="1717">
        <v>2016</v>
      </c>
      <c r="G29" s="565">
        <v>100.5</v>
      </c>
      <c r="H29" s="1716">
        <v>2033</v>
      </c>
      <c r="I29" s="561">
        <v>2.18E-2</v>
      </c>
      <c r="J29" s="284"/>
      <c r="K29" s="250"/>
    </row>
    <row r="30" spans="2:12" x14ac:dyDescent="0.2">
      <c r="B30" s="1722">
        <v>2022</v>
      </c>
      <c r="C30" s="1536">
        <f>'APPENDIX 1-STR Trend '!P36</f>
        <v>149.95473536827001</v>
      </c>
      <c r="D30" s="284"/>
      <c r="E30" s="250"/>
      <c r="F30" s="1717">
        <v>2015</v>
      </c>
      <c r="G30" s="562">
        <v>100</v>
      </c>
      <c r="H30" s="1716">
        <v>2034</v>
      </c>
      <c r="I30" s="566">
        <v>2.18E-2</v>
      </c>
      <c r="J30" s="284"/>
      <c r="K30" s="250"/>
    </row>
    <row r="31" spans="2:12" x14ac:dyDescent="0.2">
      <c r="B31" s="571">
        <v>2023</v>
      </c>
      <c r="C31" s="1538">
        <f>'APPENDIX 1-STR Trend '!P37</f>
        <v>154.01432730740501</v>
      </c>
      <c r="D31" s="284"/>
      <c r="E31" s="250"/>
      <c r="F31" s="1717">
        <v>2014</v>
      </c>
      <c r="G31" s="565">
        <v>99.4</v>
      </c>
      <c r="H31" s="1716">
        <v>2035</v>
      </c>
      <c r="I31" s="572">
        <v>2.18E-2</v>
      </c>
      <c r="J31" s="573"/>
      <c r="K31" s="250"/>
    </row>
    <row r="32" spans="2:12" ht="17" thickBot="1" x14ac:dyDescent="0.25">
      <c r="B32" s="574">
        <v>2024</v>
      </c>
      <c r="C32" s="1539">
        <f>'APPENDIX 1-STR Trend '!P38</f>
        <v>154.48250770205399</v>
      </c>
      <c r="D32" s="518"/>
      <c r="E32" s="575"/>
      <c r="F32" s="576">
        <v>2013</v>
      </c>
      <c r="G32" s="577">
        <v>98.5</v>
      </c>
      <c r="H32" s="578"/>
      <c r="I32" s="579"/>
      <c r="J32" s="518"/>
      <c r="K32" s="575"/>
    </row>
    <row r="33" spans="2:21" x14ac:dyDescent="0.2">
      <c r="E33" s="584"/>
    </row>
    <row r="34" spans="2:21" ht="17" thickBot="1" x14ac:dyDescent="0.25">
      <c r="E34" s="584"/>
      <c r="F34" s="585"/>
      <c r="G34" s="585"/>
    </row>
    <row r="35" spans="2:21" ht="35" thickBot="1" x14ac:dyDescent="0.25">
      <c r="B35" s="1900" t="s">
        <v>106</v>
      </c>
      <c r="C35" s="1936"/>
      <c r="D35" s="1936"/>
      <c r="E35" s="1936"/>
      <c r="F35" s="1901"/>
      <c r="G35" s="585"/>
    </row>
    <row r="36" spans="2:21" ht="17" thickBot="1" x14ac:dyDescent="0.25">
      <c r="G36" s="585"/>
    </row>
    <row r="37" spans="2:21" ht="25" thickBot="1" x14ac:dyDescent="0.25">
      <c r="B37" s="1937" t="s">
        <v>107</v>
      </c>
      <c r="C37" s="1938"/>
      <c r="E37" s="1947" t="s">
        <v>108</v>
      </c>
      <c r="F37" s="1948"/>
      <c r="G37" s="585"/>
    </row>
    <row r="38" spans="2:21" ht="17" thickBot="1" x14ac:dyDescent="0.25">
      <c r="B38" s="1941" t="s">
        <v>53</v>
      </c>
      <c r="C38" s="1942"/>
      <c r="E38" s="586" t="s">
        <v>109</v>
      </c>
      <c r="F38" s="587">
        <v>2.8500000000000001E-2</v>
      </c>
      <c r="G38" s="585"/>
    </row>
    <row r="39" spans="2:21" x14ac:dyDescent="0.2">
      <c r="B39" s="622" t="s">
        <v>110</v>
      </c>
      <c r="C39" s="623" t="s">
        <v>111</v>
      </c>
      <c r="D39" s="563"/>
      <c r="E39" s="588" t="s">
        <v>112</v>
      </c>
      <c r="F39" s="589">
        <f>6.3%-5.2%</f>
        <v>1.0999999999999996E-2</v>
      </c>
      <c r="G39" s="585"/>
    </row>
    <row r="40" spans="2:21" x14ac:dyDescent="0.2">
      <c r="B40" s="1716">
        <f>'APPENDIX 1-STR Trend '!B9</f>
        <v>2013</v>
      </c>
      <c r="C40" s="562">
        <f>'APPENDIX 1-STR Trend '!P9</f>
        <v>65.663898953267307</v>
      </c>
      <c r="D40" s="590"/>
      <c r="E40" s="588" t="s">
        <v>113</v>
      </c>
      <c r="F40" s="587">
        <v>0.01</v>
      </c>
      <c r="G40" s="585"/>
      <c r="H40" s="585"/>
      <c r="I40" s="585"/>
      <c r="J40" s="585"/>
      <c r="K40" s="585"/>
    </row>
    <row r="41" spans="2:21" x14ac:dyDescent="0.2">
      <c r="B41" s="1716">
        <f>'APPENDIX 1-STR Trend '!B10</f>
        <v>2014</v>
      </c>
      <c r="C41" s="565">
        <f>'APPENDIX 1-STR Trend '!P10</f>
        <v>68.632770059064697</v>
      </c>
      <c r="D41" s="590"/>
      <c r="E41" s="588" t="s">
        <v>114</v>
      </c>
      <c r="F41" s="591">
        <v>0.02</v>
      </c>
      <c r="G41" s="585"/>
      <c r="H41" s="585"/>
      <c r="I41" s="585"/>
      <c r="J41" s="585"/>
      <c r="K41" s="585"/>
    </row>
    <row r="42" spans="2:21" ht="17" thickBot="1" x14ac:dyDescent="0.25">
      <c r="B42" s="1716">
        <f>'APPENDIX 1-STR Trend '!B11</f>
        <v>2015</v>
      </c>
      <c r="C42" s="562">
        <f>'APPENDIX 1-STR Trend '!P11</f>
        <v>70.237815360896604</v>
      </c>
      <c r="D42" s="590"/>
      <c r="E42" s="593" t="s">
        <v>115</v>
      </c>
      <c r="F42" s="594">
        <f>SUM(F38:F41)</f>
        <v>6.9499999999999992E-2</v>
      </c>
      <c r="G42" s="585"/>
      <c r="H42" s="585"/>
      <c r="I42" s="585"/>
      <c r="J42" s="585"/>
      <c r="K42" s="585"/>
      <c r="N42" s="585"/>
      <c r="O42" s="585"/>
      <c r="P42" s="585"/>
      <c r="Q42" s="585"/>
      <c r="R42" s="585"/>
      <c r="S42" s="129"/>
    </row>
    <row r="43" spans="2:21" ht="15" customHeight="1" x14ac:dyDescent="0.2">
      <c r="B43" s="1716">
        <f>'APPENDIX 1-STR Trend '!B12</f>
        <v>2016</v>
      </c>
      <c r="C43" s="565">
        <f>'APPENDIX 1-STR Trend '!P12</f>
        <v>70.923590918597</v>
      </c>
      <c r="D43" s="592"/>
      <c r="E43" s="1535" t="s">
        <v>116</v>
      </c>
      <c r="H43" s="563" t="s">
        <v>117</v>
      </c>
      <c r="I43" s="592" t="s">
        <v>118</v>
      </c>
      <c r="J43" s="583"/>
      <c r="K43" s="583"/>
      <c r="L43" s="583"/>
      <c r="N43" s="585"/>
      <c r="O43" s="585"/>
      <c r="P43" s="585"/>
      <c r="Q43" s="585"/>
      <c r="R43" s="585"/>
      <c r="S43" s="129"/>
    </row>
    <row r="44" spans="2:21" x14ac:dyDescent="0.2">
      <c r="B44" s="1716">
        <f>'APPENDIX 1-STR Trend '!B13</f>
        <v>2017</v>
      </c>
      <c r="C44" s="562">
        <f>'APPENDIX 1-STR Trend '!P13</f>
        <v>72.891453001716997</v>
      </c>
      <c r="D44" s="592"/>
      <c r="E44" s="1535" t="s">
        <v>119</v>
      </c>
      <c r="F44" s="592"/>
      <c r="N44" s="585"/>
      <c r="O44" s="585"/>
      <c r="P44" s="585"/>
      <c r="Q44" s="585"/>
      <c r="R44" s="585"/>
      <c r="S44" s="129"/>
    </row>
    <row r="45" spans="2:21" ht="15" customHeight="1" x14ac:dyDescent="0.2">
      <c r="B45" s="1716">
        <f>'APPENDIX 1-STR Trend '!B14</f>
        <v>2018</v>
      </c>
      <c r="C45" s="565">
        <f>'APPENDIX 1-STR Trend '!P14</f>
        <v>72.390968693088297</v>
      </c>
      <c r="D45" s="592"/>
      <c r="E45" s="1535" t="s">
        <v>120</v>
      </c>
      <c r="F45" s="592"/>
      <c r="M45" s="614"/>
      <c r="N45" s="614"/>
      <c r="O45" s="614"/>
      <c r="P45" s="614"/>
      <c r="Q45" s="614"/>
      <c r="R45" s="525"/>
      <c r="S45" s="525"/>
      <c r="T45" s="525"/>
      <c r="U45" s="525"/>
    </row>
    <row r="46" spans="2:21" x14ac:dyDescent="0.2">
      <c r="B46" s="1716">
        <f>'APPENDIX 1-STR Trend '!B15</f>
        <v>2019</v>
      </c>
      <c r="C46" s="562">
        <f>'APPENDIX 1-STR Trend '!P15</f>
        <v>69.854821886543306</v>
      </c>
      <c r="D46" s="592"/>
      <c r="F46" s="592"/>
      <c r="H46" s="563"/>
    </row>
    <row r="47" spans="2:21" x14ac:dyDescent="0.2">
      <c r="B47" s="1716">
        <f>'APPENDIX 1-STR Trend '!B16</f>
        <v>2020</v>
      </c>
      <c r="C47" s="565">
        <f>'APPENDIX 1-STR Trend '!P16</f>
        <v>30.3591078102857</v>
      </c>
      <c r="D47" s="592"/>
      <c r="F47" s="592"/>
    </row>
    <row r="48" spans="2:21" x14ac:dyDescent="0.2">
      <c r="B48" s="1716">
        <f>'APPENDIX 1-STR Trend '!B17</f>
        <v>2021</v>
      </c>
      <c r="C48" s="562">
        <f>'APPENDIX 1-STR Trend '!P17</f>
        <v>32.094927111141097</v>
      </c>
      <c r="D48" s="595"/>
      <c r="F48" s="592"/>
    </row>
    <row r="49" spans="2:19" ht="17" thickBot="1" x14ac:dyDescent="0.25">
      <c r="B49" s="1716">
        <f>'APPENDIX 1-STR Trend '!B18</f>
        <v>2022</v>
      </c>
      <c r="C49" s="565">
        <f>'APPENDIX 1-STR Trend '!P18</f>
        <v>54.043042809718798</v>
      </c>
      <c r="D49" s="595"/>
      <c r="E49" s="592"/>
      <c r="F49" s="592"/>
      <c r="H49" s="592"/>
    </row>
    <row r="50" spans="2:19" ht="25" thickBot="1" x14ac:dyDescent="0.25">
      <c r="B50" s="1716">
        <f>'APPENDIX 1-STR Trend '!B19</f>
        <v>2023</v>
      </c>
      <c r="C50" s="562">
        <f>'APPENDIX 1-STR Trend '!P19</f>
        <v>61.116705599408803</v>
      </c>
      <c r="D50" s="595"/>
      <c r="E50" s="629" t="s">
        <v>121</v>
      </c>
      <c r="F50" s="1392">
        <f>F42-K25</f>
        <v>6.147974727831939E-2</v>
      </c>
      <c r="H50" s="592"/>
    </row>
    <row r="51" spans="2:19" x14ac:dyDescent="0.2">
      <c r="B51" s="1716">
        <f>'APPENDIX 1-STR Trend '!B20</f>
        <v>2024</v>
      </c>
      <c r="C51" s="565">
        <f>'APPENDIX 1-STR Trend '!P20</f>
        <v>67.026016675041902</v>
      </c>
      <c r="D51" s="592"/>
      <c r="E51" s="592"/>
      <c r="F51" s="592"/>
      <c r="H51" s="592"/>
    </row>
    <row r="52" spans="2:19" ht="17" thickBot="1" x14ac:dyDescent="0.25">
      <c r="B52" s="624" t="s">
        <v>122</v>
      </c>
      <c r="C52" s="625">
        <f>_xlfn.RRI(B51-B40,C40,C51)</f>
        <v>1.8682485821326367E-3</v>
      </c>
      <c r="H52" s="592"/>
    </row>
    <row r="54" spans="2:19" x14ac:dyDescent="0.2">
      <c r="H54" s="585"/>
      <c r="I54" s="585"/>
      <c r="J54" s="585"/>
      <c r="K54" s="585"/>
      <c r="L54" s="585"/>
      <c r="M54" s="585"/>
      <c r="N54" s="585"/>
      <c r="O54" s="585"/>
      <c r="P54" s="585"/>
      <c r="Q54" s="585"/>
      <c r="R54" s="585"/>
      <c r="S54" s="129"/>
    </row>
    <row r="55" spans="2:19" x14ac:dyDescent="0.2">
      <c r="F55" s="597"/>
      <c r="H55" s="585"/>
      <c r="I55" s="585"/>
      <c r="J55" s="585"/>
      <c r="K55" s="585"/>
      <c r="L55" s="585"/>
      <c r="M55" s="585"/>
      <c r="N55" s="585"/>
      <c r="O55" s="585"/>
      <c r="P55" s="585"/>
      <c r="Q55" s="585"/>
      <c r="R55" s="585"/>
      <c r="S55" s="129"/>
    </row>
    <row r="56" spans="2:19" x14ac:dyDescent="0.2">
      <c r="H56" s="585"/>
      <c r="I56" s="585"/>
      <c r="J56" s="585"/>
      <c r="K56" s="585"/>
      <c r="L56" s="585"/>
      <c r="M56" s="585"/>
      <c r="N56" s="585"/>
      <c r="O56" s="585"/>
      <c r="P56" s="585"/>
      <c r="Q56" s="585"/>
      <c r="R56" s="585"/>
      <c r="S56" s="129"/>
    </row>
    <row r="57" spans="2:19" x14ac:dyDescent="0.2">
      <c r="H57" s="585"/>
      <c r="I57" s="585"/>
      <c r="J57" s="585"/>
      <c r="K57" s="585"/>
      <c r="L57" s="585"/>
      <c r="M57" s="585"/>
      <c r="N57" s="585"/>
      <c r="O57" s="585"/>
      <c r="P57" s="585"/>
      <c r="Q57" s="585"/>
      <c r="R57" s="585"/>
      <c r="S57" s="129"/>
    </row>
    <row r="86" spans="2:8" x14ac:dyDescent="0.2">
      <c r="B86" s="598"/>
      <c r="C86" s="599"/>
      <c r="D86" s="599"/>
      <c r="E86" s="599"/>
      <c r="F86" s="599"/>
      <c r="H86" s="599"/>
    </row>
    <row r="87" spans="2:8" x14ac:dyDescent="0.2">
      <c r="C87" s="599"/>
      <c r="D87" s="599"/>
      <c r="E87" s="599"/>
      <c r="F87" s="599"/>
      <c r="H87" s="599"/>
    </row>
    <row r="88" spans="2:8" x14ac:dyDescent="0.2">
      <c r="C88" s="599"/>
      <c r="D88" s="599"/>
      <c r="E88" s="599"/>
      <c r="F88" s="599"/>
      <c r="H88" s="599"/>
    </row>
    <row r="89" spans="2:8" x14ac:dyDescent="0.2">
      <c r="C89" s="599"/>
      <c r="D89" s="599"/>
      <c r="E89" s="599"/>
      <c r="F89" s="599"/>
      <c r="H89" s="599"/>
    </row>
    <row r="90" spans="2:8" x14ac:dyDescent="0.2">
      <c r="C90" s="599"/>
      <c r="D90" s="599"/>
      <c r="E90" s="599"/>
      <c r="F90" s="599"/>
      <c r="H90" s="599"/>
    </row>
    <row r="91" spans="2:8" x14ac:dyDescent="0.2">
      <c r="C91" s="599"/>
      <c r="D91" s="599"/>
      <c r="E91" s="599"/>
      <c r="F91" s="599"/>
      <c r="H91" s="599"/>
    </row>
    <row r="92" spans="2:8" x14ac:dyDescent="0.2">
      <c r="B92" s="598"/>
      <c r="C92" s="599"/>
      <c r="D92" s="599"/>
      <c r="E92" s="599"/>
      <c r="F92" s="599"/>
      <c r="H92" s="599"/>
    </row>
    <row r="93" spans="2:8" x14ac:dyDescent="0.2">
      <c r="C93" s="599"/>
      <c r="D93" s="599"/>
      <c r="E93" s="599"/>
      <c r="F93" s="599"/>
      <c r="H93" s="599"/>
    </row>
    <row r="94" spans="2:8" x14ac:dyDescent="0.2">
      <c r="C94" s="599"/>
      <c r="D94" s="599"/>
      <c r="E94" s="599"/>
      <c r="F94" s="599"/>
      <c r="H94" s="599"/>
    </row>
    <row r="95" spans="2:8" x14ac:dyDescent="0.2">
      <c r="C95" s="599"/>
      <c r="D95" s="599"/>
      <c r="E95" s="599"/>
      <c r="F95" s="599"/>
      <c r="H95" s="599"/>
    </row>
    <row r="96" spans="2:8" x14ac:dyDescent="0.2">
      <c r="C96" s="599"/>
      <c r="D96" s="599"/>
      <c r="E96" s="599"/>
      <c r="F96" s="599"/>
      <c r="H96" s="599"/>
    </row>
    <row r="97" spans="2:8" x14ac:dyDescent="0.2">
      <c r="B97" s="598"/>
      <c r="C97" s="599"/>
      <c r="D97" s="599"/>
      <c r="E97" s="599"/>
      <c r="F97" s="599"/>
      <c r="H97" s="599"/>
    </row>
    <row r="98" spans="2:8" x14ac:dyDescent="0.2">
      <c r="C98" s="599"/>
      <c r="D98" s="599"/>
      <c r="E98" s="599"/>
      <c r="F98" s="599"/>
      <c r="H98" s="599"/>
    </row>
    <row r="99" spans="2:8" x14ac:dyDescent="0.2">
      <c r="C99" s="599"/>
      <c r="D99" s="599"/>
      <c r="E99" s="599"/>
      <c r="F99" s="599"/>
      <c r="H99" s="599"/>
    </row>
    <row r="100" spans="2:8" x14ac:dyDescent="0.2">
      <c r="C100" s="599"/>
      <c r="D100" s="599"/>
      <c r="E100" s="599"/>
      <c r="F100" s="599"/>
      <c r="H100" s="599"/>
    </row>
    <row r="101" spans="2:8" x14ac:dyDescent="0.2">
      <c r="C101" s="599"/>
      <c r="D101" s="599"/>
      <c r="E101" s="599"/>
      <c r="F101" s="599"/>
      <c r="H101" s="599"/>
    </row>
    <row r="102" spans="2:8" x14ac:dyDescent="0.2">
      <c r="B102" s="598"/>
      <c r="C102" s="599"/>
      <c r="D102" s="599"/>
      <c r="E102" s="599"/>
      <c r="F102" s="599"/>
      <c r="H102" s="599"/>
    </row>
    <row r="103" spans="2:8" x14ac:dyDescent="0.2">
      <c r="C103" s="599"/>
      <c r="D103" s="599"/>
      <c r="E103" s="599"/>
      <c r="F103" s="599"/>
      <c r="H103" s="599"/>
    </row>
    <row r="104" spans="2:8" x14ac:dyDescent="0.2">
      <c r="C104" s="599"/>
      <c r="D104" s="599"/>
      <c r="E104" s="599"/>
      <c r="F104" s="599"/>
      <c r="H104" s="599"/>
    </row>
    <row r="105" spans="2:8" x14ac:dyDescent="0.2">
      <c r="C105" s="599"/>
      <c r="D105" s="599"/>
      <c r="E105" s="599"/>
      <c r="F105" s="599"/>
      <c r="H105" s="599"/>
    </row>
    <row r="106" spans="2:8" x14ac:dyDescent="0.2">
      <c r="B106" s="598"/>
      <c r="C106" s="599"/>
      <c r="D106" s="599"/>
      <c r="E106" s="599"/>
      <c r="F106" s="599"/>
      <c r="H106" s="599"/>
    </row>
    <row r="107" spans="2:8" x14ac:dyDescent="0.2">
      <c r="C107" s="599"/>
      <c r="D107" s="599"/>
      <c r="E107" s="599"/>
      <c r="F107" s="599"/>
      <c r="H107" s="599"/>
    </row>
    <row r="108" spans="2:8" x14ac:dyDescent="0.2">
      <c r="C108" s="599"/>
      <c r="D108" s="599"/>
      <c r="E108" s="599"/>
      <c r="F108" s="599"/>
      <c r="H108" s="599"/>
    </row>
    <row r="109" spans="2:8" x14ac:dyDescent="0.2">
      <c r="C109" s="599"/>
      <c r="D109" s="599"/>
      <c r="E109" s="599"/>
      <c r="F109" s="599"/>
      <c r="H109" s="599"/>
    </row>
  </sheetData>
  <mergeCells count="17">
    <mergeCell ref="B38:C38"/>
    <mergeCell ref="J18:K18"/>
    <mergeCell ref="J19:K19"/>
    <mergeCell ref="E37:F37"/>
    <mergeCell ref="H18:I18"/>
    <mergeCell ref="H19:I19"/>
    <mergeCell ref="B18:C18"/>
    <mergeCell ref="B19:C19"/>
    <mergeCell ref="D18:E18"/>
    <mergeCell ref="D19:E19"/>
    <mergeCell ref="F19:G19"/>
    <mergeCell ref="F18:G18"/>
    <mergeCell ref="A1:B1"/>
    <mergeCell ref="B35:F35"/>
    <mergeCell ref="B37:C37"/>
    <mergeCell ref="B4:F4"/>
    <mergeCell ref="B5:C5"/>
  </mergeCells>
  <hyperlinks>
    <hyperlink ref="L9" r:id="rId1" xr:uid="{49979F71-2F5A-0043-A88B-536BF2B6DCEF}"/>
    <hyperlink ref="L7" r:id="rId2" xr:uid="{4A211975-48F2-1546-8F80-B00ACC58B80D}"/>
    <hyperlink ref="L10" r:id="rId3" xr:uid="{A271723C-849D-0941-8516-C9203B59B994}"/>
    <hyperlink ref="L11" r:id="rId4" xr:uid="{4F0CB239-40B8-DB40-B28E-1B153D2A7436}"/>
    <hyperlink ref="L8" r:id="rId5" xr:uid="{58855BB4-81A9-7D46-809E-C32422E21A86}"/>
    <hyperlink ref="H19" r:id="rId6" xr:uid="{3987B66B-FCD1-4142-86ED-31E190B5281D}"/>
    <hyperlink ref="F19" r:id="rId7" xr:uid="{D0521584-FE59-B247-80B0-086488099246}"/>
  </hyperlinks>
  <pageMargins left="0.7" right="0.7" top="0.75" bottom="0.75" header="0.3" footer="0.3"/>
  <pageSetup paperSize="9" orientation="portrait" horizontalDpi="0" verticalDpi="0"/>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CF3F3-665D-E541-A0DE-2AC0F6DF6E94}">
  <sheetPr>
    <tabColor theme="2" tint="-0.499984740745262"/>
  </sheetPr>
  <dimension ref="A2:V113"/>
  <sheetViews>
    <sheetView showGridLines="0" topLeftCell="A4" zoomScale="57" workbookViewId="0"/>
  </sheetViews>
  <sheetFormatPr baseColWidth="10" defaultColWidth="11" defaultRowHeight="16" x14ac:dyDescent="0.2"/>
  <cols>
    <col min="1" max="1" width="42.33203125" style="222" bestFit="1" customWidth="1"/>
    <col min="2" max="2" width="25" style="222" bestFit="1" customWidth="1"/>
    <col min="3" max="3" width="17.6640625" style="222" bestFit="1" customWidth="1"/>
    <col min="4" max="5" width="17.83203125" style="222" bestFit="1" customWidth="1"/>
    <col min="6" max="6" width="14" style="222" customWidth="1"/>
    <col min="7" max="7" width="91.6640625" style="222" customWidth="1"/>
    <col min="8" max="8" width="10.83203125" style="222"/>
    <col min="9" max="9" width="34.33203125" style="222" customWidth="1"/>
    <col min="10" max="10" width="22.83203125" style="222" bestFit="1" customWidth="1"/>
    <col min="11" max="22" width="10.83203125" style="222"/>
  </cols>
  <sheetData>
    <row r="2" spans="1:21" ht="17" thickBot="1" x14ac:dyDescent="0.25"/>
    <row r="3" spans="1:21" ht="46" thickBot="1" x14ac:dyDescent="0.25">
      <c r="A3" s="1969" t="s">
        <v>123</v>
      </c>
      <c r="B3" s="1969"/>
      <c r="C3" s="1969"/>
      <c r="D3" s="1969"/>
      <c r="E3" s="1969"/>
      <c r="F3" s="1969"/>
      <c r="G3" s="1969"/>
      <c r="H3" s="630"/>
      <c r="I3" s="630"/>
      <c r="J3" s="630"/>
      <c r="K3" s="630"/>
      <c r="L3" s="630"/>
      <c r="M3" s="630"/>
      <c r="N3" s="630"/>
      <c r="O3" s="630"/>
      <c r="P3" s="630"/>
      <c r="Q3" s="630"/>
      <c r="R3" s="630"/>
      <c r="S3" s="630"/>
    </row>
    <row r="4" spans="1:21" ht="17" thickBot="1" x14ac:dyDescent="0.25"/>
    <row r="5" spans="1:21" ht="51" thickBot="1" x14ac:dyDescent="0.25">
      <c r="A5" s="660" t="s">
        <v>124</v>
      </c>
      <c r="B5" s="661" t="s">
        <v>125</v>
      </c>
      <c r="C5" s="662" t="s">
        <v>126</v>
      </c>
      <c r="D5" s="661">
        <v>2024</v>
      </c>
      <c r="E5" s="663" t="s">
        <v>127</v>
      </c>
      <c r="F5" s="1236" t="s">
        <v>128</v>
      </c>
      <c r="G5" s="664" t="s">
        <v>129</v>
      </c>
      <c r="H5" s="1382" t="s">
        <v>130</v>
      </c>
      <c r="R5" s="632"/>
      <c r="S5" s="632"/>
      <c r="T5" s="632"/>
      <c r="U5" s="632"/>
    </row>
    <row r="6" spans="1:21" ht="17" thickBot="1" x14ac:dyDescent="0.25">
      <c r="A6" s="669" t="s">
        <v>131</v>
      </c>
      <c r="B6" s="1233"/>
      <c r="C6" s="1234">
        <f>'APPENDIX 1-STR Trend '!I45</f>
        <v>179.03</v>
      </c>
      <c r="D6" s="1234">
        <f>' P&amp;L Normal Situation'!X12</f>
        <v>119.69</v>
      </c>
      <c r="E6" s="1233" t="s">
        <v>132</v>
      </c>
      <c r="F6" s="264"/>
      <c r="G6" s="1389" t="s">
        <v>133</v>
      </c>
      <c r="H6" s="1382" t="s">
        <v>130</v>
      </c>
      <c r="I6" s="674" t="s">
        <v>134</v>
      </c>
      <c r="J6" s="601">
        <f>AVERAGE(2.77%,3.08%)</f>
        <v>2.9249999999999998E-2</v>
      </c>
      <c r="K6" s="677"/>
      <c r="L6" s="677"/>
      <c r="M6" s="677"/>
      <c r="N6" s="677"/>
      <c r="O6" s="677"/>
      <c r="P6" s="677"/>
      <c r="Q6" s="677"/>
      <c r="R6" s="634"/>
      <c r="S6" s="632"/>
      <c r="T6" s="632"/>
      <c r="U6" s="632"/>
    </row>
    <row r="7" spans="1:21" ht="17" thickBot="1" x14ac:dyDescent="0.25">
      <c r="A7" s="645" t="s">
        <v>135</v>
      </c>
      <c r="B7" s="646"/>
      <c r="C7" s="1235">
        <f>'APPENDIX 1-STR Trend '!I44</f>
        <v>0.61799999999999999</v>
      </c>
      <c r="D7" s="1235">
        <f>' P&amp;L Normal Situation'!X11</f>
        <v>0.74299999999999999</v>
      </c>
      <c r="E7" s="646" t="s">
        <v>132</v>
      </c>
      <c r="F7" s="611"/>
      <c r="G7" s="1390" t="s">
        <v>136</v>
      </c>
      <c r="H7" s="1382" t="s">
        <v>130</v>
      </c>
      <c r="I7" s="284"/>
      <c r="R7" s="635"/>
      <c r="S7" s="632"/>
      <c r="T7" s="632"/>
      <c r="U7" s="632"/>
    </row>
    <row r="8" spans="1:21" x14ac:dyDescent="0.2">
      <c r="A8" s="1973" t="s">
        <v>137</v>
      </c>
      <c r="B8" s="1973"/>
      <c r="C8" s="1973"/>
      <c r="D8" s="1973"/>
      <c r="E8" s="1973"/>
      <c r="F8" s="1973"/>
      <c r="G8" s="1974"/>
      <c r="H8" s="1382" t="s">
        <v>130</v>
      </c>
      <c r="I8" s="284"/>
      <c r="R8" s="635"/>
      <c r="S8" s="632"/>
      <c r="T8" s="632"/>
      <c r="U8" s="632"/>
    </row>
    <row r="9" spans="1:21" x14ac:dyDescent="0.2">
      <c r="A9" s="633" t="s">
        <v>138</v>
      </c>
      <c r="B9" s="636" t="s">
        <v>139</v>
      </c>
      <c r="C9" s="1383">
        <f>'APPENDIX 1-STR Trend '!E54/100</f>
        <v>0.71299999999999997</v>
      </c>
      <c r="D9" s="1383">
        <f>' P&amp;L Normal Situation'!Y18</f>
        <v>0.73457266318739067</v>
      </c>
      <c r="E9" s="638" t="s">
        <v>132</v>
      </c>
      <c r="F9" s="1723" t="s">
        <v>140</v>
      </c>
      <c r="G9" s="1391" t="s">
        <v>141</v>
      </c>
      <c r="H9" s="1382" t="s">
        <v>130</v>
      </c>
      <c r="I9" s="284"/>
      <c r="R9" s="635"/>
      <c r="S9" s="632"/>
      <c r="T9" s="632"/>
      <c r="U9" s="632"/>
    </row>
    <row r="10" spans="1:21" x14ac:dyDescent="0.2">
      <c r="A10" s="633" t="s">
        <v>142</v>
      </c>
      <c r="B10" s="636" t="s">
        <v>139</v>
      </c>
      <c r="C10" s="1383">
        <f>SUM('APPENDIX 1-STR Trend '!E55:E57)/100</f>
        <v>0.245</v>
      </c>
      <c r="D10" s="1383">
        <f>' P&amp;L Normal Situation'!Y19</f>
        <v>0.17939271830814713</v>
      </c>
      <c r="E10" s="638" t="s">
        <v>132</v>
      </c>
      <c r="F10" s="1723" t="s">
        <v>140</v>
      </c>
      <c r="G10" s="1391" t="s">
        <v>143</v>
      </c>
      <c r="H10" s="1382" t="s">
        <v>130</v>
      </c>
      <c r="I10" s="284"/>
      <c r="R10" s="635"/>
      <c r="S10" s="632"/>
      <c r="T10" s="632"/>
      <c r="U10" s="632"/>
    </row>
    <row r="11" spans="1:21" x14ac:dyDescent="0.2">
      <c r="A11" s="633" t="s">
        <v>144</v>
      </c>
      <c r="B11" s="636" t="s">
        <v>139</v>
      </c>
      <c r="C11" s="1383" t="s">
        <v>140</v>
      </c>
      <c r="D11" s="1498">
        <f>' P&amp;L Normal Situation'!Z20</f>
        <v>8.0138140435697913</v>
      </c>
      <c r="E11" s="1578">
        <v>0.15</v>
      </c>
      <c r="F11" s="1503">
        <f>D11*(1+E11)</f>
        <v>9.2158861501052591</v>
      </c>
      <c r="G11" s="1391" t="s">
        <v>145</v>
      </c>
      <c r="H11" s="1382" t="s">
        <v>130</v>
      </c>
      <c r="I11" s="284"/>
      <c r="R11" s="635"/>
      <c r="S11" s="632"/>
      <c r="T11" s="632"/>
      <c r="U11" s="632"/>
    </row>
    <row r="12" spans="1:21" ht="17" thickBot="1" x14ac:dyDescent="0.25">
      <c r="A12" s="645" t="s">
        <v>146</v>
      </c>
      <c r="B12" s="1230" t="s">
        <v>139</v>
      </c>
      <c r="C12" s="1384">
        <f>'APPENDIX 1-STR Trend '!E58/100</f>
        <v>1.4999999999999999E-2</v>
      </c>
      <c r="D12" s="1504">
        <f>' P&amp;L Normal Situation'!Z21</f>
        <v>6.0079974733263048</v>
      </c>
      <c r="E12" s="1579">
        <v>0.15</v>
      </c>
      <c r="F12" s="1505">
        <f>D12*(1+E12)</f>
        <v>6.9091970943252496</v>
      </c>
      <c r="G12" s="1390" t="s">
        <v>147</v>
      </c>
      <c r="H12" s="1382" t="s">
        <v>130</v>
      </c>
      <c r="I12" s="284"/>
      <c r="R12" s="635"/>
      <c r="S12" s="632"/>
      <c r="T12" s="632"/>
      <c r="U12" s="632"/>
    </row>
    <row r="13" spans="1:21" x14ac:dyDescent="0.2">
      <c r="A13" s="1971" t="s">
        <v>148</v>
      </c>
      <c r="B13" s="1971"/>
      <c r="C13" s="1971"/>
      <c r="D13" s="1971"/>
      <c r="E13" s="1971"/>
      <c r="F13" s="1971"/>
      <c r="G13" s="1972"/>
      <c r="H13" s="1382" t="s">
        <v>130</v>
      </c>
      <c r="I13" s="284"/>
      <c r="R13" s="635"/>
      <c r="S13" s="632"/>
      <c r="T13" s="632"/>
      <c r="U13" s="632"/>
    </row>
    <row r="14" spans="1:21" x14ac:dyDescent="0.2">
      <c r="A14" s="633" t="s">
        <v>138</v>
      </c>
      <c r="B14" s="636" t="s">
        <v>149</v>
      </c>
      <c r="C14" s="637">
        <f>'APPENDIX 1-STR Trend '!E63/100</f>
        <v>0.28999999999999998</v>
      </c>
      <c r="D14" s="637">
        <f>' P&amp;L Normal Situation'!Y24</f>
        <v>0.34198572355613238</v>
      </c>
      <c r="E14" s="1578">
        <v>-3.5000000000000003E-2</v>
      </c>
      <c r="F14" s="637">
        <f>SUM(D14:E14)</f>
        <v>0.30698572355613241</v>
      </c>
      <c r="G14" s="1391" t="s">
        <v>150</v>
      </c>
      <c r="H14" s="1382" t="s">
        <v>130</v>
      </c>
      <c r="I14" s="284"/>
      <c r="R14" s="635"/>
      <c r="S14" s="632"/>
      <c r="T14" s="632"/>
      <c r="U14" s="632"/>
    </row>
    <row r="15" spans="1:21" x14ac:dyDescent="0.2">
      <c r="A15" s="633" t="s">
        <v>142</v>
      </c>
      <c r="B15" s="636" t="s">
        <v>149</v>
      </c>
      <c r="C15" s="637">
        <f>'APPENDIX 1-STR Trend '!E64/100</f>
        <v>0.81799999999999995</v>
      </c>
      <c r="D15" s="637">
        <f>' P&amp;L Normal Situation'!Y25</f>
        <v>1.0035429583702391</v>
      </c>
      <c r="E15" s="638" t="s">
        <v>132</v>
      </c>
      <c r="F15" s="637" t="s">
        <v>140</v>
      </c>
      <c r="G15" s="1391" t="s">
        <v>151</v>
      </c>
      <c r="H15" s="1382" t="s">
        <v>130</v>
      </c>
      <c r="I15" s="284"/>
      <c r="R15" s="635"/>
      <c r="S15" s="632"/>
      <c r="T15" s="632"/>
      <c r="U15" s="632"/>
    </row>
    <row r="16" spans="1:21" x14ac:dyDescent="0.2">
      <c r="A16" s="633" t="s">
        <v>144</v>
      </c>
      <c r="B16" s="636" t="s">
        <v>149</v>
      </c>
      <c r="C16" s="637" t="s">
        <v>140</v>
      </c>
      <c r="D16" s="637">
        <f>' P&amp;L Normal Situation'!Y26</f>
        <v>0.81882664684687601</v>
      </c>
      <c r="E16" s="1578">
        <v>-0.17</v>
      </c>
      <c r="F16" s="637">
        <f>SUM(D16:E16)</f>
        <v>0.64882664684687597</v>
      </c>
      <c r="G16" s="1391" t="s">
        <v>152</v>
      </c>
      <c r="H16" s="1382" t="s">
        <v>130</v>
      </c>
      <c r="I16" s="284"/>
      <c r="R16" s="635"/>
      <c r="S16" s="632"/>
      <c r="T16" s="632"/>
      <c r="U16" s="632"/>
    </row>
    <row r="17" spans="1:22" ht="17" thickBot="1" x14ac:dyDescent="0.25">
      <c r="A17" s="645" t="s">
        <v>146</v>
      </c>
      <c r="B17" s="1230" t="s">
        <v>149</v>
      </c>
      <c r="C17" s="1231">
        <f>'APPENDIX 1-STR Trend '!E65/100</f>
        <v>0.37</v>
      </c>
      <c r="D17" s="1231">
        <f>' P&amp;L Normal Situation'!Y27</f>
        <v>0.53879310344827591</v>
      </c>
      <c r="E17" s="1579">
        <v>-0.17</v>
      </c>
      <c r="F17" s="1231">
        <f t="shared" ref="F17" si="0">SUM(D17:E17)</f>
        <v>0.36879310344827587</v>
      </c>
      <c r="G17" s="1391" t="s">
        <v>152</v>
      </c>
      <c r="H17" s="1382" t="s">
        <v>130</v>
      </c>
      <c r="I17" s="284"/>
      <c r="R17" s="635"/>
      <c r="S17" s="632"/>
      <c r="T17" s="632"/>
      <c r="U17" s="632"/>
    </row>
    <row r="18" spans="1:22" x14ac:dyDescent="0.2">
      <c r="A18" s="1971" t="s">
        <v>153</v>
      </c>
      <c r="B18" s="1971"/>
      <c r="C18" s="1971"/>
      <c r="D18" s="1971"/>
      <c r="E18" s="1971"/>
      <c r="F18" s="1971"/>
      <c r="G18" s="1972"/>
      <c r="H18" s="1382" t="s">
        <v>130</v>
      </c>
      <c r="I18" s="284"/>
      <c r="R18" s="635"/>
      <c r="S18" s="632"/>
      <c r="T18" s="632"/>
      <c r="U18" s="632"/>
    </row>
    <row r="19" spans="1:22" x14ac:dyDescent="0.2">
      <c r="A19" s="633" t="s">
        <v>154</v>
      </c>
      <c r="B19" s="636" t="s">
        <v>155</v>
      </c>
      <c r="C19" s="1340">
        <f>'APPENDIX 1-STR Trend '!G75</f>
        <v>5079.6899999999996</v>
      </c>
      <c r="D19" s="1342">
        <f>'1-P&amp;L Modified'!AA30</f>
        <v>2676.0563380281692</v>
      </c>
      <c r="E19" s="1578">
        <f>-10%</f>
        <v>-0.1</v>
      </c>
      <c r="F19" s="1342">
        <f>D19*(1+E19)</f>
        <v>2408.4507042253522</v>
      </c>
      <c r="G19" s="1391" t="s">
        <v>156</v>
      </c>
      <c r="H19" s="1382" t="s">
        <v>130</v>
      </c>
      <c r="I19" s="284"/>
      <c r="R19" s="635"/>
      <c r="S19" s="632"/>
      <c r="T19" s="632"/>
      <c r="U19" s="632"/>
    </row>
    <row r="20" spans="1:22" x14ac:dyDescent="0.2">
      <c r="A20" s="633" t="s">
        <v>157</v>
      </c>
      <c r="B20" s="636" t="s">
        <v>155</v>
      </c>
      <c r="C20" s="1340">
        <f>'APPENDIX 1-STR Trend '!G77</f>
        <v>3685.67</v>
      </c>
      <c r="D20" s="1342">
        <f>'1-P&amp;L Modified'!AA31</f>
        <v>1619.7183098591549</v>
      </c>
      <c r="E20" s="637">
        <v>0</v>
      </c>
      <c r="F20" s="1342">
        <f>D20*(1+E20)</f>
        <v>1619.7183098591549</v>
      </c>
      <c r="G20" s="1391" t="s">
        <v>158</v>
      </c>
      <c r="H20" s="1382" t="s">
        <v>130</v>
      </c>
      <c r="I20" s="678" t="s">
        <v>159</v>
      </c>
      <c r="R20" s="635"/>
      <c r="S20" s="632"/>
      <c r="T20" s="632"/>
      <c r="U20" s="632"/>
    </row>
    <row r="21" spans="1:22" ht="17" thickBot="1" x14ac:dyDescent="0.25">
      <c r="A21" s="633" t="s">
        <v>160</v>
      </c>
      <c r="B21" s="636" t="s">
        <v>161</v>
      </c>
      <c r="C21" s="1340"/>
      <c r="D21" s="637">
        <f>'1-P&amp;L Modified'!AA32</f>
        <v>0</v>
      </c>
      <c r="E21" s="1580">
        <f>5%+2%</f>
        <v>7.0000000000000007E-2</v>
      </c>
      <c r="F21" s="637">
        <f>SUM(D21:E21)</f>
        <v>7.0000000000000007E-2</v>
      </c>
      <c r="G21" s="1391" t="s">
        <v>162</v>
      </c>
      <c r="H21" s="1382" t="s">
        <v>130</v>
      </c>
      <c r="I21" s="679" t="s">
        <v>163</v>
      </c>
      <c r="J21" s="611"/>
      <c r="K21" s="611"/>
      <c r="L21" s="611"/>
      <c r="M21" s="611"/>
      <c r="N21" s="611"/>
      <c r="O21" s="611"/>
      <c r="P21" s="611"/>
      <c r="Q21" s="611"/>
      <c r="R21" s="639"/>
      <c r="S21" s="632"/>
      <c r="T21" s="632"/>
      <c r="U21" s="632"/>
    </row>
    <row r="22" spans="1:22" x14ac:dyDescent="0.2">
      <c r="A22" s="633" t="s">
        <v>164</v>
      </c>
      <c r="B22" s="636" t="s">
        <v>155</v>
      </c>
      <c r="C22" s="1340">
        <f>'APPENDIX 1-STR Trend '!G79</f>
        <v>3418.13</v>
      </c>
      <c r="D22" s="1342">
        <f>'1-P&amp;L Modified'!AA33</f>
        <v>2394.3661971830984</v>
      </c>
      <c r="E22" s="1578">
        <v>-0.05</v>
      </c>
      <c r="F22" s="1342">
        <f t="shared" ref="F22:F23" si="1">D22*(1+E22)</f>
        <v>2274.6478873239435</v>
      </c>
      <c r="G22" s="1391" t="s">
        <v>165</v>
      </c>
      <c r="H22" s="1382" t="s">
        <v>130</v>
      </c>
      <c r="R22" s="632"/>
      <c r="S22" s="632"/>
      <c r="T22" s="632"/>
      <c r="U22" s="632"/>
    </row>
    <row r="23" spans="1:22" ht="17" thickBot="1" x14ac:dyDescent="0.25">
      <c r="A23" s="645" t="s">
        <v>166</v>
      </c>
      <c r="B23" s="1230" t="s">
        <v>155</v>
      </c>
      <c r="C23" s="1341">
        <f>'APPENDIX 1-STR Trend '!G80</f>
        <v>2947.86</v>
      </c>
      <c r="D23" s="1343">
        <f>'1-P&amp;L Modified'!AA34</f>
        <v>2816.9014084507044</v>
      </c>
      <c r="E23" s="1581">
        <v>0.1</v>
      </c>
      <c r="F23" s="1343">
        <f t="shared" si="1"/>
        <v>3098.5915492957752</v>
      </c>
      <c r="G23" s="1390" t="s">
        <v>167</v>
      </c>
      <c r="H23" s="1382" t="s">
        <v>130</v>
      </c>
      <c r="J23" s="640"/>
      <c r="K23" s="641"/>
      <c r="L23" s="642"/>
      <c r="M23" s="642"/>
      <c r="N23" s="642"/>
      <c r="O23" s="643"/>
      <c r="P23" s="643"/>
      <c r="Q23" s="643"/>
      <c r="R23" s="643"/>
      <c r="S23" s="643"/>
      <c r="T23" s="632"/>
      <c r="U23" s="632"/>
    </row>
    <row r="24" spans="1:22" ht="17" thickBot="1" x14ac:dyDescent="0.25">
      <c r="A24" s="1971" t="s">
        <v>168</v>
      </c>
      <c r="B24" s="1971"/>
      <c r="C24" s="1971"/>
      <c r="D24" s="1971"/>
      <c r="E24" s="1971"/>
      <c r="F24" s="1971"/>
      <c r="G24" s="1972"/>
      <c r="H24" s="1382" t="s">
        <v>130</v>
      </c>
      <c r="I24" s="674" t="s">
        <v>169</v>
      </c>
      <c r="J24" s="674" t="s">
        <v>170</v>
      </c>
      <c r="K24" s="673" t="s">
        <v>171</v>
      </c>
      <c r="L24" s="642"/>
      <c r="M24" s="642"/>
      <c r="N24" s="642"/>
      <c r="O24" s="643"/>
      <c r="P24" s="643"/>
      <c r="Q24" s="643"/>
      <c r="R24" s="643"/>
      <c r="S24" s="643"/>
      <c r="T24" s="632"/>
      <c r="U24" s="632"/>
    </row>
    <row r="25" spans="1:22" x14ac:dyDescent="0.2">
      <c r="A25" s="633" t="s">
        <v>172</v>
      </c>
      <c r="B25" s="636" t="s">
        <v>139</v>
      </c>
      <c r="C25" s="637">
        <f>'APPENDIX 1-STR Trend '!E84/100</f>
        <v>2.1000000000000001E-2</v>
      </c>
      <c r="D25" s="637">
        <f>'1-P&amp;L Modified'!Y38</f>
        <v>0</v>
      </c>
      <c r="E25" s="1580">
        <v>0.03</v>
      </c>
      <c r="F25" s="637">
        <f>D25+E25</f>
        <v>0.03</v>
      </c>
      <c r="G25" s="1391" t="s">
        <v>173</v>
      </c>
      <c r="H25" s="1382" t="s">
        <v>130</v>
      </c>
      <c r="I25" s="284"/>
      <c r="J25" s="225">
        <v>36.74</v>
      </c>
      <c r="K25" s="250" t="s">
        <v>174</v>
      </c>
      <c r="L25" s="670" t="s">
        <v>130</v>
      </c>
      <c r="T25" s="632"/>
      <c r="U25" s="632"/>
    </row>
    <row r="26" spans="1:22" ht="17" thickBot="1" x14ac:dyDescent="0.25">
      <c r="A26" s="645" t="s">
        <v>175</v>
      </c>
      <c r="B26" s="1230" t="s">
        <v>176</v>
      </c>
      <c r="C26" s="1231">
        <f>'APPENDIX 1-STR Trend '!E85/100</f>
        <v>5.0000000000000001E-3</v>
      </c>
      <c r="D26" s="1231">
        <f>'1-P&amp;L Modified'!Y39</f>
        <v>0</v>
      </c>
      <c r="E26" s="1581">
        <v>0.08</v>
      </c>
      <c r="F26" s="1231">
        <f>D26+E26</f>
        <v>0.08</v>
      </c>
      <c r="G26" s="1390" t="s">
        <v>173</v>
      </c>
      <c r="H26" s="1382" t="s">
        <v>130</v>
      </c>
      <c r="I26" s="284"/>
      <c r="J26" s="225">
        <f>4000/130.32</f>
        <v>30.693677102516883</v>
      </c>
      <c r="K26" s="644" t="s">
        <v>177</v>
      </c>
      <c r="L26" s="670" t="s">
        <v>130</v>
      </c>
      <c r="T26" s="632"/>
      <c r="U26" s="632"/>
    </row>
    <row r="27" spans="1:22" x14ac:dyDescent="0.2">
      <c r="A27" s="1971" t="s">
        <v>178</v>
      </c>
      <c r="B27" s="1971"/>
      <c r="C27" s="1971"/>
      <c r="D27" s="1971"/>
      <c r="E27" s="1971"/>
      <c r="F27" s="1971"/>
      <c r="G27" s="1972"/>
      <c r="H27" s="1382" t="s">
        <v>130</v>
      </c>
      <c r="I27" s="284"/>
      <c r="J27" s="225">
        <f>4000/115.09</f>
        <v>34.755408810496135</v>
      </c>
      <c r="K27" s="250" t="s">
        <v>179</v>
      </c>
      <c r="L27" s="670" t="s">
        <v>130</v>
      </c>
      <c r="T27" s="632"/>
      <c r="U27" s="632"/>
    </row>
    <row r="28" spans="1:22" s="131" customFormat="1" hidden="1" x14ac:dyDescent="0.2">
      <c r="A28" s="633" t="s">
        <v>180</v>
      </c>
      <c r="B28" s="1724" t="s">
        <v>181</v>
      </c>
      <c r="C28" s="1724">
        <v>-1E-3</v>
      </c>
      <c r="D28" s="222"/>
      <c r="E28" s="1243"/>
      <c r="F28" s="638"/>
      <c r="G28" s="250"/>
      <c r="H28" s="631"/>
      <c r="I28" s="284"/>
      <c r="J28" s="225">
        <f>1700/96</f>
        <v>17.708333333333332</v>
      </c>
      <c r="K28" s="250" t="s">
        <v>182</v>
      </c>
      <c r="L28" s="222"/>
      <c r="M28" s="222"/>
      <c r="N28" s="222"/>
      <c r="O28" s="222"/>
      <c r="P28" s="222"/>
      <c r="Q28" s="222"/>
      <c r="R28" s="222"/>
      <c r="S28" s="222"/>
      <c r="T28" s="643"/>
      <c r="U28" s="643"/>
      <c r="V28" s="557"/>
    </row>
    <row r="29" spans="1:22" s="131" customFormat="1" x14ac:dyDescent="0.2">
      <c r="A29" s="633" t="s">
        <v>183</v>
      </c>
      <c r="B29" s="1724"/>
      <c r="C29" s="1724"/>
      <c r="D29" s="1186"/>
      <c r="E29" s="1197"/>
      <c r="F29" s="1342">
        <f>J34*90*12</f>
        <v>32740.016811003661</v>
      </c>
      <c r="G29" s="250" t="s">
        <v>184</v>
      </c>
      <c r="H29" s="642"/>
      <c r="I29" s="284"/>
      <c r="J29" s="225">
        <f>2400/193</f>
        <v>12.435233160621761</v>
      </c>
      <c r="K29" s="250" t="s">
        <v>185</v>
      </c>
      <c r="L29" s="670" t="s">
        <v>130</v>
      </c>
      <c r="M29" s="222"/>
      <c r="N29" s="222"/>
      <c r="O29" s="222"/>
      <c r="P29" s="222"/>
      <c r="Q29" s="222"/>
      <c r="R29" s="222"/>
      <c r="S29" s="222"/>
      <c r="T29" s="643"/>
      <c r="U29" s="643"/>
      <c r="V29" s="557"/>
    </row>
    <row r="30" spans="1:22" x14ac:dyDescent="0.2">
      <c r="A30" s="633" t="s">
        <v>186</v>
      </c>
      <c r="B30" s="1724" t="s">
        <v>155</v>
      </c>
      <c r="C30" s="1724">
        <f>'APPENDIX 1-STR Trend '!G90</f>
        <v>7467</v>
      </c>
      <c r="D30" s="1186"/>
      <c r="E30" s="1197"/>
      <c r="F30" s="1342"/>
      <c r="G30" s="250"/>
      <c r="I30" s="284"/>
      <c r="J30" s="225">
        <f>8100/290</f>
        <v>27.931034482758619</v>
      </c>
      <c r="K30" s="250" t="s">
        <v>187</v>
      </c>
      <c r="L30" s="670" t="s">
        <v>130</v>
      </c>
    </row>
    <row r="31" spans="1:22" x14ac:dyDescent="0.2">
      <c r="A31" s="633" t="s">
        <v>188</v>
      </c>
      <c r="B31" s="1724" t="s">
        <v>155</v>
      </c>
      <c r="C31" s="1724">
        <f>'APPENDIX 1-STR Trend '!G91+'APPENDIX 1-STR Trend '!G92</f>
        <v>366</v>
      </c>
      <c r="D31" s="1186">
        <f>'1-P&amp;L Modified'!AA48</f>
        <v>316.90140845070425</v>
      </c>
      <c r="E31" s="1582">
        <v>0.05</v>
      </c>
      <c r="F31" s="1342">
        <f t="shared" ref="F31" si="2">D31*(1+E31)</f>
        <v>332.74647887323948</v>
      </c>
      <c r="G31" s="250" t="s">
        <v>189</v>
      </c>
      <c r="I31" s="284"/>
      <c r="J31" s="225">
        <f>3800/105</f>
        <v>36.19047619047619</v>
      </c>
      <c r="K31" s="250" t="s">
        <v>190</v>
      </c>
      <c r="L31" s="670" t="s">
        <v>130</v>
      </c>
    </row>
    <row r="32" spans="1:22" ht="17" thickBot="1" x14ac:dyDescent="0.25">
      <c r="A32" s="645"/>
      <c r="B32" s="646"/>
      <c r="C32" s="646"/>
      <c r="D32" s="611"/>
      <c r="E32" s="1244"/>
      <c r="F32" s="1232"/>
      <c r="G32" s="575"/>
      <c r="I32" s="284"/>
      <c r="J32" s="225">
        <f>6000/145</f>
        <v>41.379310344827587</v>
      </c>
      <c r="K32" s="250" t="s">
        <v>191</v>
      </c>
      <c r="L32" s="670" t="s">
        <v>130</v>
      </c>
    </row>
    <row r="33" spans="1:12" ht="17" thickBot="1" x14ac:dyDescent="0.25">
      <c r="I33" s="671"/>
      <c r="J33" s="443">
        <v>35</v>
      </c>
      <c r="K33" s="672" t="s">
        <v>192</v>
      </c>
      <c r="L33" s="670" t="s">
        <v>130</v>
      </c>
    </row>
    <row r="34" spans="1:12" ht="18" thickTop="1" thickBot="1" x14ac:dyDescent="0.25">
      <c r="I34" s="1386" t="s">
        <v>193</v>
      </c>
      <c r="J34" s="1387">
        <f>AVERAGE(J25:J33)</f>
        <v>30.314830380558949</v>
      </c>
      <c r="K34" s="1388"/>
    </row>
    <row r="35" spans="1:12" ht="46" thickBot="1" x14ac:dyDescent="0.25">
      <c r="A35" s="1969" t="s">
        <v>194</v>
      </c>
      <c r="B35" s="1970"/>
      <c r="C35" s="1970"/>
      <c r="D35" s="1970"/>
      <c r="E35" s="1970"/>
      <c r="F35" s="1970"/>
      <c r="G35" s="1970"/>
    </row>
    <row r="36" spans="1:12" ht="17" thickBot="1" x14ac:dyDescent="0.25"/>
    <row r="37" spans="1:12" ht="25" thickBot="1" x14ac:dyDescent="0.25">
      <c r="A37" s="666" t="s">
        <v>195</v>
      </c>
      <c r="B37" s="665" t="s">
        <v>196</v>
      </c>
      <c r="C37" s="666" t="s">
        <v>197</v>
      </c>
      <c r="D37" s="1964" t="s">
        <v>198</v>
      </c>
      <c r="E37" s="1965"/>
      <c r="F37" s="1965"/>
      <c r="G37" s="1966"/>
    </row>
    <row r="38" spans="1:12" ht="17" thickBot="1" x14ac:dyDescent="0.25">
      <c r="A38" s="669" t="s">
        <v>199</v>
      </c>
      <c r="B38" s="668" t="s">
        <v>200</v>
      </c>
      <c r="C38" s="1385">
        <v>0.1</v>
      </c>
      <c r="D38" s="1967" t="s">
        <v>201</v>
      </c>
      <c r="E38" s="1967"/>
      <c r="F38" s="1967"/>
      <c r="G38" s="1968"/>
    </row>
    <row r="39" spans="1:12" ht="17" thickBot="1" x14ac:dyDescent="0.25">
      <c r="A39" s="633" t="s">
        <v>202</v>
      </c>
      <c r="B39" s="1724" t="s">
        <v>203</v>
      </c>
      <c r="C39" s="1725">
        <v>0.15</v>
      </c>
      <c r="D39" s="1959" t="s">
        <v>204</v>
      </c>
      <c r="E39" s="1959"/>
      <c r="F39" s="1959"/>
      <c r="G39" s="1960"/>
      <c r="I39" s="674" t="s">
        <v>205</v>
      </c>
      <c r="J39" s="1328" t="s">
        <v>206</v>
      </c>
      <c r="K39" s="674" t="s">
        <v>171</v>
      </c>
    </row>
    <row r="40" spans="1:12" x14ac:dyDescent="0.2">
      <c r="A40" s="633" t="s">
        <v>207</v>
      </c>
      <c r="B40" s="1726" t="s">
        <v>208</v>
      </c>
      <c r="C40" s="1727">
        <v>0.15</v>
      </c>
      <c r="D40" s="1957" t="s">
        <v>209</v>
      </c>
      <c r="E40" s="1957"/>
      <c r="F40" s="1957"/>
      <c r="G40" s="1958"/>
      <c r="I40" s="284" t="s">
        <v>210</v>
      </c>
      <c r="J40" s="225">
        <f>45300*0.86</f>
        <v>38958</v>
      </c>
      <c r="K40" s="250" t="s">
        <v>211</v>
      </c>
      <c r="L40" s="670" t="s">
        <v>130</v>
      </c>
    </row>
    <row r="41" spans="1:12" ht="17" thickBot="1" x14ac:dyDescent="0.25">
      <c r="A41" s="633" t="s">
        <v>212</v>
      </c>
      <c r="B41" s="1724" t="s">
        <v>200</v>
      </c>
      <c r="C41" s="1728">
        <f>J41/J40-1</f>
        <v>0.16879716617896201</v>
      </c>
      <c r="D41" s="1959"/>
      <c r="E41" s="1959"/>
      <c r="F41" s="1959"/>
      <c r="G41" s="1960"/>
      <c r="I41" s="518" t="s">
        <v>213</v>
      </c>
      <c r="J41" s="676">
        <f>45534</f>
        <v>45534</v>
      </c>
      <c r="K41" s="575" t="s">
        <v>214</v>
      </c>
      <c r="L41" s="670" t="s">
        <v>130</v>
      </c>
    </row>
    <row r="42" spans="1:12" x14ac:dyDescent="0.2">
      <c r="A42" s="633" t="s">
        <v>215</v>
      </c>
      <c r="B42" s="1726" t="s">
        <v>200</v>
      </c>
      <c r="C42" s="1727">
        <v>0.1</v>
      </c>
      <c r="D42" s="1957" t="s">
        <v>216</v>
      </c>
      <c r="E42" s="1957"/>
      <c r="F42" s="1957"/>
      <c r="G42" s="1958"/>
    </row>
    <row r="43" spans="1:12" x14ac:dyDescent="0.2">
      <c r="A43" s="633" t="s">
        <v>217</v>
      </c>
      <c r="B43" s="1724" t="s">
        <v>200</v>
      </c>
      <c r="C43" s="1725">
        <v>0.06</v>
      </c>
      <c r="D43" s="1959" t="s">
        <v>218</v>
      </c>
      <c r="E43" s="1959"/>
      <c r="F43" s="1959"/>
      <c r="G43" s="1960"/>
    </row>
    <row r="44" spans="1:12" ht="17" thickBot="1" x14ac:dyDescent="0.25">
      <c r="A44" s="645" t="s">
        <v>219</v>
      </c>
      <c r="B44" s="667"/>
      <c r="C44" s="667"/>
      <c r="D44" s="1961" t="s">
        <v>220</v>
      </c>
      <c r="E44" s="1962"/>
      <c r="F44" s="1962"/>
      <c r="G44" s="1963"/>
    </row>
    <row r="48" spans="1:12" ht="24" x14ac:dyDescent="0.3">
      <c r="B48" s="647"/>
      <c r="C48" s="648"/>
      <c r="D48" s="649"/>
    </row>
    <row r="62" spans="1:1" ht="24" x14ac:dyDescent="0.3">
      <c r="A62" s="650"/>
    </row>
    <row r="64" spans="1:1" x14ac:dyDescent="0.2">
      <c r="A64" s="651"/>
    </row>
    <row r="80" spans="1:1" x14ac:dyDescent="0.2">
      <c r="A80" s="652"/>
    </row>
    <row r="81" spans="1:2" x14ac:dyDescent="0.2">
      <c r="A81" s="632"/>
    </row>
    <row r="83" spans="1:2" x14ac:dyDescent="0.2">
      <c r="B83" s="653"/>
    </row>
    <row r="113" spans="2:7" x14ac:dyDescent="0.2">
      <c r="B113" s="654"/>
      <c r="D113" s="655"/>
      <c r="G113" s="654"/>
    </row>
  </sheetData>
  <mergeCells count="15">
    <mergeCell ref="D37:G37"/>
    <mergeCell ref="D38:G38"/>
    <mergeCell ref="D39:G39"/>
    <mergeCell ref="A3:G3"/>
    <mergeCell ref="A35:G35"/>
    <mergeCell ref="A18:G18"/>
    <mergeCell ref="A8:G8"/>
    <mergeCell ref="A13:G13"/>
    <mergeCell ref="A24:G24"/>
    <mergeCell ref="A27:G27"/>
    <mergeCell ref="D40:G40"/>
    <mergeCell ref="D41:G41"/>
    <mergeCell ref="D42:G42"/>
    <mergeCell ref="D43:G43"/>
    <mergeCell ref="D44:G44"/>
  </mergeCells>
  <hyperlinks>
    <hyperlink ref="D39" r:id="rId1" xr:uid="{8507351A-3780-D742-BAB7-1191D50E0504}"/>
    <hyperlink ref="K26" r:id="rId2" location="/" xr:uid="{9EECA6E7-528F-8E4C-A8B4-03AFF064A301}"/>
    <hyperlink ref="D44" r:id="rId3" xr:uid="{8A9DC927-195E-624B-8D69-6C5CA55B5204}"/>
    <hyperlink ref="D43" r:id="rId4" xr:uid="{9A4DD990-C4F7-FD42-8471-50261B9C0B4A}"/>
  </hyperlinks>
  <pageMargins left="0.7" right="0.7" top="0.75" bottom="0.75" header="0.3" footer="0.3"/>
  <pageSetup paperSize="9" orientation="portrait" horizontalDpi="0" verticalDpi="0"/>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D8511-8AB2-2D49-9CCA-031BD7494836}">
  <sheetPr>
    <tabColor theme="2" tint="-0.499984740745262"/>
  </sheetPr>
  <dimension ref="A1:BY72"/>
  <sheetViews>
    <sheetView showGridLines="0" zoomScale="81" workbookViewId="0">
      <pane xSplit="1" topLeftCell="AC1" activePane="topRight" state="frozen"/>
      <selection activeCell="AF28" sqref="AF28:BW28"/>
      <selection pane="topRight" activeCell="F5" sqref="F5"/>
    </sheetView>
  </sheetViews>
  <sheetFormatPr baseColWidth="10" defaultColWidth="11" defaultRowHeight="16" x14ac:dyDescent="0.2"/>
  <cols>
    <col min="1" max="1" width="65.1640625" style="222" bestFit="1" customWidth="1"/>
    <col min="2" max="2" width="18" style="222" customWidth="1"/>
    <col min="3" max="3" width="14.33203125" style="222" customWidth="1"/>
    <col min="4" max="4" width="14.83203125" style="222" bestFit="1" customWidth="1"/>
    <col min="5" max="5" width="13.6640625" style="222" customWidth="1"/>
    <col min="6" max="6" width="19.1640625" style="222" customWidth="1"/>
    <col min="7" max="7" width="13.5" style="222" customWidth="1"/>
    <col min="8" max="8" width="17.33203125" style="222" customWidth="1"/>
    <col min="9" max="9" width="14.6640625" style="222" customWidth="1"/>
    <col min="10" max="10" width="21" style="222" customWidth="1"/>
    <col min="11" max="11" width="14.83203125" style="222" customWidth="1"/>
    <col min="12" max="12" width="18" style="222" customWidth="1"/>
    <col min="13" max="13" width="16.5" style="222" customWidth="1"/>
    <col min="14" max="14" width="17" style="222" customWidth="1"/>
    <col min="15" max="15" width="11" style="222" customWidth="1"/>
    <col min="16" max="16" width="14.83203125" style="222" bestFit="1" customWidth="1"/>
    <col min="17" max="17" width="11" style="222" customWidth="1"/>
    <col min="18" max="18" width="14.83203125" style="222" bestFit="1" customWidth="1"/>
    <col min="19" max="19" width="11" style="222" customWidth="1"/>
    <col min="20" max="20" width="14.83203125" style="222" bestFit="1" customWidth="1"/>
    <col min="21" max="21" width="11" style="222" customWidth="1"/>
    <col min="22" max="22" width="14.83203125" style="222" bestFit="1" customWidth="1"/>
    <col min="23" max="23" width="11" style="222" customWidth="1"/>
    <col min="24" max="24" width="14.83203125" style="222" bestFit="1" customWidth="1"/>
    <col min="25" max="25" width="11.1640625" style="222" bestFit="1" customWidth="1"/>
    <col min="26" max="26" width="8.5" style="222" bestFit="1" customWidth="1"/>
    <col min="27" max="27" width="11.83203125" style="222" bestFit="1" customWidth="1"/>
    <col min="28" max="28" width="15" style="222" bestFit="1" customWidth="1"/>
    <col min="29" max="30" width="11" style="222" customWidth="1"/>
    <col min="31" max="31" width="11.83203125" style="222" bestFit="1" customWidth="1"/>
    <col min="32" max="32" width="15" style="222" bestFit="1" customWidth="1"/>
    <col min="33" max="34" width="11" style="222" customWidth="1"/>
    <col min="35" max="35" width="12.5" style="222" bestFit="1" customWidth="1"/>
    <col min="36" max="36" width="15" style="222" bestFit="1" customWidth="1"/>
    <col min="37" max="38" width="11" style="222" customWidth="1"/>
    <col min="39" max="39" width="14.33203125" style="222" customWidth="1"/>
    <col min="40" max="40" width="15" style="222" bestFit="1" customWidth="1"/>
    <col min="41" max="41" width="11" style="222" customWidth="1"/>
    <col min="42" max="42" width="9.5" style="222" bestFit="1" customWidth="1"/>
    <col min="43" max="43" width="14.6640625" style="222" bestFit="1" customWidth="1"/>
    <col min="44" max="44" width="15" style="222" bestFit="1" customWidth="1"/>
    <col min="45" max="46" width="11" style="222" customWidth="1"/>
    <col min="47" max="47" width="15.6640625" style="222" customWidth="1"/>
    <col min="48" max="48" width="15" style="222" bestFit="1" customWidth="1"/>
    <col min="49" max="50" width="11" style="222" customWidth="1"/>
    <col min="51" max="51" width="16.5" style="222" customWidth="1"/>
    <col min="52" max="52" width="15" style="222" bestFit="1" customWidth="1"/>
    <col min="53" max="54" width="11" style="222" customWidth="1"/>
    <col min="55" max="55" width="14.33203125" style="222" customWidth="1"/>
    <col min="56" max="56" width="15" style="222" bestFit="1" customWidth="1"/>
    <col min="57" max="58" width="11" style="222" customWidth="1"/>
    <col min="59" max="59" width="14.6640625" style="222" bestFit="1" customWidth="1"/>
    <col min="60" max="60" width="15" style="222" bestFit="1" customWidth="1"/>
    <col min="61" max="62" width="11" style="222" customWidth="1"/>
    <col min="63" max="63" width="17" style="222" customWidth="1"/>
    <col min="64" max="64" width="15" style="222" bestFit="1" customWidth="1"/>
    <col min="65" max="66" width="11" style="222" customWidth="1"/>
    <col min="67" max="67" width="16.33203125" style="222" customWidth="1"/>
    <col min="68" max="68" width="15" style="222" bestFit="1" customWidth="1"/>
    <col min="69" max="69" width="11" style="222" customWidth="1"/>
    <col min="70" max="70" width="11.1640625" style="222" bestFit="1" customWidth="1"/>
    <col min="71" max="71" width="14.6640625" style="222" bestFit="1" customWidth="1"/>
    <col min="72" max="77" width="11" style="222"/>
  </cols>
  <sheetData>
    <row r="1" spans="1:77" ht="35" thickBot="1" x14ac:dyDescent="0.25">
      <c r="A1" s="1900" t="s">
        <v>221</v>
      </c>
      <c r="B1" s="1901"/>
    </row>
    <row r="2" spans="1:77" x14ac:dyDescent="0.2">
      <c r="A2" s="680" t="s">
        <v>222</v>
      </c>
      <c r="B2" s="681">
        <v>142</v>
      </c>
    </row>
    <row r="3" spans="1:77" x14ac:dyDescent="0.2">
      <c r="A3" s="1720" t="s">
        <v>104</v>
      </c>
      <c r="B3" s="1721">
        <f>'PRELIMINARY ANALYSIS'!K23</f>
        <v>2.1181818181818177E-2</v>
      </c>
    </row>
    <row r="4" spans="1:77" x14ac:dyDescent="0.2">
      <c r="A4" s="559" t="s">
        <v>223</v>
      </c>
      <c r="B4" s="1721">
        <f>'PRELIMINARY ANALYSIS'!K25</f>
        <v>8.0202527216806044E-3</v>
      </c>
      <c r="Y4" s="654"/>
    </row>
    <row r="5" spans="1:77" ht="17" thickBot="1" x14ac:dyDescent="0.25">
      <c r="A5" s="682" t="s">
        <v>122</v>
      </c>
      <c r="B5" s="683">
        <f>'PRELIMINARY ANALYSIS'!C52</f>
        <v>1.8682485821326367E-3</v>
      </c>
    </row>
    <row r="6" spans="1:77" ht="17" thickBot="1" x14ac:dyDescent="0.25">
      <c r="P6" s="1903" t="s">
        <v>224</v>
      </c>
      <c r="Q6" s="1904"/>
      <c r="R6" s="1904"/>
      <c r="S6" s="1904"/>
      <c r="T6" s="1904"/>
      <c r="U6" s="1905"/>
      <c r="AV6" s="684" t="s">
        <v>225</v>
      </c>
      <c r="AW6" s="685"/>
      <c r="AX6" s="685"/>
      <c r="AY6" s="685"/>
    </row>
    <row r="7" spans="1:77" ht="20" thickBot="1" x14ac:dyDescent="0.3">
      <c r="A7" s="854" t="s">
        <v>96</v>
      </c>
      <c r="B7" s="1906">
        <v>2013</v>
      </c>
      <c r="C7" s="1907"/>
      <c r="D7" s="1896">
        <v>2014</v>
      </c>
      <c r="E7" s="1897"/>
      <c r="F7" s="1895">
        <v>2015</v>
      </c>
      <c r="G7" s="1897"/>
      <c r="H7" s="1895">
        <v>2016</v>
      </c>
      <c r="I7" s="1897"/>
      <c r="J7" s="1895">
        <v>2017</v>
      </c>
      <c r="K7" s="1897"/>
      <c r="L7" s="1895">
        <v>2018</v>
      </c>
      <c r="M7" s="1897"/>
      <c r="N7" s="1895">
        <v>2019</v>
      </c>
      <c r="O7" s="1897"/>
      <c r="P7" s="1975">
        <v>2020</v>
      </c>
      <c r="Q7" s="1976"/>
      <c r="R7" s="1975">
        <v>2021</v>
      </c>
      <c r="S7" s="1976"/>
      <c r="T7" s="1975">
        <v>2022</v>
      </c>
      <c r="U7" s="1976"/>
      <c r="V7" s="1895">
        <v>2023</v>
      </c>
      <c r="W7" s="1897"/>
      <c r="X7" s="1895">
        <v>2024</v>
      </c>
      <c r="Y7" s="1896"/>
      <c r="Z7" s="1896"/>
      <c r="AA7" s="1907"/>
      <c r="AB7" s="1893">
        <v>2025</v>
      </c>
      <c r="AC7" s="1892"/>
      <c r="AD7" s="1892"/>
      <c r="AE7" s="1894"/>
      <c r="AF7" s="1893">
        <v>2026</v>
      </c>
      <c r="AG7" s="1892"/>
      <c r="AH7" s="1892"/>
      <c r="AI7" s="1892"/>
      <c r="AJ7" s="1893">
        <v>2027</v>
      </c>
      <c r="AK7" s="1892"/>
      <c r="AL7" s="1892"/>
      <c r="AM7" s="1892"/>
      <c r="AN7" s="1893">
        <v>2028</v>
      </c>
      <c r="AO7" s="1892"/>
      <c r="AP7" s="1892"/>
      <c r="AQ7" s="1894"/>
      <c r="AR7" s="1892">
        <v>2029</v>
      </c>
      <c r="AS7" s="1892"/>
      <c r="AT7" s="1892"/>
      <c r="AU7" s="1894"/>
      <c r="AV7" s="1893">
        <v>2030</v>
      </c>
      <c r="AW7" s="1892"/>
      <c r="AX7" s="1892"/>
      <c r="AY7" s="1894"/>
      <c r="AZ7" s="1893">
        <v>2031</v>
      </c>
      <c r="BA7" s="1892"/>
      <c r="BB7" s="1892"/>
      <c r="BC7" s="1894"/>
      <c r="BD7" s="1893">
        <v>2032</v>
      </c>
      <c r="BE7" s="1892"/>
      <c r="BF7" s="1892"/>
      <c r="BG7" s="1894"/>
      <c r="BH7" s="1893">
        <v>2033</v>
      </c>
      <c r="BI7" s="1892"/>
      <c r="BJ7" s="1892"/>
      <c r="BK7" s="1894"/>
      <c r="BL7" s="1893">
        <v>2034</v>
      </c>
      <c r="BM7" s="1892"/>
      <c r="BN7" s="1892"/>
      <c r="BO7" s="1892"/>
      <c r="BP7" s="1893">
        <v>2035</v>
      </c>
      <c r="BQ7" s="1892"/>
      <c r="BR7" s="1892"/>
      <c r="BS7" s="1894"/>
    </row>
    <row r="8" spans="1:77" ht="17" thickBot="1" x14ac:dyDescent="0.25">
      <c r="A8" s="855" t="s">
        <v>226</v>
      </c>
      <c r="B8" s="686">
        <v>365</v>
      </c>
      <c r="C8" s="692"/>
      <c r="D8" s="691">
        <v>365</v>
      </c>
      <c r="E8" s="687"/>
      <c r="F8" s="688">
        <v>365</v>
      </c>
      <c r="G8" s="687"/>
      <c r="H8" s="688">
        <v>366</v>
      </c>
      <c r="I8" s="687"/>
      <c r="J8" s="688">
        <v>365</v>
      </c>
      <c r="K8" s="687"/>
      <c r="L8" s="688">
        <v>365</v>
      </c>
      <c r="M8" s="687"/>
      <c r="N8" s="688">
        <v>365</v>
      </c>
      <c r="O8" s="687"/>
      <c r="P8" s="689">
        <v>366</v>
      </c>
      <c r="Q8" s="690"/>
      <c r="R8" s="689">
        <v>365</v>
      </c>
      <c r="S8" s="690"/>
      <c r="T8" s="689">
        <v>365</v>
      </c>
      <c r="U8" s="690"/>
      <c r="V8" s="688">
        <v>365</v>
      </c>
      <c r="W8" s="687"/>
      <c r="X8" s="688">
        <v>366</v>
      </c>
      <c r="Y8" s="691"/>
      <c r="Z8" s="691"/>
      <c r="AA8" s="692"/>
      <c r="AB8" s="693">
        <v>365</v>
      </c>
      <c r="AC8" s="694"/>
      <c r="AD8" s="694"/>
      <c r="AE8" s="695"/>
      <c r="AF8" s="693">
        <v>365</v>
      </c>
      <c r="AG8" s="694"/>
      <c r="AH8" s="694"/>
      <c r="AI8" s="694"/>
      <c r="AJ8" s="693">
        <v>365</v>
      </c>
      <c r="AK8" s="694"/>
      <c r="AL8" s="694"/>
      <c r="AM8" s="694"/>
      <c r="AN8" s="693">
        <v>366</v>
      </c>
      <c r="AO8" s="694"/>
      <c r="AP8" s="694"/>
      <c r="AQ8" s="695"/>
      <c r="AR8" s="694">
        <v>365</v>
      </c>
      <c r="AS8" s="694"/>
      <c r="AT8" s="694"/>
      <c r="AU8" s="695"/>
      <c r="AV8" s="693">
        <v>365</v>
      </c>
      <c r="AW8" s="694"/>
      <c r="AX8" s="694"/>
      <c r="AY8" s="695"/>
      <c r="AZ8" s="696">
        <v>365</v>
      </c>
      <c r="BA8" s="264"/>
      <c r="BB8" s="264"/>
      <c r="BC8" s="265"/>
      <c r="BD8" s="696">
        <v>366</v>
      </c>
      <c r="BE8" s="264"/>
      <c r="BF8" s="264"/>
      <c r="BG8" s="265"/>
      <c r="BH8" s="696">
        <v>365</v>
      </c>
      <c r="BI8" s="264"/>
      <c r="BJ8" s="264"/>
      <c r="BK8" s="265"/>
      <c r="BL8" s="696">
        <v>365</v>
      </c>
      <c r="BM8" s="264"/>
      <c r="BN8" s="264"/>
      <c r="BO8" s="264"/>
      <c r="BP8" s="855">
        <v>365</v>
      </c>
      <c r="BS8" s="250"/>
    </row>
    <row r="9" spans="1:77" s="37" customFormat="1" x14ac:dyDescent="0.2">
      <c r="A9" s="940" t="s">
        <v>227</v>
      </c>
      <c r="B9" s="929">
        <f>B8*$B$2</f>
        <v>51830</v>
      </c>
      <c r="C9" s="930"/>
      <c r="D9" s="931">
        <f>D8*$B$2</f>
        <v>51830</v>
      </c>
      <c r="E9" s="932"/>
      <c r="F9" s="927">
        <f>F8*$B$2</f>
        <v>51830</v>
      </c>
      <c r="G9" s="932"/>
      <c r="H9" s="927">
        <f>H8*$B$2</f>
        <v>51972</v>
      </c>
      <c r="I9" s="932"/>
      <c r="J9" s="927">
        <f>J8*$B$2</f>
        <v>51830</v>
      </c>
      <c r="K9" s="932"/>
      <c r="L9" s="927">
        <f>L8*$B$2</f>
        <v>51830</v>
      </c>
      <c r="M9" s="932"/>
      <c r="N9" s="927">
        <f>N8*$B$2</f>
        <v>51830</v>
      </c>
      <c r="O9" s="932"/>
      <c r="P9" s="933">
        <f>P8*$B$2</f>
        <v>51972</v>
      </c>
      <c r="Q9" s="934"/>
      <c r="R9" s="933">
        <f>R8*$B$2</f>
        <v>51830</v>
      </c>
      <c r="S9" s="934"/>
      <c r="T9" s="933">
        <f>T8*$B$2</f>
        <v>51830</v>
      </c>
      <c r="U9" s="934"/>
      <c r="V9" s="927">
        <f>V8*$B$2</f>
        <v>51830</v>
      </c>
      <c r="W9" s="932"/>
      <c r="X9" s="927">
        <f>X8*$B$2</f>
        <v>51972</v>
      </c>
      <c r="Y9" s="931"/>
      <c r="Z9" s="931"/>
      <c r="AA9" s="930"/>
      <c r="AB9" s="941">
        <f>AB8*$B$2</f>
        <v>51830</v>
      </c>
      <c r="AC9" s="938"/>
      <c r="AD9" s="938"/>
      <c r="AE9" s="936"/>
      <c r="AF9" s="941">
        <f>AF8*$B$2</f>
        <v>51830</v>
      </c>
      <c r="AG9" s="938"/>
      <c r="AH9" s="938"/>
      <c r="AI9" s="938"/>
      <c r="AJ9" s="942">
        <f>AJ8*$B$2</f>
        <v>51830</v>
      </c>
      <c r="AK9" s="938"/>
      <c r="AL9" s="938"/>
      <c r="AM9" s="938"/>
      <c r="AN9" s="942">
        <f>AN8*$B$2</f>
        <v>51972</v>
      </c>
      <c r="AO9" s="938"/>
      <c r="AP9" s="938"/>
      <c r="AQ9" s="936"/>
      <c r="AR9" s="943">
        <f>AR8*$B$2</f>
        <v>51830</v>
      </c>
      <c r="AS9" s="938"/>
      <c r="AT9" s="938"/>
      <c r="AU9" s="936"/>
      <c r="AV9" s="941">
        <f>AV8*$B$2</f>
        <v>51830</v>
      </c>
      <c r="AW9" s="938"/>
      <c r="AX9" s="938"/>
      <c r="AY9" s="936"/>
      <c r="AZ9" s="941">
        <f>AZ8*$B$2</f>
        <v>51830</v>
      </c>
      <c r="BA9" s="938"/>
      <c r="BB9" s="938"/>
      <c r="BC9" s="936"/>
      <c r="BD9" s="941">
        <f>BD8*$B$2</f>
        <v>51972</v>
      </c>
      <c r="BE9" s="938"/>
      <c r="BF9" s="938"/>
      <c r="BG9" s="936"/>
      <c r="BH9" s="941">
        <f>BH8*$B$2</f>
        <v>51830</v>
      </c>
      <c r="BI9" s="938"/>
      <c r="BJ9" s="938"/>
      <c r="BK9" s="936"/>
      <c r="BL9" s="941">
        <f>BL8*$B$2</f>
        <v>51830</v>
      </c>
      <c r="BM9" s="938"/>
      <c r="BN9" s="938"/>
      <c r="BO9" s="938"/>
      <c r="BP9" s="942">
        <f>BP8*$B$2</f>
        <v>51830</v>
      </c>
      <c r="BQ9" s="938"/>
      <c r="BR9" s="938"/>
      <c r="BS9" s="936"/>
      <c r="BT9" s="939"/>
      <c r="BU9" s="939"/>
      <c r="BV9" s="939"/>
      <c r="BW9" s="939"/>
      <c r="BX9" s="939"/>
      <c r="BY9" s="939"/>
    </row>
    <row r="10" spans="1:77" s="37" customFormat="1" x14ac:dyDescent="0.2">
      <c r="A10" s="928" t="s">
        <v>228</v>
      </c>
      <c r="B10" s="929">
        <f>B11*B9</f>
        <v>33406</v>
      </c>
      <c r="C10" s="930"/>
      <c r="D10" s="931">
        <f>D11*D9</f>
        <v>28091.86</v>
      </c>
      <c r="E10" s="932"/>
      <c r="F10" s="927">
        <f>F11*F9</f>
        <v>38561.519999999997</v>
      </c>
      <c r="G10" s="932"/>
      <c r="H10" s="927">
        <f>H11*H9</f>
        <v>40174.356</v>
      </c>
      <c r="I10" s="932"/>
      <c r="J10" s="927">
        <f>J11*J9</f>
        <v>37576.75</v>
      </c>
      <c r="K10" s="932"/>
      <c r="L10" s="927">
        <f>L11*L9</f>
        <v>38717.01</v>
      </c>
      <c r="M10" s="932"/>
      <c r="N10" s="927">
        <f>N11*N9</f>
        <v>40220.080000000002</v>
      </c>
      <c r="O10" s="932"/>
      <c r="P10" s="933">
        <f>P11*P9</f>
        <v>11122.008</v>
      </c>
      <c r="Q10" s="934"/>
      <c r="R10" s="933">
        <f>R11*R9</f>
        <v>11765.41</v>
      </c>
      <c r="S10" s="934"/>
      <c r="T10" s="933">
        <f>T11*T9</f>
        <v>23738.14</v>
      </c>
      <c r="U10" s="934"/>
      <c r="V10" s="927">
        <f>V11*V9</f>
        <v>32963.879999999997</v>
      </c>
      <c r="W10" s="932"/>
      <c r="X10" s="927">
        <f>X11*X9</f>
        <v>38615.195999999996</v>
      </c>
      <c r="Y10" s="931"/>
      <c r="Z10" s="931"/>
      <c r="AA10" s="930"/>
      <c r="AB10" s="1508">
        <f>ROUNDDOWN(AB9*AB11,0)</f>
        <v>38581</v>
      </c>
      <c r="AC10" s="935"/>
      <c r="AD10" s="935"/>
      <c r="AE10" s="936"/>
      <c r="AF10" s="1508">
        <f>ROUNDDOWN(AF9*AF11,0)</f>
        <v>38653</v>
      </c>
      <c r="AG10" s="935"/>
      <c r="AH10" s="935"/>
      <c r="AI10" s="935"/>
      <c r="AJ10" s="1508">
        <f>ROUNDDOWN(AJ9*AJ11,0)</f>
        <v>38725</v>
      </c>
      <c r="AK10" s="935"/>
      <c r="AL10" s="935"/>
      <c r="AM10" s="935"/>
      <c r="AN10" s="1508">
        <f>ROUNDDOWN(AN9*AN11,0)</f>
        <v>38904</v>
      </c>
      <c r="AO10" s="935"/>
      <c r="AP10" s="935"/>
      <c r="AQ10" s="937"/>
      <c r="AR10" s="1508">
        <f>ROUNDDOWN(AR9*AR11,0)</f>
        <v>38870</v>
      </c>
      <c r="AS10" s="935"/>
      <c r="AT10" s="935"/>
      <c r="AU10" s="936"/>
      <c r="AV10" s="1508">
        <f>ROUNDDOWN(AV9*AV11,0)</f>
        <v>38943</v>
      </c>
      <c r="AW10" s="935"/>
      <c r="AX10" s="935"/>
      <c r="AY10" s="936"/>
      <c r="AZ10" s="1508">
        <f>ROUNDDOWN(AZ9*AZ11,0)</f>
        <v>38943</v>
      </c>
      <c r="BA10" s="935"/>
      <c r="BB10" s="935"/>
      <c r="BC10" s="936"/>
      <c r="BD10" s="1508">
        <f>ROUNDDOWN(BD9*BD11,0)</f>
        <v>39050</v>
      </c>
      <c r="BE10" s="935"/>
      <c r="BF10" s="935"/>
      <c r="BG10" s="936"/>
      <c r="BH10" s="1508">
        <f>ROUNDDOWN(BH9*BH11,0)</f>
        <v>38943</v>
      </c>
      <c r="BI10" s="935"/>
      <c r="BJ10" s="935"/>
      <c r="BK10" s="936"/>
      <c r="BL10" s="1508">
        <f>ROUNDDOWN(BL9*BL11,0)</f>
        <v>38943</v>
      </c>
      <c r="BM10" s="935"/>
      <c r="BN10" s="935"/>
      <c r="BO10" s="938"/>
      <c r="BP10" s="1508">
        <f>ROUNDDOWN(BP9*BP11,0)</f>
        <v>38943</v>
      </c>
      <c r="BQ10" s="935"/>
      <c r="BR10" s="935"/>
      <c r="BS10" s="936"/>
      <c r="BT10" s="939"/>
      <c r="BU10" s="939"/>
      <c r="BV10" s="939"/>
      <c r="BW10" s="939"/>
      <c r="BX10" s="939"/>
      <c r="BY10" s="939"/>
    </row>
    <row r="11" spans="1:77" x14ac:dyDescent="0.2">
      <c r="A11" s="741" t="s">
        <v>229</v>
      </c>
      <c r="B11" s="700">
        <v>0.64453019486783714</v>
      </c>
      <c r="C11" s="867"/>
      <c r="D11" s="863">
        <v>0.54200000000000004</v>
      </c>
      <c r="E11" s="701"/>
      <c r="F11" s="702">
        <v>0.74399999999999999</v>
      </c>
      <c r="G11" s="701"/>
      <c r="H11" s="702">
        <v>0.77300000000000002</v>
      </c>
      <c r="I11" s="701"/>
      <c r="J11" s="702">
        <v>0.72499999999999998</v>
      </c>
      <c r="K11" s="701"/>
      <c r="L11" s="702">
        <v>0.747</v>
      </c>
      <c r="M11" s="701"/>
      <c r="N11" s="702">
        <v>0.77600000000000002</v>
      </c>
      <c r="O11" s="701"/>
      <c r="P11" s="703">
        <v>0.214</v>
      </c>
      <c r="Q11" s="704"/>
      <c r="R11" s="703">
        <v>0.22700000000000001</v>
      </c>
      <c r="S11" s="704"/>
      <c r="T11" s="705">
        <v>0.45800000000000002</v>
      </c>
      <c r="U11" s="706"/>
      <c r="V11" s="707">
        <v>0.63600000000000001</v>
      </c>
      <c r="W11" s="708"/>
      <c r="X11" s="707">
        <v>0.74299999999999999</v>
      </c>
      <c r="Y11" s="709"/>
      <c r="Z11" s="709"/>
      <c r="AA11" s="710"/>
      <c r="AB11" s="711">
        <f>X11*(1+$B$5)</f>
        <v>0.7443881086965245</v>
      </c>
      <c r="AC11" s="712"/>
      <c r="AD11" s="712"/>
      <c r="AE11" s="713"/>
      <c r="AF11" s="711">
        <f>AB11*(1+$B$5)</f>
        <v>0.74577881072515317</v>
      </c>
      <c r="AG11" s="712"/>
      <c r="AH11" s="712"/>
      <c r="AI11" s="712"/>
      <c r="AJ11" s="711">
        <f>AF11*(1+$B$5)</f>
        <v>0.74717211093087499</v>
      </c>
      <c r="AK11" s="712"/>
      <c r="AL11" s="712"/>
      <c r="AM11" s="712"/>
      <c r="AN11" s="711">
        <f>AJ11*(1+$B$5)</f>
        <v>0.74856801416773067</v>
      </c>
      <c r="AO11" s="712"/>
      <c r="AP11" s="712"/>
      <c r="AQ11" s="908"/>
      <c r="AR11" s="713">
        <f>AN11*(1+$B$5)</f>
        <v>0.74996652529882935</v>
      </c>
      <c r="AS11" s="712"/>
      <c r="AT11" s="712"/>
      <c r="AU11" s="713"/>
      <c r="AV11" s="711">
        <f>AR11*(1+$B$5)</f>
        <v>0.75136764919636578</v>
      </c>
      <c r="AW11" s="712"/>
      <c r="AX11" s="712"/>
      <c r="AY11" s="713"/>
      <c r="AZ11" s="711">
        <f>AV11</f>
        <v>0.75136764919636578</v>
      </c>
      <c r="BA11" s="712"/>
      <c r="BB11" s="712"/>
      <c r="BC11" s="713"/>
      <c r="BD11" s="711">
        <f>AZ11</f>
        <v>0.75136764919636578</v>
      </c>
      <c r="BE11" s="712"/>
      <c r="BF11" s="712"/>
      <c r="BG11" s="713"/>
      <c r="BH11" s="711">
        <f>BD11</f>
        <v>0.75136764919636578</v>
      </c>
      <c r="BI11" s="712"/>
      <c r="BJ11" s="712"/>
      <c r="BK11" s="713"/>
      <c r="BL11" s="711">
        <f>BH11</f>
        <v>0.75136764919636578</v>
      </c>
      <c r="BM11" s="712"/>
      <c r="BN11" s="712"/>
      <c r="BO11" s="713"/>
      <c r="BP11" s="711">
        <f>BL11</f>
        <v>0.75136764919636578</v>
      </c>
      <c r="BQ11" s="712"/>
      <c r="BR11" s="712"/>
      <c r="BS11" s="923"/>
    </row>
    <row r="12" spans="1:77" x14ac:dyDescent="0.2">
      <c r="A12" s="857" t="s">
        <v>131</v>
      </c>
      <c r="B12" s="714">
        <v>112.49476142010417</v>
      </c>
      <c r="C12" s="868"/>
      <c r="D12" s="864">
        <v>116</v>
      </c>
      <c r="E12" s="715"/>
      <c r="F12" s="716">
        <v>115</v>
      </c>
      <c r="G12" s="715"/>
      <c r="H12" s="716">
        <v>117.25</v>
      </c>
      <c r="I12" s="715"/>
      <c r="J12" s="716">
        <v>125.93</v>
      </c>
      <c r="K12" s="715"/>
      <c r="L12" s="716">
        <v>126.6</v>
      </c>
      <c r="M12" s="715"/>
      <c r="N12" s="716">
        <v>125.6</v>
      </c>
      <c r="O12" s="715"/>
      <c r="P12" s="717">
        <v>108.9</v>
      </c>
      <c r="Q12" s="718"/>
      <c r="R12" s="717">
        <v>115.4</v>
      </c>
      <c r="S12" s="718"/>
      <c r="T12" s="719">
        <v>121.7</v>
      </c>
      <c r="U12" s="720"/>
      <c r="V12" s="721">
        <v>127.12</v>
      </c>
      <c r="W12" s="722"/>
      <c r="X12" s="721">
        <v>119.69</v>
      </c>
      <c r="Y12" s="723"/>
      <c r="Z12" s="723"/>
      <c r="AA12" s="724"/>
      <c r="AB12" s="725">
        <f>X12*(1+$B$4)</f>
        <v>120.64994404825795</v>
      </c>
      <c r="AC12" s="225"/>
      <c r="AD12" s="225"/>
      <c r="AE12" s="726"/>
      <c r="AF12" s="725">
        <f t="shared" ref="AF12:BP12" si="0">AB12*(1+$B$4)</f>
        <v>121.6175870903816</v>
      </c>
      <c r="AG12" s="225"/>
      <c r="AH12" s="225"/>
      <c r="AI12" s="225"/>
      <c r="AJ12" s="725">
        <f>AF12*(1+$B$4)</f>
        <v>122.59299087424746</v>
      </c>
      <c r="AK12" s="225"/>
      <c r="AL12" s="225"/>
      <c r="AM12" s="225"/>
      <c r="AN12" s="725">
        <f t="shared" si="0"/>
        <v>123.57621764296562</v>
      </c>
      <c r="AO12" s="225"/>
      <c r="AP12" s="225"/>
      <c r="AQ12" s="909"/>
      <c r="AR12" s="726">
        <f t="shared" si="0"/>
        <v>124.5673301388516</v>
      </c>
      <c r="AS12" s="225"/>
      <c r="AT12" s="225"/>
      <c r="AU12" s="726"/>
      <c r="AV12" s="725">
        <f t="shared" si="0"/>
        <v>125.56639160743022</v>
      </c>
      <c r="AW12" s="225"/>
      <c r="AX12" s="225"/>
      <c r="AY12" s="726"/>
      <c r="AZ12" s="725">
        <f t="shared" si="0"/>
        <v>126.57346580147133</v>
      </c>
      <c r="BA12" s="225"/>
      <c r="BB12" s="225"/>
      <c r="BC12" s="726"/>
      <c r="BD12" s="725">
        <f t="shared" si="0"/>
        <v>127.58861698505812</v>
      </c>
      <c r="BE12" s="225"/>
      <c r="BF12" s="225"/>
      <c r="BG12" s="726"/>
      <c r="BH12" s="725">
        <f t="shared" si="0"/>
        <v>128.61190993768801</v>
      </c>
      <c r="BI12" s="225"/>
      <c r="BJ12" s="225"/>
      <c r="BK12" s="726"/>
      <c r="BL12" s="725">
        <f t="shared" si="0"/>
        <v>129.64340995840629</v>
      </c>
      <c r="BM12" s="225"/>
      <c r="BN12" s="225"/>
      <c r="BO12" s="726"/>
      <c r="BP12" s="725">
        <f t="shared" si="0"/>
        <v>130.68318286997317</v>
      </c>
      <c r="BQ12" s="225"/>
      <c r="BR12" s="225"/>
      <c r="BS12" s="728"/>
    </row>
    <row r="13" spans="1:77" x14ac:dyDescent="0.2">
      <c r="A13" s="284" t="s">
        <v>230</v>
      </c>
      <c r="B13" s="714">
        <v>72.506270499710581</v>
      </c>
      <c r="C13" s="868"/>
      <c r="D13" s="864">
        <v>62.872000000000007</v>
      </c>
      <c r="E13" s="715"/>
      <c r="F13" s="716">
        <v>85.56</v>
      </c>
      <c r="G13" s="715"/>
      <c r="H13" s="716">
        <v>90.634250000000009</v>
      </c>
      <c r="I13" s="715"/>
      <c r="J13" s="716">
        <v>91.299250000000001</v>
      </c>
      <c r="K13" s="715"/>
      <c r="L13" s="716">
        <v>94.5702</v>
      </c>
      <c r="M13" s="715"/>
      <c r="N13" s="716">
        <v>97.465599999999995</v>
      </c>
      <c r="O13" s="715"/>
      <c r="P13" s="717">
        <v>23.304600000000001</v>
      </c>
      <c r="Q13" s="718"/>
      <c r="R13" s="717">
        <v>26.195800000000002</v>
      </c>
      <c r="S13" s="718"/>
      <c r="T13" s="719">
        <v>55.738600000000005</v>
      </c>
      <c r="U13" s="720"/>
      <c r="V13" s="721">
        <v>80.848320000000001</v>
      </c>
      <c r="W13" s="722"/>
      <c r="X13" s="721">
        <v>88.929670000000002</v>
      </c>
      <c r="Y13" s="723"/>
      <c r="Z13" s="723"/>
      <c r="AA13" s="724"/>
      <c r="AB13" s="725">
        <f>AB11*AB12</f>
        <v>89.810383664424236</v>
      </c>
      <c r="AC13" s="727"/>
      <c r="AD13" s="727"/>
      <c r="AE13" s="728"/>
      <c r="AF13" s="725">
        <f>AF11*AF12</f>
        <v>90.699819463527533</v>
      </c>
      <c r="AG13" s="727"/>
      <c r="AH13" s="727"/>
      <c r="AI13" s="727"/>
      <c r="AJ13" s="725">
        <f>AJ11*AJ12</f>
        <v>91.598063776840974</v>
      </c>
      <c r="AK13" s="727"/>
      <c r="AL13" s="727"/>
      <c r="AM13" s="727"/>
      <c r="AN13" s="725">
        <f>AN11*AN12</f>
        <v>92.505203839354053</v>
      </c>
      <c r="AO13" s="727"/>
      <c r="AP13" s="727"/>
      <c r="AQ13" s="729"/>
      <c r="AR13" s="726">
        <f>AR11*AR12</f>
        <v>93.421327749986673</v>
      </c>
      <c r="AS13" s="727"/>
      <c r="AT13" s="727"/>
      <c r="AU13" s="728"/>
      <c r="AV13" s="725">
        <f>AV11*AV12</f>
        <v>94.346524480145121</v>
      </c>
      <c r="AW13" s="727"/>
      <c r="AX13" s="727"/>
      <c r="AY13" s="728"/>
      <c r="AZ13" s="725">
        <f>AZ11*AZ12</f>
        <v>95.103207449888117</v>
      </c>
      <c r="BA13" s="727"/>
      <c r="BB13" s="727"/>
      <c r="BC13" s="728"/>
      <c r="BD13" s="725">
        <f>BD11*BD12</f>
        <v>95.865959208278625</v>
      </c>
      <c r="BE13" s="727"/>
      <c r="BF13" s="727"/>
      <c r="BG13" s="728"/>
      <c r="BH13" s="725">
        <f>BH11*BH12</f>
        <v>96.634828428535357</v>
      </c>
      <c r="BI13" s="727"/>
      <c r="BJ13" s="727"/>
      <c r="BK13" s="728"/>
      <c r="BL13" s="725">
        <f>BL11*BL12</f>
        <v>97.409864174248455</v>
      </c>
      <c r="BM13" s="727"/>
      <c r="BN13" s="727"/>
      <c r="BO13" s="726"/>
      <c r="BP13" s="725">
        <f>BP11*BP12</f>
        <v>98.191115902510518</v>
      </c>
      <c r="BQ13" s="727"/>
      <c r="BR13" s="727"/>
      <c r="BS13" s="728"/>
    </row>
    <row r="14" spans="1:77" x14ac:dyDescent="0.2">
      <c r="A14" s="855" t="s">
        <v>231</v>
      </c>
      <c r="B14" s="730"/>
      <c r="C14" s="869"/>
      <c r="D14" s="865"/>
      <c r="E14" s="731"/>
      <c r="F14" s="732"/>
      <c r="G14" s="731"/>
      <c r="H14" s="732"/>
      <c r="I14" s="731"/>
      <c r="J14" s="732"/>
      <c r="K14" s="731"/>
      <c r="L14" s="732"/>
      <c r="M14" s="731"/>
      <c r="N14" s="732"/>
      <c r="O14" s="731"/>
      <c r="P14" s="733"/>
      <c r="Q14" s="734"/>
      <c r="R14" s="733"/>
      <c r="S14" s="734"/>
      <c r="T14" s="735"/>
      <c r="U14" s="736"/>
      <c r="V14" s="737"/>
      <c r="W14" s="738"/>
      <c r="X14" s="737"/>
      <c r="Y14" s="739"/>
      <c r="Z14" s="739"/>
      <c r="AA14" s="740"/>
      <c r="AB14" s="741"/>
      <c r="AC14" s="742"/>
      <c r="AD14" s="742"/>
      <c r="AE14" s="743"/>
      <c r="AF14" s="741"/>
      <c r="AG14" s="742"/>
      <c r="AH14" s="742"/>
      <c r="AI14" s="742"/>
      <c r="AJ14" s="741"/>
      <c r="AK14" s="742"/>
      <c r="AL14" s="742"/>
      <c r="AM14" s="742"/>
      <c r="AN14" s="741"/>
      <c r="AO14" s="742"/>
      <c r="AP14" s="742"/>
      <c r="AQ14" s="743"/>
      <c r="AR14" s="742"/>
      <c r="AS14" s="742"/>
      <c r="AT14" s="742"/>
      <c r="AU14" s="743"/>
      <c r="AV14" s="741"/>
      <c r="AW14" s="742"/>
      <c r="AX14" s="742"/>
      <c r="AY14" s="743"/>
      <c r="AZ14" s="741"/>
      <c r="BA14" s="742"/>
      <c r="BB14" s="742"/>
      <c r="BC14" s="743"/>
      <c r="BD14" s="741"/>
      <c r="BE14" s="742"/>
      <c r="BF14" s="742"/>
      <c r="BG14" s="743"/>
      <c r="BH14" s="741"/>
      <c r="BI14" s="742"/>
      <c r="BJ14" s="742"/>
      <c r="BK14" s="743"/>
      <c r="BL14" s="741"/>
      <c r="BM14" s="742"/>
      <c r="BN14" s="742"/>
      <c r="BO14" s="742"/>
      <c r="BP14" s="741"/>
      <c r="BQ14" s="742"/>
      <c r="BR14" s="742"/>
      <c r="BS14" s="743"/>
    </row>
    <row r="15" spans="1:77" x14ac:dyDescent="0.2">
      <c r="A15" s="678"/>
      <c r="B15" s="744"/>
      <c r="C15" s="740"/>
      <c r="D15" s="739"/>
      <c r="E15" s="738"/>
      <c r="F15" s="737"/>
      <c r="G15" s="738"/>
      <c r="H15" s="737"/>
      <c r="I15" s="738"/>
      <c r="J15" s="737"/>
      <c r="K15" s="738"/>
      <c r="L15" s="737"/>
      <c r="M15" s="738"/>
      <c r="N15" s="737"/>
      <c r="O15" s="738"/>
      <c r="P15" s="735"/>
      <c r="Q15" s="736"/>
      <c r="R15" s="735"/>
      <c r="S15" s="736"/>
      <c r="T15" s="735"/>
      <c r="U15" s="736"/>
      <c r="V15" s="737"/>
      <c r="W15" s="738"/>
      <c r="X15" s="737"/>
      <c r="Y15" s="739"/>
      <c r="Z15" s="739"/>
      <c r="AA15" s="740"/>
      <c r="AB15" s="745"/>
      <c r="AC15" s="746"/>
      <c r="AD15" s="747"/>
      <c r="AE15" s="748"/>
      <c r="AF15" s="745"/>
      <c r="AG15" s="746"/>
      <c r="AH15" s="747"/>
      <c r="AI15" s="748"/>
      <c r="AJ15" s="745"/>
      <c r="AK15" s="746"/>
      <c r="AL15" s="747"/>
      <c r="AM15" s="748"/>
      <c r="AN15" s="745"/>
      <c r="AO15" s="746"/>
      <c r="AP15" s="747"/>
      <c r="AQ15" s="910"/>
      <c r="AR15" s="805"/>
      <c r="AS15" s="746"/>
      <c r="AT15" s="747"/>
      <c r="AU15" s="748"/>
      <c r="AV15" s="745"/>
      <c r="AW15" s="746"/>
      <c r="AX15" s="747"/>
      <c r="AY15" s="748"/>
      <c r="AZ15" s="745"/>
      <c r="BA15" s="746"/>
      <c r="BB15" s="747"/>
      <c r="BC15" s="748"/>
      <c r="BD15" s="745"/>
      <c r="BE15" s="746"/>
      <c r="BF15" s="747"/>
      <c r="BG15" s="748"/>
      <c r="BH15" s="284"/>
      <c r="BI15" s="746"/>
      <c r="BJ15" s="747"/>
      <c r="BK15" s="748"/>
      <c r="BL15" s="284"/>
      <c r="BM15" s="746"/>
      <c r="BN15" s="747"/>
      <c r="BO15" s="748"/>
      <c r="BP15" s="745"/>
      <c r="BQ15" s="925"/>
      <c r="BR15" s="747"/>
      <c r="BS15" s="910"/>
    </row>
    <row r="16" spans="1:77" ht="17" thickBot="1" x14ac:dyDescent="0.25">
      <c r="A16" s="518"/>
      <c r="B16" s="870" t="s">
        <v>232</v>
      </c>
      <c r="C16" s="871" t="s">
        <v>233</v>
      </c>
      <c r="D16" s="749" t="s">
        <v>232</v>
      </c>
      <c r="E16" s="750" t="s">
        <v>233</v>
      </c>
      <c r="F16" s="751" t="s">
        <v>232</v>
      </c>
      <c r="G16" s="750" t="s">
        <v>233</v>
      </c>
      <c r="H16" s="751" t="s">
        <v>232</v>
      </c>
      <c r="I16" s="750" t="s">
        <v>233</v>
      </c>
      <c r="J16" s="751" t="s">
        <v>232</v>
      </c>
      <c r="K16" s="750" t="s">
        <v>233</v>
      </c>
      <c r="L16" s="751" t="s">
        <v>232</v>
      </c>
      <c r="M16" s="750" t="s">
        <v>233</v>
      </c>
      <c r="N16" s="751" t="s">
        <v>232</v>
      </c>
      <c r="O16" s="750" t="s">
        <v>233</v>
      </c>
      <c r="P16" s="752" t="s">
        <v>232</v>
      </c>
      <c r="Q16" s="753" t="s">
        <v>233</v>
      </c>
      <c r="R16" s="752" t="s">
        <v>232</v>
      </c>
      <c r="S16" s="753" t="s">
        <v>233</v>
      </c>
      <c r="T16" s="752" t="s">
        <v>232</v>
      </c>
      <c r="U16" s="753" t="s">
        <v>233</v>
      </c>
      <c r="V16" s="751" t="s">
        <v>232</v>
      </c>
      <c r="W16" s="750" t="s">
        <v>233</v>
      </c>
      <c r="X16" s="751" t="s">
        <v>232</v>
      </c>
      <c r="Y16" s="750" t="s">
        <v>233</v>
      </c>
      <c r="Z16" s="750" t="s">
        <v>234</v>
      </c>
      <c r="AA16" s="754" t="s">
        <v>155</v>
      </c>
      <c r="AB16" s="755" t="s">
        <v>232</v>
      </c>
      <c r="AC16" s="756" t="s">
        <v>233</v>
      </c>
      <c r="AD16" s="757" t="s">
        <v>234</v>
      </c>
      <c r="AE16" s="758" t="s">
        <v>155</v>
      </c>
      <c r="AF16" s="755" t="s">
        <v>232</v>
      </c>
      <c r="AG16" s="756" t="s">
        <v>233</v>
      </c>
      <c r="AH16" s="757" t="s">
        <v>234</v>
      </c>
      <c r="AI16" s="758" t="s">
        <v>155</v>
      </c>
      <c r="AJ16" s="755" t="s">
        <v>232</v>
      </c>
      <c r="AK16" s="756" t="s">
        <v>233</v>
      </c>
      <c r="AL16" s="757" t="s">
        <v>234</v>
      </c>
      <c r="AM16" s="758" t="s">
        <v>155</v>
      </c>
      <c r="AN16" s="755" t="s">
        <v>232</v>
      </c>
      <c r="AO16" s="756" t="s">
        <v>233</v>
      </c>
      <c r="AP16" s="757" t="s">
        <v>234</v>
      </c>
      <c r="AQ16" s="911" t="s">
        <v>155</v>
      </c>
      <c r="AR16" s="900" t="s">
        <v>232</v>
      </c>
      <c r="AS16" s="756" t="s">
        <v>233</v>
      </c>
      <c r="AT16" s="757" t="s">
        <v>234</v>
      </c>
      <c r="AU16" s="758" t="s">
        <v>155</v>
      </c>
      <c r="AV16" s="755" t="s">
        <v>232</v>
      </c>
      <c r="AW16" s="756" t="s">
        <v>233</v>
      </c>
      <c r="AX16" s="757" t="s">
        <v>234</v>
      </c>
      <c r="AY16" s="758" t="s">
        <v>155</v>
      </c>
      <c r="AZ16" s="755" t="s">
        <v>232</v>
      </c>
      <c r="BA16" s="756" t="s">
        <v>233</v>
      </c>
      <c r="BB16" s="757" t="s">
        <v>234</v>
      </c>
      <c r="BC16" s="758" t="s">
        <v>155</v>
      </c>
      <c r="BD16" s="755" t="s">
        <v>232</v>
      </c>
      <c r="BE16" s="756" t="s">
        <v>233</v>
      </c>
      <c r="BF16" s="757" t="s">
        <v>234</v>
      </c>
      <c r="BG16" s="758" t="s">
        <v>155</v>
      </c>
      <c r="BH16" s="755" t="s">
        <v>232</v>
      </c>
      <c r="BI16" s="756" t="s">
        <v>233</v>
      </c>
      <c r="BJ16" s="757" t="s">
        <v>234</v>
      </c>
      <c r="BK16" s="758" t="s">
        <v>155</v>
      </c>
      <c r="BL16" s="755" t="s">
        <v>232</v>
      </c>
      <c r="BM16" s="756" t="s">
        <v>233</v>
      </c>
      <c r="BN16" s="757" t="s">
        <v>234</v>
      </c>
      <c r="BO16" s="758" t="s">
        <v>155</v>
      </c>
      <c r="BP16" s="924" t="s">
        <v>232</v>
      </c>
      <c r="BQ16" s="926" t="s">
        <v>233</v>
      </c>
      <c r="BR16" s="900" t="s">
        <v>234</v>
      </c>
      <c r="BS16" s="911" t="s">
        <v>155</v>
      </c>
    </row>
    <row r="17" spans="1:71" x14ac:dyDescent="0.2">
      <c r="A17" s="858" t="s">
        <v>235</v>
      </c>
      <c r="B17" s="764"/>
      <c r="C17" s="872"/>
      <c r="D17" s="759"/>
      <c r="E17" s="760"/>
      <c r="F17" s="761"/>
      <c r="G17" s="760"/>
      <c r="H17" s="761"/>
      <c r="I17" s="760"/>
      <c r="J17" s="761"/>
      <c r="K17" s="760"/>
      <c r="L17" s="761"/>
      <c r="M17" s="760"/>
      <c r="N17" s="761"/>
      <c r="O17" s="760"/>
      <c r="P17" s="761"/>
      <c r="Q17" s="760"/>
      <c r="R17" s="761"/>
      <c r="S17" s="760"/>
      <c r="T17" s="761"/>
      <c r="U17" s="760"/>
      <c r="V17" s="761"/>
      <c r="W17" s="760"/>
      <c r="X17" s="761"/>
      <c r="Y17" s="762"/>
      <c r="Z17" s="762"/>
      <c r="AA17" s="763"/>
      <c r="AB17" s="764"/>
      <c r="AC17" s="765"/>
      <c r="AD17" s="762"/>
      <c r="AE17" s="763"/>
      <c r="AF17" s="764"/>
      <c r="AG17" s="765"/>
      <c r="AH17" s="762"/>
      <c r="AI17" s="763"/>
      <c r="AJ17" s="764"/>
      <c r="AK17" s="765"/>
      <c r="AL17" s="762"/>
      <c r="AM17" s="763"/>
      <c r="AN17" s="764"/>
      <c r="AO17" s="765"/>
      <c r="AP17" s="762"/>
      <c r="AQ17" s="872"/>
      <c r="AR17" s="759"/>
      <c r="AS17" s="765"/>
      <c r="AT17" s="762"/>
      <c r="AU17" s="763"/>
      <c r="AV17" s="764"/>
      <c r="AW17" s="765"/>
      <c r="AX17" s="762"/>
      <c r="AY17" s="763"/>
      <c r="AZ17" s="764"/>
      <c r="BA17" s="765"/>
      <c r="BB17" s="762"/>
      <c r="BC17" s="763"/>
      <c r="BD17" s="764"/>
      <c r="BE17" s="765"/>
      <c r="BF17" s="762"/>
      <c r="BG17" s="763"/>
      <c r="BH17" s="764"/>
      <c r="BI17" s="765"/>
      <c r="BJ17" s="762"/>
      <c r="BK17" s="763"/>
      <c r="BL17" s="764"/>
      <c r="BM17" s="765"/>
      <c r="BN17" s="762"/>
      <c r="BO17" s="763"/>
      <c r="BP17" s="764"/>
      <c r="BQ17" s="784"/>
      <c r="BR17" s="762"/>
      <c r="BS17" s="872"/>
    </row>
    <row r="18" spans="1:71" x14ac:dyDescent="0.2">
      <c r="A18" s="741" t="s">
        <v>138</v>
      </c>
      <c r="B18" s="873">
        <v>3758000</v>
      </c>
      <c r="C18" s="874">
        <f>B18/$B$22</f>
        <v>0.66031281045508172</v>
      </c>
      <c r="D18" s="866">
        <v>3258000</v>
      </c>
      <c r="E18" s="766">
        <f>D18/$D$22</f>
        <v>0.6585201245811737</v>
      </c>
      <c r="F18" s="767">
        <v>4433000</v>
      </c>
      <c r="G18" s="766">
        <f>F18/$F$22</f>
        <v>0.70170162247724577</v>
      </c>
      <c r="H18" s="767">
        <v>4712000</v>
      </c>
      <c r="I18" s="766">
        <f>H18/$H$22</f>
        <v>0.70890616020196007</v>
      </c>
      <c r="J18" s="767">
        <v>4734000</v>
      </c>
      <c r="K18" s="766">
        <f>J18/$J$22</f>
        <v>0.72250100728911026</v>
      </c>
      <c r="L18" s="767">
        <v>4903000</v>
      </c>
      <c r="M18" s="766">
        <f>L18/$L$22</f>
        <v>0.73018246370681905</v>
      </c>
      <c r="N18" s="767">
        <v>5038000</v>
      </c>
      <c r="O18" s="766">
        <f>N18/$N$22</f>
        <v>0.74406651996041884</v>
      </c>
      <c r="P18" s="767">
        <v>1207877.4180000001</v>
      </c>
      <c r="Q18" s="766">
        <f>P18/$P$22</f>
        <v>0.75377509563371914</v>
      </c>
      <c r="R18" s="767">
        <v>1357728.314</v>
      </c>
      <c r="S18" s="766">
        <f>R18/$R$22</f>
        <v>0.7056879509089935</v>
      </c>
      <c r="T18" s="767">
        <v>2888931.6380000003</v>
      </c>
      <c r="U18" s="766">
        <f>T18/$T$22</f>
        <v>0.68502384621590273</v>
      </c>
      <c r="V18" s="767">
        <v>4194000</v>
      </c>
      <c r="W18" s="766">
        <f>V18/$V$22</f>
        <v>0.7599980791655605</v>
      </c>
      <c r="X18" s="767">
        <v>4623000</v>
      </c>
      <c r="Y18" s="746">
        <f>X18/$X$22</f>
        <v>0.73457266318739067</v>
      </c>
      <c r="Z18" s="768">
        <f>X18/$X$10</f>
        <v>119.71970827235994</v>
      </c>
      <c r="AA18" s="769">
        <f>X18/$B$2</f>
        <v>32556.338028169015</v>
      </c>
      <c r="AB18" s="770">
        <f>AB10*AB12</f>
        <v>4654795.4913258404</v>
      </c>
      <c r="AC18" s="771">
        <f>AB18/AB$22</f>
        <v>0.73607904831373339</v>
      </c>
      <c r="AD18" s="747">
        <f>AB18/$AB$10</f>
        <v>120.64994404825796</v>
      </c>
      <c r="AE18" s="769">
        <f>AB18/$B$2</f>
        <v>32780.24993891437</v>
      </c>
      <c r="AF18" s="770">
        <f>AF10*AF12</f>
        <v>4700884.5938045206</v>
      </c>
      <c r="AG18" s="771">
        <f>AF18/AF$22</f>
        <v>0.73762797207301778</v>
      </c>
      <c r="AH18" s="747">
        <f>AF18/$AB$10</f>
        <v>121.84455026579198</v>
      </c>
      <c r="AI18" s="1022">
        <f>AF18/$B$2</f>
        <v>33104.821083130424</v>
      </c>
      <c r="AJ18" s="770">
        <f>AJ10*AJ12</f>
        <v>4747413.5716052325</v>
      </c>
      <c r="AK18" s="771">
        <f>AJ18/AJ$22</f>
        <v>0.73917102656414313</v>
      </c>
      <c r="AL18" s="747">
        <f>AJ18/$AB$10</f>
        <v>123.0505578291188</v>
      </c>
      <c r="AM18" s="1022">
        <f>AJ18/$B$2</f>
        <v>33432.489940881918</v>
      </c>
      <c r="AN18" s="770">
        <f>AN10*AN12</f>
        <v>4807609.171181934</v>
      </c>
      <c r="AO18" s="771">
        <f>AN18/AN$22</f>
        <v>0.74070819613156802</v>
      </c>
      <c r="AP18" s="747">
        <f>AN18/$AB$10</f>
        <v>124.61079731427215</v>
      </c>
      <c r="AQ18" s="1022">
        <f>AN18/$B$2</f>
        <v>33856.402613957282</v>
      </c>
      <c r="AR18" s="770">
        <f>AR10*AR12</f>
        <v>4841932.1224971619</v>
      </c>
      <c r="AS18" s="771">
        <f>AR18/AR$22</f>
        <v>0.74223946561302756</v>
      </c>
      <c r="AT18" s="747">
        <f>AR18/$AB$10</f>
        <v>125.50043084671631</v>
      </c>
      <c r="AU18" s="1022">
        <f>AR18/$B$2</f>
        <v>34098.113538712409</v>
      </c>
      <c r="AV18" s="770">
        <f t="shared" ref="AV18" si="1">AV10*AV12</f>
        <v>4889931.9883681554</v>
      </c>
      <c r="AW18" s="771">
        <f t="shared" ref="AW18:BQ21" si="2">AV18/AV$22</f>
        <v>0.74376482033747227</v>
      </c>
      <c r="AX18" s="747">
        <f t="shared" ref="AX18" si="3">AV18/$AB$10</f>
        <v>126.74456308463118</v>
      </c>
      <c r="AY18" s="1022">
        <f t="shared" ref="AY18:AY22" si="4">AV18/$B$2</f>
        <v>34436.140763156021</v>
      </c>
      <c r="AZ18" s="770">
        <f t="shared" ref="AZ18" si="5">AZ10*AZ12</f>
        <v>4929150.4787066979</v>
      </c>
      <c r="BA18" s="771">
        <f t="shared" ref="BA18" si="6">AZ18/AZ$22</f>
        <v>0.74528424612293942</v>
      </c>
      <c r="BB18" s="747">
        <f t="shared" ref="BB18" si="7">AZ18/$AB$10</f>
        <v>127.76108651166891</v>
      </c>
      <c r="BC18" s="1022">
        <f t="shared" ref="BC18:BC22" si="8">AZ18/$B$2</f>
        <v>34712.3273148359</v>
      </c>
      <c r="BD18" s="770">
        <f t="shared" ref="BD18" si="9">BD10*BD12</f>
        <v>4982335.4932665201</v>
      </c>
      <c r="BE18" s="771">
        <f t="shared" ref="BE18" si="10">BD18/BD$22</f>
        <v>0.74679772927436139</v>
      </c>
      <c r="BF18" s="747">
        <f t="shared" ref="BF18" si="11">BD18/$AB$10</f>
        <v>129.13961518017987</v>
      </c>
      <c r="BG18" s="1022">
        <f t="shared" ref="BG18:BG22" si="12">BD18/$B$2</f>
        <v>35086.869670890985</v>
      </c>
      <c r="BH18" s="770">
        <f t="shared" ref="BH18" si="13">BH10*BH12</f>
        <v>5008533.6087033842</v>
      </c>
      <c r="BI18" s="771">
        <f t="shared" ref="BI18" si="14">BH18/BH$22</f>
        <v>0.74830525658130809</v>
      </c>
      <c r="BJ18" s="747">
        <f t="shared" ref="BJ18" si="15">BH18/$AB$10</f>
        <v>129.81865707740556</v>
      </c>
      <c r="BK18" s="1022">
        <f t="shared" ref="BK18:BK22" si="16">BH18/$B$2</f>
        <v>35271.363441573129</v>
      </c>
      <c r="BL18" s="770">
        <f t="shared" ref="BL18" si="17">BL10*BL12</f>
        <v>5048703.3140102159</v>
      </c>
      <c r="BM18" s="771">
        <f t="shared" ref="BM18" si="18">BL18/BL$22</f>
        <v>0.74980681531566828</v>
      </c>
      <c r="BN18" s="747">
        <f t="shared" ref="BN18" si="19">BL18/$AB$10</f>
        <v>130.85983551515554</v>
      </c>
      <c r="BO18" s="1022">
        <f t="shared" ref="BO18:BO22" si="20">BL18/$B$2</f>
        <v>35554.248690212786</v>
      </c>
      <c r="BP18" s="770">
        <f t="shared" ref="BP18" si="21">BP10*BP12</f>
        <v>5089195.1905053649</v>
      </c>
      <c r="BQ18" s="771">
        <f t="shared" ref="BQ18" si="22">BP18/BP$22</f>
        <v>0.75130239322926962</v>
      </c>
      <c r="BR18" s="747">
        <f t="shared" ref="BR18" si="23">BP18/$AB$10</f>
        <v>131.90936446710467</v>
      </c>
      <c r="BS18" s="1188">
        <f t="shared" ref="BS18:BS22" si="24">BP18/$B$2</f>
        <v>35839.402750037778</v>
      </c>
    </row>
    <row r="19" spans="1:71" x14ac:dyDescent="0.2">
      <c r="A19" s="741" t="s">
        <v>236</v>
      </c>
      <c r="B19" s="873">
        <v>1391000</v>
      </c>
      <c r="C19" s="874">
        <f>B19/$B$22</f>
        <v>0.24441062249681178</v>
      </c>
      <c r="D19" s="866">
        <v>1208000</v>
      </c>
      <c r="E19" s="766">
        <f>D19/$D$22</f>
        <v>0.24416584115839712</v>
      </c>
      <c r="F19" s="767">
        <v>1297000</v>
      </c>
      <c r="G19" s="766">
        <f>F19/$F$22</f>
        <v>0.20530273051048675</v>
      </c>
      <c r="H19" s="767">
        <v>1239000</v>
      </c>
      <c r="I19" s="766">
        <f>H19/$H$22</f>
        <v>0.18640380570675477</v>
      </c>
      <c r="J19" s="767">
        <v>1293000.0000000002</v>
      </c>
      <c r="K19" s="766">
        <f>J19/$J$22</f>
        <v>0.19733709387934512</v>
      </c>
      <c r="L19" s="767">
        <v>1279999.9999999998</v>
      </c>
      <c r="M19" s="766">
        <f>L19/$L$22</f>
        <v>0.19062483245864331</v>
      </c>
      <c r="N19" s="767">
        <v>1194000</v>
      </c>
      <c r="O19" s="766">
        <f>N19/$N$22</f>
        <v>0.17634287908549823</v>
      </c>
      <c r="P19" s="767">
        <v>200000</v>
      </c>
      <c r="Q19" s="766">
        <f>P19/$P$22</f>
        <v>0.12480986636571413</v>
      </c>
      <c r="R19" s="767">
        <v>250000</v>
      </c>
      <c r="S19" s="766">
        <f>R19/$R$22</f>
        <v>0.12993909452141569</v>
      </c>
      <c r="T19" s="767">
        <v>840000</v>
      </c>
      <c r="U19" s="766">
        <f>T19/$T$22</f>
        <v>0.19918090938964553</v>
      </c>
      <c r="V19" s="767">
        <v>899000</v>
      </c>
      <c r="W19" s="766">
        <f>V19/$V$22</f>
        <v>0.16290850576295635</v>
      </c>
      <c r="X19" s="767">
        <v>1129000</v>
      </c>
      <c r="Y19" s="746">
        <f>X19/$X$22</f>
        <v>0.17939271830814713</v>
      </c>
      <c r="Z19" s="768">
        <f>X19/$X$10</f>
        <v>29.237194600799128</v>
      </c>
      <c r="AA19" s="769">
        <f>X19/$B$2</f>
        <v>7950.7042253521131</v>
      </c>
      <c r="AB19" s="772">
        <f>AD19*$AB$10</f>
        <v>1128000.2048934312</v>
      </c>
      <c r="AC19" s="771">
        <f t="shared" ref="AC19:AC21" si="25">AB19/AB$22</f>
        <v>0.1783746071901339</v>
      </c>
      <c r="AD19" s="773">
        <f>Z19</f>
        <v>29.237194600799128</v>
      </c>
      <c r="AE19" s="769">
        <f>AB19/$B$2</f>
        <v>7943.6634147424729</v>
      </c>
      <c r="AF19" s="772">
        <f>AH19*AF$10</f>
        <v>1130105.2829046887</v>
      </c>
      <c r="AG19" s="771">
        <f t="shared" ref="AG19:AG21" si="26">AF19/AF$22</f>
        <v>0.17732774575164428</v>
      </c>
      <c r="AH19" s="773">
        <f>AD19</f>
        <v>29.237194600799128</v>
      </c>
      <c r="AI19" s="1022">
        <f>AF19/$B$2</f>
        <v>7958.4879077794985</v>
      </c>
      <c r="AJ19" s="772">
        <f>AL19*AJ$10</f>
        <v>1132210.3609159463</v>
      </c>
      <c r="AK19" s="771">
        <f t="shared" ref="AK19:AK21" si="27">AJ19/AJ$22</f>
        <v>0.1762848511388109</v>
      </c>
      <c r="AL19" s="773">
        <f>AH19</f>
        <v>29.237194600799128</v>
      </c>
      <c r="AM19" s="1022">
        <f>AJ19/$B$2</f>
        <v>7973.3124008165232</v>
      </c>
      <c r="AN19" s="772">
        <f>AP19*AN$10</f>
        <v>1137443.8187494893</v>
      </c>
      <c r="AO19" s="771">
        <f t="shared" ref="AO19:AO21" si="28">AN19/AN$22</f>
        <v>0.17524593393264687</v>
      </c>
      <c r="AP19" s="773">
        <f>AL19</f>
        <v>29.237194600799128</v>
      </c>
      <c r="AQ19" s="1022">
        <f>AN19/$B$2</f>
        <v>8010.1677376724592</v>
      </c>
      <c r="AR19" s="772">
        <f>AT19*AR$10</f>
        <v>1136449.7541330622</v>
      </c>
      <c r="AS19" s="771">
        <f t="shared" ref="AS19:AS21" si="29">AR19/AR$22</f>
        <v>0.17421100438077758</v>
      </c>
      <c r="AT19" s="773">
        <f>AP19</f>
        <v>29.237194600799128</v>
      </c>
      <c r="AU19" s="1022">
        <f>AR19/$B$2</f>
        <v>8003.1672826271988</v>
      </c>
      <c r="AV19" s="772">
        <f t="shared" ref="AV19:AV21" si="30">AX19*AV$10</f>
        <v>1138584.0693389205</v>
      </c>
      <c r="AW19" s="771">
        <f t="shared" si="2"/>
        <v>0.17318007239883376</v>
      </c>
      <c r="AX19" s="773">
        <f t="shared" ref="AX19:AX21" si="31">AT19</f>
        <v>29.237194600799128</v>
      </c>
      <c r="AY19" s="1022">
        <f t="shared" si="4"/>
        <v>8018.1976714008488</v>
      </c>
      <c r="AZ19" s="772">
        <f t="shared" ref="AZ19:AZ21" si="32">BB19*AZ$10</f>
        <v>1138584.0693389205</v>
      </c>
      <c r="BA19" s="771">
        <f t="shared" si="2"/>
        <v>0.17215314757188993</v>
      </c>
      <c r="BB19" s="773">
        <f t="shared" ref="BB19:BB21" si="33">AX19</f>
        <v>29.237194600799128</v>
      </c>
      <c r="BC19" s="1022">
        <f t="shared" si="8"/>
        <v>8018.1976714008488</v>
      </c>
      <c r="BD19" s="772">
        <f t="shared" ref="BD19:BD21" si="34">BF19*BD$10</f>
        <v>1141712.4491612059</v>
      </c>
      <c r="BE19" s="771">
        <f t="shared" si="2"/>
        <v>0.17113023915594611</v>
      </c>
      <c r="BF19" s="773">
        <f t="shared" ref="BF19:BF21" si="35">BB19</f>
        <v>29.237194600799128</v>
      </c>
      <c r="BG19" s="1022">
        <f t="shared" si="12"/>
        <v>8040.2285152197601</v>
      </c>
      <c r="BH19" s="772">
        <f t="shared" ref="BH19:BH21" si="36">BJ19*BH$10</f>
        <v>1138584.0693389205</v>
      </c>
      <c r="BI19" s="771">
        <f t="shared" si="2"/>
        <v>0.17011135607945332</v>
      </c>
      <c r="BJ19" s="773">
        <f t="shared" ref="BJ19:BJ21" si="37">BF19</f>
        <v>29.237194600799128</v>
      </c>
      <c r="BK19" s="1022">
        <f t="shared" si="16"/>
        <v>8018.1976714008488</v>
      </c>
      <c r="BL19" s="772">
        <f t="shared" ref="BL19:BL21" si="38">BN19*BL$10</f>
        <v>1138584.0693389205</v>
      </c>
      <c r="BM19" s="771">
        <f t="shared" si="2"/>
        <v>0.16909650694488057</v>
      </c>
      <c r="BN19" s="773">
        <f t="shared" ref="BN19:BN21" si="39">BJ19</f>
        <v>29.237194600799128</v>
      </c>
      <c r="BO19" s="1022">
        <f t="shared" si="20"/>
        <v>8018.1976714008488</v>
      </c>
      <c r="BP19" s="772">
        <f t="shared" ref="BP19:BP21" si="40">BR19*BP$10</f>
        <v>1138584.0693389205</v>
      </c>
      <c r="BQ19" s="771">
        <f t="shared" si="2"/>
        <v>0.16808570003032386</v>
      </c>
      <c r="BR19" s="773">
        <f t="shared" ref="BR19:BR21" si="41">BN19</f>
        <v>29.237194600799128</v>
      </c>
      <c r="BS19" s="1188">
        <f t="shared" si="24"/>
        <v>8018.1976714008488</v>
      </c>
    </row>
    <row r="20" spans="1:71" x14ac:dyDescent="0.2">
      <c r="A20" s="741" t="s">
        <v>144</v>
      </c>
      <c r="B20" s="873">
        <v>235242</v>
      </c>
      <c r="C20" s="874">
        <f>B20/$B$22</f>
        <v>4.133403569906182E-2</v>
      </c>
      <c r="D20" s="866">
        <v>198457</v>
      </c>
      <c r="E20" s="766">
        <f>D20/$D$22</f>
        <v>4.0112930744016576E-2</v>
      </c>
      <c r="F20" s="767">
        <v>247500</v>
      </c>
      <c r="G20" s="766">
        <f>F20/$F$22</f>
        <v>3.9176889592402057E-2</v>
      </c>
      <c r="H20" s="767">
        <v>274860</v>
      </c>
      <c r="I20" s="766">
        <f>H20/$H$22</f>
        <v>4.1351856365261189E-2</v>
      </c>
      <c r="J20" s="767">
        <v>253240.00000000003</v>
      </c>
      <c r="K20" s="766">
        <f>J20/$J$22</f>
        <v>3.8649377922664617E-2</v>
      </c>
      <c r="L20" s="767">
        <v>258760</v>
      </c>
      <c r="M20" s="766">
        <f>L20/$L$22</f>
        <v>3.8536001286717622E-2</v>
      </c>
      <c r="N20" s="767">
        <v>276900</v>
      </c>
      <c r="O20" s="766">
        <f>N20/$N$22</f>
        <v>4.0895597335657001E-2</v>
      </c>
      <c r="P20" s="767">
        <v>124560</v>
      </c>
      <c r="Q20" s="766">
        <f>P20/$P$22</f>
        <v>7.7731584772566753E-2</v>
      </c>
      <c r="R20" s="767">
        <v>174250</v>
      </c>
      <c r="S20" s="766">
        <f>R20/$R$22</f>
        <v>9.0567548881426735E-2</v>
      </c>
      <c r="T20" s="767">
        <v>303340</v>
      </c>
      <c r="U20" s="766">
        <f>T20/$T$22</f>
        <v>7.1928020302684609E-2</v>
      </c>
      <c r="V20" s="767">
        <v>297435</v>
      </c>
      <c r="W20" s="766">
        <f>V20/$V$22</f>
        <v>5.3898433160850856E-2</v>
      </c>
      <c r="X20" s="767">
        <v>309455</v>
      </c>
      <c r="Y20" s="746">
        <f>X20/$X$22</f>
        <v>4.9170924396853555E-2</v>
      </c>
      <c r="Z20" s="768">
        <f>X20/$X$10</f>
        <v>8.0138140435697913</v>
      </c>
      <c r="AA20" s="769">
        <f>X20/$B$2</f>
        <v>2179.2605633802818</v>
      </c>
      <c r="AB20" s="772">
        <f>AD20*$AB$10</f>
        <v>309180.95961496612</v>
      </c>
      <c r="AC20" s="771">
        <f t="shared" si="25"/>
        <v>4.8891863656353313E-2</v>
      </c>
      <c r="AD20" s="773">
        <f>Z20</f>
        <v>8.0138140435697913</v>
      </c>
      <c r="AE20" s="769">
        <f>AB20/$B$2</f>
        <v>2177.3307015138457</v>
      </c>
      <c r="AF20" s="772">
        <f>AH20*AF$10</f>
        <v>309757.95422610315</v>
      </c>
      <c r="AG20" s="771">
        <f t="shared" si="26"/>
        <v>4.8604922552325139E-2</v>
      </c>
      <c r="AH20" s="773">
        <f>AD20</f>
        <v>8.0138140435697913</v>
      </c>
      <c r="AI20" s="1022">
        <f>AF20/$B$2</f>
        <v>2181.3940438457967</v>
      </c>
      <c r="AJ20" s="772">
        <f>AL20*AJ$10</f>
        <v>310334.94883724017</v>
      </c>
      <c r="AK20" s="771">
        <f t="shared" si="27"/>
        <v>4.8319068741506398E-2</v>
      </c>
      <c r="AL20" s="773">
        <f>AH20</f>
        <v>8.0138140435697913</v>
      </c>
      <c r="AM20" s="1022">
        <f>AJ20/$B$2</f>
        <v>2185.4573861777476</v>
      </c>
      <c r="AN20" s="772">
        <f>AP20*AN$10</f>
        <v>311769.42155103915</v>
      </c>
      <c r="AO20" s="771">
        <f t="shared" si="28"/>
        <v>4.8034305124116244E-2</v>
      </c>
      <c r="AP20" s="773">
        <f>AL20</f>
        <v>8.0138140435697913</v>
      </c>
      <c r="AQ20" s="1022">
        <f>AN20/$B$2</f>
        <v>2195.5593066974589</v>
      </c>
      <c r="AR20" s="772">
        <f>AT20*AR$10</f>
        <v>311496.95187355782</v>
      </c>
      <c r="AS20" s="771">
        <f t="shared" si="29"/>
        <v>4.7750634508993375E-2</v>
      </c>
      <c r="AT20" s="773">
        <f>AP20</f>
        <v>8.0138140435697913</v>
      </c>
      <c r="AU20" s="1022">
        <f>AR20/$B$2</f>
        <v>2193.6405061518158</v>
      </c>
      <c r="AV20" s="772">
        <f t="shared" si="30"/>
        <v>312081.96029873838</v>
      </c>
      <c r="AW20" s="771">
        <f t="shared" si="2"/>
        <v>4.7468059613977945E-2</v>
      </c>
      <c r="AX20" s="773">
        <f t="shared" si="31"/>
        <v>8.0138140435697913</v>
      </c>
      <c r="AY20" s="1022">
        <f t="shared" si="4"/>
        <v>2197.7602837939321</v>
      </c>
      <c r="AZ20" s="772">
        <f t="shared" si="32"/>
        <v>312081.96029873838</v>
      </c>
      <c r="BA20" s="771">
        <f t="shared" si="2"/>
        <v>4.718658306630575E-2</v>
      </c>
      <c r="BB20" s="773">
        <f t="shared" si="33"/>
        <v>8.0138140435697913</v>
      </c>
      <c r="BC20" s="1022">
        <f t="shared" si="8"/>
        <v>2197.7602837939321</v>
      </c>
      <c r="BD20" s="772">
        <f t="shared" si="34"/>
        <v>312939.43840140034</v>
      </c>
      <c r="BE20" s="771">
        <f t="shared" si="2"/>
        <v>4.6906207403014447E-2</v>
      </c>
      <c r="BF20" s="773">
        <f t="shared" si="35"/>
        <v>8.0138140435697913</v>
      </c>
      <c r="BG20" s="1022">
        <f t="shared" si="12"/>
        <v>2203.7988619816924</v>
      </c>
      <c r="BH20" s="772">
        <f t="shared" si="36"/>
        <v>312081.96029873838</v>
      </c>
      <c r="BI20" s="771">
        <f t="shared" si="2"/>
        <v>4.6626935071361585E-2</v>
      </c>
      <c r="BJ20" s="773">
        <f t="shared" si="37"/>
        <v>8.0138140435697913</v>
      </c>
      <c r="BK20" s="1022">
        <f t="shared" si="16"/>
        <v>2197.7602837939321</v>
      </c>
      <c r="BL20" s="772">
        <f t="shared" si="38"/>
        <v>312081.96029873838</v>
      </c>
      <c r="BM20" s="771">
        <f t="shared" si="2"/>
        <v>4.6348768429254221E-2</v>
      </c>
      <c r="BN20" s="773">
        <f t="shared" si="39"/>
        <v>8.0138140435697913</v>
      </c>
      <c r="BO20" s="1022">
        <f t="shared" si="20"/>
        <v>2197.7602837939321</v>
      </c>
      <c r="BP20" s="772">
        <f t="shared" si="40"/>
        <v>312081.96029873838</v>
      </c>
      <c r="BQ20" s="771">
        <f t="shared" si="2"/>
        <v>4.6071709745689873E-2</v>
      </c>
      <c r="BR20" s="773">
        <f t="shared" si="41"/>
        <v>8.0138140435697913</v>
      </c>
      <c r="BS20" s="1188">
        <f t="shared" si="24"/>
        <v>2197.7602837939321</v>
      </c>
    </row>
    <row r="21" spans="1:71" x14ac:dyDescent="0.2">
      <c r="A21" s="741" t="s">
        <v>146</v>
      </c>
      <c r="B21" s="873">
        <v>307000</v>
      </c>
      <c r="C21" s="874">
        <f>B21/$B$22</f>
        <v>5.3942531349044726E-2</v>
      </c>
      <c r="D21" s="866">
        <v>283000</v>
      </c>
      <c r="E21" s="766">
        <f>D21/$D$22</f>
        <v>5.7201103516412576E-2</v>
      </c>
      <c r="F21" s="767">
        <v>340000</v>
      </c>
      <c r="G21" s="766">
        <f>F21/$F$22</f>
        <v>5.381875741986545E-2</v>
      </c>
      <c r="H21" s="767">
        <v>421000.00000000006</v>
      </c>
      <c r="I21" s="766">
        <f>H21/$H$22</f>
        <v>6.3338177726024028E-2</v>
      </c>
      <c r="J21" s="767">
        <v>272000</v>
      </c>
      <c r="K21" s="766">
        <f>J21/$J$22</f>
        <v>4.1512520908880017E-2</v>
      </c>
      <c r="L21" s="767">
        <v>273000</v>
      </c>
      <c r="M21" s="766">
        <f>L21/$L$22</f>
        <v>4.0656702547820028E-2</v>
      </c>
      <c r="N21" s="767">
        <v>262000</v>
      </c>
      <c r="O21" s="766">
        <f>N21/$N$22</f>
        <v>3.8695003618425913E-2</v>
      </c>
      <c r="P21" s="767">
        <v>70000</v>
      </c>
      <c r="Q21" s="766">
        <f>P21/$P$22</f>
        <v>4.3683453227999942E-2</v>
      </c>
      <c r="R21" s="767">
        <v>142000</v>
      </c>
      <c r="S21" s="766">
        <f>R21/$R$22</f>
        <v>7.3805405688164114E-2</v>
      </c>
      <c r="T21" s="767">
        <v>185000</v>
      </c>
      <c r="U21" s="766">
        <f>T21/$T$22</f>
        <v>4.3867224091767167E-2</v>
      </c>
      <c r="V21" s="767">
        <v>128000</v>
      </c>
      <c r="W21" s="766">
        <f>V21/$V$22</f>
        <v>2.3194981910632271E-2</v>
      </c>
      <c r="X21" s="767">
        <v>232000</v>
      </c>
      <c r="Y21" s="746">
        <f>X21/$X$22</f>
        <v>3.6863694107608619E-2</v>
      </c>
      <c r="Z21" s="768">
        <f>X21/$X$10</f>
        <v>6.0079974733263048</v>
      </c>
      <c r="AA21" s="769">
        <f>X21/$B$2</f>
        <v>1633.8028169014085</v>
      </c>
      <c r="AB21" s="772">
        <f>AD21*$AB$10</f>
        <v>231794.55051840216</v>
      </c>
      <c r="AC21" s="771">
        <f t="shared" si="25"/>
        <v>3.6654480839779506E-2</v>
      </c>
      <c r="AD21" s="773">
        <f>Z21</f>
        <v>6.0079974733263048</v>
      </c>
      <c r="AE21" s="769">
        <f>AB21/$B$2</f>
        <v>1632.3559895662124</v>
      </c>
      <c r="AF21" s="772">
        <f>AH21*AF$10</f>
        <v>232227.12633648166</v>
      </c>
      <c r="AG21" s="771">
        <f t="shared" si="26"/>
        <v>3.6439359623012819E-2</v>
      </c>
      <c r="AH21" s="773">
        <f>AD21</f>
        <v>6.0079974733263048</v>
      </c>
      <c r="AI21" s="1022">
        <f>AF21/$B$2</f>
        <v>1635.402298144237</v>
      </c>
      <c r="AJ21" s="772">
        <f>AL21*AJ$10</f>
        <v>232659.70215456115</v>
      </c>
      <c r="AK21" s="771">
        <f t="shared" si="27"/>
        <v>3.6225053555539531E-2</v>
      </c>
      <c r="AL21" s="773">
        <f>AH21</f>
        <v>6.0079974733263048</v>
      </c>
      <c r="AM21" s="1022">
        <f>AJ21/$B$2</f>
        <v>1638.4486067222617</v>
      </c>
      <c r="AN21" s="772">
        <f>AP21*AN$10</f>
        <v>233735.13370228658</v>
      </c>
      <c r="AO21" s="771">
        <f t="shared" si="28"/>
        <v>3.6011564811668804E-2</v>
      </c>
      <c r="AP21" s="773">
        <f>AL21</f>
        <v>6.0079974733263048</v>
      </c>
      <c r="AQ21" s="1022">
        <f>AN21/$B$2</f>
        <v>1646.0220683259618</v>
      </c>
      <c r="AR21" s="772">
        <f>AT21*AR$10</f>
        <v>233530.86178819346</v>
      </c>
      <c r="AS21" s="771">
        <f t="shared" si="29"/>
        <v>3.5798895497201409E-2</v>
      </c>
      <c r="AT21" s="773">
        <f>AP21</f>
        <v>6.0079974733263048</v>
      </c>
      <c r="AU21" s="1022">
        <f>AR21/$B$2</f>
        <v>1644.5835337196722</v>
      </c>
      <c r="AV21" s="772">
        <f t="shared" si="30"/>
        <v>233969.44560374628</v>
      </c>
      <c r="AW21" s="771">
        <f t="shared" si="2"/>
        <v>3.5587047649716062E-2</v>
      </c>
      <c r="AX21" s="773">
        <f t="shared" si="31"/>
        <v>6.0079974733263048</v>
      </c>
      <c r="AY21" s="1022">
        <f t="shared" si="4"/>
        <v>1647.6721521390584</v>
      </c>
      <c r="AZ21" s="772">
        <f t="shared" si="32"/>
        <v>233969.44560374628</v>
      </c>
      <c r="BA21" s="771">
        <f t="shared" si="2"/>
        <v>3.5376023238864893E-2</v>
      </c>
      <c r="BB21" s="773">
        <f t="shared" si="33"/>
        <v>6.0079974733263048</v>
      </c>
      <c r="BC21" s="1022">
        <f t="shared" si="8"/>
        <v>1647.6721521390584</v>
      </c>
      <c r="BD21" s="772">
        <f t="shared" si="34"/>
        <v>234612.30133339221</v>
      </c>
      <c r="BE21" s="771">
        <f t="shared" si="2"/>
        <v>3.5165824166678038E-2</v>
      </c>
      <c r="BF21" s="773">
        <f t="shared" si="35"/>
        <v>6.0079974733263048</v>
      </c>
      <c r="BG21" s="1022">
        <f t="shared" si="12"/>
        <v>1652.1993051647339</v>
      </c>
      <c r="BH21" s="772">
        <f t="shared" si="36"/>
        <v>233969.44560374628</v>
      </c>
      <c r="BI21" s="771">
        <f t="shared" si="2"/>
        <v>3.4956452267877032E-2</v>
      </c>
      <c r="BJ21" s="773">
        <f t="shared" si="37"/>
        <v>6.0079974733263048</v>
      </c>
      <c r="BK21" s="1022">
        <f t="shared" si="16"/>
        <v>1647.6721521390584</v>
      </c>
      <c r="BL21" s="772">
        <f t="shared" si="38"/>
        <v>233969.44560374628</v>
      </c>
      <c r="BM21" s="771">
        <f t="shared" si="2"/>
        <v>3.4747909310196896E-2</v>
      </c>
      <c r="BN21" s="773">
        <f t="shared" si="39"/>
        <v>6.0079974733263048</v>
      </c>
      <c r="BO21" s="1022">
        <f t="shared" si="20"/>
        <v>1647.6721521390584</v>
      </c>
      <c r="BP21" s="772">
        <f t="shared" si="40"/>
        <v>233969.44560374628</v>
      </c>
      <c r="BQ21" s="771">
        <f t="shared" si="2"/>
        <v>3.4540196994716679E-2</v>
      </c>
      <c r="BR21" s="773">
        <f t="shared" si="41"/>
        <v>6.0079974733263048</v>
      </c>
      <c r="BS21" s="1188">
        <f t="shared" si="24"/>
        <v>1647.6721521390584</v>
      </c>
    </row>
    <row r="22" spans="1:71" ht="17" thickBot="1" x14ac:dyDescent="0.25">
      <c r="A22" s="859" t="s">
        <v>237</v>
      </c>
      <c r="B22" s="875">
        <f>SUM(B18:B21)</f>
        <v>5691242</v>
      </c>
      <c r="C22" s="876">
        <f>B22/$B$22</f>
        <v>1</v>
      </c>
      <c r="D22" s="774">
        <f>SUM(D18:D21)</f>
        <v>4947457</v>
      </c>
      <c r="E22" s="775">
        <f>D22/$D$22</f>
        <v>1</v>
      </c>
      <c r="F22" s="776">
        <f>SUM(F18:F21)</f>
        <v>6317500</v>
      </c>
      <c r="G22" s="775">
        <f>F22/$F$22</f>
        <v>1</v>
      </c>
      <c r="H22" s="776">
        <f>SUM(H18:H21)</f>
        <v>6646860</v>
      </c>
      <c r="I22" s="775">
        <f>H22/$H$22</f>
        <v>1</v>
      </c>
      <c r="J22" s="776">
        <f>SUM(J18:J21)</f>
        <v>6552240</v>
      </c>
      <c r="K22" s="775">
        <f>J22/$J$22</f>
        <v>1</v>
      </c>
      <c r="L22" s="776">
        <f>SUM(L18:L21)</f>
        <v>6714760</v>
      </c>
      <c r="M22" s="775">
        <f>L22/$L$22</f>
        <v>1</v>
      </c>
      <c r="N22" s="776">
        <f>SUM(N18:N21)</f>
        <v>6770900</v>
      </c>
      <c r="O22" s="775">
        <f>N22/$N$22</f>
        <v>1</v>
      </c>
      <c r="P22" s="776">
        <f>SUM(P18:P21)</f>
        <v>1602437.4180000001</v>
      </c>
      <c r="Q22" s="775">
        <f>P22/$P$22</f>
        <v>1</v>
      </c>
      <c r="R22" s="776">
        <f>SUM(R18:R21)</f>
        <v>1923978.314</v>
      </c>
      <c r="S22" s="775">
        <f>R22/$R$22</f>
        <v>1</v>
      </c>
      <c r="T22" s="776">
        <f>SUM(T18:T21)</f>
        <v>4217271.6380000003</v>
      </c>
      <c r="U22" s="775">
        <f>T22/$T$22</f>
        <v>1</v>
      </c>
      <c r="V22" s="776">
        <f>SUM(V18:V21)</f>
        <v>5518435</v>
      </c>
      <c r="W22" s="775">
        <f>V22/$V$22</f>
        <v>1</v>
      </c>
      <c r="X22" s="776">
        <f>SUM(X18:X21)</f>
        <v>6293455</v>
      </c>
      <c r="Y22" s="777">
        <f>X22/$X$22</f>
        <v>1</v>
      </c>
      <c r="Z22" s="778">
        <f>X22/$X$10</f>
        <v>162.97871439005516</v>
      </c>
      <c r="AA22" s="778">
        <f>X22/$B$2</f>
        <v>44320.105633802814</v>
      </c>
      <c r="AB22" s="779">
        <f>SUM(AB18:AB21)</f>
        <v>6323771.206352639</v>
      </c>
      <c r="AC22" s="777">
        <f>AB22/$AB$22</f>
        <v>1</v>
      </c>
      <c r="AD22" s="778">
        <f>AB22/$AB$10</f>
        <v>163.90895016595317</v>
      </c>
      <c r="AE22" s="778">
        <f>AB22/$B$2</f>
        <v>44533.600044736893</v>
      </c>
      <c r="AF22" s="779">
        <f>SUM(AF18:AF21)</f>
        <v>6372974.9572717939</v>
      </c>
      <c r="AG22" s="777">
        <f>SUM(AG18:AG21)</f>
        <v>1.0000000000000002</v>
      </c>
      <c r="AH22" s="778">
        <f>SUM(AH18:AH21)</f>
        <v>165.10355638348722</v>
      </c>
      <c r="AI22" s="1509">
        <f>AF22/$B$2</f>
        <v>44880.105332899955</v>
      </c>
      <c r="AJ22" s="779">
        <f>SUM(AJ18:AJ21)</f>
        <v>6422618.5835129805</v>
      </c>
      <c r="AK22" s="777">
        <f>SUM(AK18:AK21)</f>
        <v>0.99999999999999989</v>
      </c>
      <c r="AL22" s="778">
        <f>SUM(AL18:AL21)</f>
        <v>166.30956394681402</v>
      </c>
      <c r="AM22" s="1509">
        <f>AJ22/$B$2</f>
        <v>45229.708334598457</v>
      </c>
      <c r="AN22" s="779">
        <f>SUM(AN18:AN21)</f>
        <v>6490557.5451847492</v>
      </c>
      <c r="AO22" s="777">
        <f>SUM(AO18:AO21)</f>
        <v>0.99999999999999989</v>
      </c>
      <c r="AP22" s="778">
        <f>SUM(AP18:AP21)</f>
        <v>167.86980343196737</v>
      </c>
      <c r="AQ22" s="1509">
        <f>AN22/$B$2</f>
        <v>45708.151726653166</v>
      </c>
      <c r="AR22" s="779">
        <f>SUM(AR18:AR21)</f>
        <v>6523409.6902919756</v>
      </c>
      <c r="AS22" s="777">
        <f>SUM(AS18:AS21)</f>
        <v>1</v>
      </c>
      <c r="AT22" s="778">
        <f>SUM(AT18:AT21)</f>
        <v>168.75943696441152</v>
      </c>
      <c r="AU22" s="1509">
        <f>AR22/$B$2</f>
        <v>45939.504861211099</v>
      </c>
      <c r="AV22" s="779">
        <f t="shared" ref="AV22:AX22" si="42">SUM(AV18:AV21)</f>
        <v>6574567.4636095604</v>
      </c>
      <c r="AW22" s="777">
        <f t="shared" si="42"/>
        <v>1</v>
      </c>
      <c r="AX22" s="778">
        <f t="shared" si="42"/>
        <v>170.00356920232639</v>
      </c>
      <c r="AY22" s="1509">
        <f t="shared" si="4"/>
        <v>46299.770870489861</v>
      </c>
      <c r="AZ22" s="779">
        <f t="shared" ref="AZ22:BB22" si="43">SUM(AZ18:AZ21)</f>
        <v>6613785.9539481029</v>
      </c>
      <c r="BA22" s="777">
        <f t="shared" si="43"/>
        <v>1</v>
      </c>
      <c r="BB22" s="778">
        <f t="shared" si="43"/>
        <v>171.02009262936411</v>
      </c>
      <c r="BC22" s="1509">
        <f t="shared" si="8"/>
        <v>46575.95742216974</v>
      </c>
      <c r="BD22" s="779">
        <f t="shared" ref="BD22:BF22" si="44">SUM(BD18:BD21)</f>
        <v>6671599.6821625186</v>
      </c>
      <c r="BE22" s="777">
        <f t="shared" si="44"/>
        <v>0.99999999999999989</v>
      </c>
      <c r="BF22" s="778">
        <f t="shared" si="44"/>
        <v>172.39862129787508</v>
      </c>
      <c r="BG22" s="1509">
        <f t="shared" si="12"/>
        <v>46983.096353257177</v>
      </c>
      <c r="BH22" s="779">
        <f t="shared" ref="BH22:BJ22" si="45">SUM(BH18:BH21)</f>
        <v>6693169.0839447891</v>
      </c>
      <c r="BI22" s="777">
        <f t="shared" si="45"/>
        <v>1</v>
      </c>
      <c r="BJ22" s="778">
        <f t="shared" si="45"/>
        <v>173.0776631951008</v>
      </c>
      <c r="BK22" s="1509">
        <f t="shared" si="16"/>
        <v>47134.993548906968</v>
      </c>
      <c r="BL22" s="779">
        <f t="shared" ref="BL22:BN22" si="46">SUM(BL18:BL21)</f>
        <v>6733338.7892516209</v>
      </c>
      <c r="BM22" s="777">
        <f t="shared" si="46"/>
        <v>0.99999999999999989</v>
      </c>
      <c r="BN22" s="778">
        <f t="shared" si="46"/>
        <v>174.11884163285077</v>
      </c>
      <c r="BO22" s="1509">
        <f t="shared" si="20"/>
        <v>47417.878797546626</v>
      </c>
      <c r="BP22" s="779">
        <f t="shared" ref="BP22:BR22" si="47">SUM(BP18:BP21)</f>
        <v>6773830.6657467699</v>
      </c>
      <c r="BQ22" s="777">
        <f t="shared" si="47"/>
        <v>1</v>
      </c>
      <c r="BR22" s="778">
        <f t="shared" si="47"/>
        <v>175.1683705847999</v>
      </c>
      <c r="BS22" s="1175">
        <f t="shared" si="24"/>
        <v>47703.032857371618</v>
      </c>
    </row>
    <row r="23" spans="1:71" ht="17" thickTop="1" x14ac:dyDescent="0.2">
      <c r="A23" s="858" t="s">
        <v>148</v>
      </c>
      <c r="B23" s="877"/>
      <c r="C23" s="878"/>
      <c r="D23" s="781"/>
      <c r="E23" s="782"/>
      <c r="F23" s="783"/>
      <c r="G23" s="782"/>
      <c r="H23" s="783"/>
      <c r="I23" s="782"/>
      <c r="J23" s="783"/>
      <c r="K23" s="782"/>
      <c r="L23" s="783"/>
      <c r="M23" s="782"/>
      <c r="N23" s="783"/>
      <c r="O23" s="782"/>
      <c r="P23" s="783"/>
      <c r="Q23" s="782"/>
      <c r="R23" s="783"/>
      <c r="S23" s="782"/>
      <c r="T23" s="783"/>
      <c r="U23" s="782"/>
      <c r="V23" s="783"/>
      <c r="W23" s="782"/>
      <c r="X23" s="783"/>
      <c r="Y23" s="1532"/>
      <c r="Z23" s="785"/>
      <c r="AA23" s="785"/>
      <c r="AB23" s="786"/>
      <c r="AC23" s="787"/>
      <c r="AD23" s="788"/>
      <c r="AE23" s="785"/>
      <c r="AF23" s="789"/>
      <c r="AG23" s="765"/>
      <c r="AH23" s="788"/>
      <c r="AI23" s="892"/>
      <c r="AJ23" s="790"/>
      <c r="AK23" s="787"/>
      <c r="AL23" s="788"/>
      <c r="AM23" s="892"/>
      <c r="AN23" s="786"/>
      <c r="AO23" s="765"/>
      <c r="AP23" s="788"/>
      <c r="AQ23" s="914"/>
      <c r="AR23" s="903"/>
      <c r="AS23" s="765"/>
      <c r="AT23" s="788"/>
      <c r="AU23" s="785"/>
      <c r="AV23" s="786"/>
      <c r="AW23" s="765"/>
      <c r="AX23" s="788"/>
      <c r="AY23" s="785"/>
      <c r="AZ23" s="786"/>
      <c r="BA23" s="787"/>
      <c r="BB23" s="788"/>
      <c r="BC23" s="785"/>
      <c r="BD23" s="786"/>
      <c r="BE23" s="787"/>
      <c r="BF23" s="788"/>
      <c r="BG23" s="785"/>
      <c r="BH23" s="786"/>
      <c r="BI23" s="787"/>
      <c r="BJ23" s="788"/>
      <c r="BK23" s="785"/>
      <c r="BL23" s="786"/>
      <c r="BM23" s="765"/>
      <c r="BN23" s="788"/>
      <c r="BO23" s="892"/>
      <c r="BP23" s="786"/>
      <c r="BQ23" s="765"/>
      <c r="BR23" s="788"/>
      <c r="BS23" s="914"/>
    </row>
    <row r="24" spans="1:71" x14ac:dyDescent="0.2">
      <c r="A24" s="741" t="s">
        <v>138</v>
      </c>
      <c r="B24" s="837">
        <v>1294630.9999999998</v>
      </c>
      <c r="C24" s="874">
        <f>B24/B18</f>
        <v>0.34449999999999992</v>
      </c>
      <c r="D24" s="791">
        <v>1161570.4988438997</v>
      </c>
      <c r="E24" s="766">
        <f>D24/D18</f>
        <v>0.35652869823324118</v>
      </c>
      <c r="F24" s="792">
        <v>1365913.6919999998</v>
      </c>
      <c r="G24" s="766">
        <f>F24/F18</f>
        <v>0.30812399999999995</v>
      </c>
      <c r="H24" s="792">
        <v>1406202.16</v>
      </c>
      <c r="I24" s="766">
        <f>H24/H18</f>
        <v>0.29842999999999997</v>
      </c>
      <c r="J24" s="792">
        <v>1434000</v>
      </c>
      <c r="K24" s="766">
        <f>J24/J18</f>
        <v>0.30291508238276299</v>
      </c>
      <c r="L24" s="792">
        <v>1391000</v>
      </c>
      <c r="M24" s="766">
        <f>L24/L18</f>
        <v>0.28370385478278604</v>
      </c>
      <c r="N24" s="792">
        <v>1431000</v>
      </c>
      <c r="O24" s="766">
        <f>N24/N18</f>
        <v>0.28404128622469232</v>
      </c>
      <c r="P24" s="792">
        <v>338205.67704000004</v>
      </c>
      <c r="Q24" s="766">
        <f>P24/P18</f>
        <v>0.28000000000000003</v>
      </c>
      <c r="R24" s="792">
        <v>380163.92792000005</v>
      </c>
      <c r="S24" s="766">
        <f>R24/R18</f>
        <v>0.28000000000000003</v>
      </c>
      <c r="T24" s="792">
        <v>808900.85864000011</v>
      </c>
      <c r="U24" s="766">
        <f>T24/T18</f>
        <v>0.28000000000000003</v>
      </c>
      <c r="V24" s="792">
        <v>1413000</v>
      </c>
      <c r="W24" s="766">
        <f>V24/V18</f>
        <v>0.33690987124463517</v>
      </c>
      <c r="X24" s="1531">
        <v>1581000</v>
      </c>
      <c r="Y24" s="712">
        <f>X24/X18</f>
        <v>0.34198572355613238</v>
      </c>
      <c r="Z24" s="1048">
        <f t="shared" ref="Z24:Z29" si="48">X24/$X$10</f>
        <v>40.942431057452104</v>
      </c>
      <c r="AA24" s="768">
        <f t="shared" ref="AA24:AA29" si="49">X24/$B$2</f>
        <v>11133.802816901409</v>
      </c>
      <c r="AB24" s="772">
        <f>AC24*AB18</f>
        <v>1591873.6041068903</v>
      </c>
      <c r="AC24" s="793">
        <f>Y24</f>
        <v>0.34198572355613238</v>
      </c>
      <c r="AD24" s="747">
        <f>AB24/$AB$10</f>
        <v>41.260558412350385</v>
      </c>
      <c r="AE24" s="768">
        <f t="shared" ref="AE24:AE29" si="50">AB24/$B$2</f>
        <v>11210.377493710495</v>
      </c>
      <c r="AF24" s="772">
        <f>AG24*AF18</f>
        <v>1607635.4191661144</v>
      </c>
      <c r="AG24" s="746">
        <f>AC24</f>
        <v>0.34198572355613238</v>
      </c>
      <c r="AH24" s="747">
        <f t="shared" ref="AH24:AH29" si="51">AF24/$AF$10</f>
        <v>41.591478518255101</v>
      </c>
      <c r="AI24" s="769">
        <f t="shared" ref="AI24:AI29" si="52">AF24/$B$2</f>
        <v>11321.376191310665</v>
      </c>
      <c r="AJ24" s="772">
        <f>AK24*AJ18</f>
        <v>1623547.6653056182</v>
      </c>
      <c r="AK24" s="746">
        <f>AG24</f>
        <v>0.34198572355613238</v>
      </c>
      <c r="AL24" s="747">
        <f>AJ24/$AJ$10</f>
        <v>41.925052687039852</v>
      </c>
      <c r="AM24" s="769">
        <f t="shared" ref="AM24:AM29" si="53">AJ24/$B$2</f>
        <v>11433.43426271562</v>
      </c>
      <c r="AN24" s="772">
        <f>AO24*AN18</f>
        <v>1644133.7009817515</v>
      </c>
      <c r="AO24" s="746">
        <f>AK24</f>
        <v>0.34198572355613238</v>
      </c>
      <c r="AP24" s="747">
        <f t="shared" ref="AP24:AP29" si="54">AN24/$AN$10</f>
        <v>42.261302204959684</v>
      </c>
      <c r="AQ24" s="912">
        <f t="shared" ref="AQ24:AQ29" si="55">AN24/$B$2</f>
        <v>11578.406344941912</v>
      </c>
      <c r="AR24" s="901">
        <f>AS24*AR18</f>
        <v>1655871.6603218718</v>
      </c>
      <c r="AS24" s="746">
        <f>AO24</f>
        <v>0.34198572355613238</v>
      </c>
      <c r="AT24" s="747">
        <f t="shared" ref="AT24:AT29" si="56">AR24/$AR$10</f>
        <v>42.600248528990782</v>
      </c>
      <c r="AU24" s="768">
        <f t="shared" ref="AU24:AU29" si="57">AR24/$B$2</f>
        <v>11661.068030435717</v>
      </c>
      <c r="AV24" s="772">
        <f>AW24*AV18</f>
        <v>1672286.9291823606</v>
      </c>
      <c r="AW24" s="746">
        <f>AS24</f>
        <v>0.34198572355613238</v>
      </c>
      <c r="AX24" s="747">
        <f t="shared" ref="AX24:AX29" si="58">AV24/$AV$10</f>
        <v>42.941913288199693</v>
      </c>
      <c r="AY24" s="768">
        <f t="shared" ref="AY24:AY29" si="59">AV24/$B$2</f>
        <v>11776.668515368738</v>
      </c>
      <c r="AZ24" s="772">
        <f>BA24*AZ18</f>
        <v>1685699.0929775664</v>
      </c>
      <c r="BA24" s="746">
        <f>AW24</f>
        <v>0.34198572355613238</v>
      </c>
      <c r="BB24" s="747">
        <f t="shared" ref="BB24:BB29" si="60">AZ24/$AZ$10</f>
        <v>43.286318285123549</v>
      </c>
      <c r="BC24" s="768">
        <f t="shared" ref="BC24:BC29" si="61">AZ24/$B$2</f>
        <v>11871.120373081454</v>
      </c>
      <c r="BD24" s="772">
        <f>BE24*BD18</f>
        <v>1703887.6086641506</v>
      </c>
      <c r="BE24" s="746">
        <f>BA24</f>
        <v>0.34198572355613238</v>
      </c>
      <c r="BF24" s="747">
        <f t="shared" ref="BF24:BF29" si="62">BD24/$BD$10</f>
        <v>43.633485497161345</v>
      </c>
      <c r="BG24" s="768">
        <f t="shared" ref="BG24:BG29" si="63">BD24/$B$2</f>
        <v>11999.208511719371</v>
      </c>
      <c r="BH24" s="772">
        <f>BI24*BH18</f>
        <v>1712846.9901276336</v>
      </c>
      <c r="BI24" s="746">
        <f>BE24</f>
        <v>0.34198572355613238</v>
      </c>
      <c r="BJ24" s="747">
        <f t="shared" ref="BJ24:BJ29" si="64">BH24/$BH$10</f>
        <v>43.983437077976362</v>
      </c>
      <c r="BK24" s="768">
        <f t="shared" ref="BK24:BK29" si="65">BH24/$B$2</f>
        <v>12062.302747377702</v>
      </c>
      <c r="BL24" s="772">
        <f>BM24*BL18</f>
        <v>1726584.4558620271</v>
      </c>
      <c r="BM24" s="746">
        <f>BI24</f>
        <v>0.34198572355613238</v>
      </c>
      <c r="BN24" s="747">
        <f t="shared" ref="BN24:BN29" si="66">BL24/$BL$10</f>
        <v>44.336195358909869</v>
      </c>
      <c r="BO24" s="769">
        <f t="shared" ref="BO24:BO29" si="67">BL24/$B$2</f>
        <v>12159.045463817092</v>
      </c>
      <c r="BP24" s="772">
        <f>BQ24*BP18</f>
        <v>1740432.0995433661</v>
      </c>
      <c r="BQ24" s="746">
        <f>BM24</f>
        <v>0.34198572355613238</v>
      </c>
      <c r="BR24" s="747">
        <f t="shared" ref="BR24:BR29" si="68">BP24/$BL$10</f>
        <v>44.691782850406135</v>
      </c>
      <c r="BS24" s="912">
        <f t="shared" ref="BS24:BS29" si="69">BP24/$B$2</f>
        <v>12256.56408129131</v>
      </c>
    </row>
    <row r="25" spans="1:71" x14ac:dyDescent="0.2">
      <c r="A25" s="741" t="s">
        <v>142</v>
      </c>
      <c r="B25" s="837">
        <v>1210091.5956999997</v>
      </c>
      <c r="C25" s="874">
        <f t="shared" ref="C25:E28" si="70">B25/B19</f>
        <v>0.86994363457943902</v>
      </c>
      <c r="D25" s="791">
        <v>1102489.5385612026</v>
      </c>
      <c r="E25" s="766">
        <f t="shared" si="70"/>
        <v>0.91265690278245248</v>
      </c>
      <c r="F25" s="792">
        <v>1280953.8603575998</v>
      </c>
      <c r="G25" s="766">
        <f t="shared" ref="G25" si="71">F25/F19</f>
        <v>0.98762826550316096</v>
      </c>
      <c r="H25" s="792">
        <v>1267033.1446291199</v>
      </c>
      <c r="I25" s="766">
        <f t="shared" ref="I25" si="72">H25/H19</f>
        <v>1.0226256211695883</v>
      </c>
      <c r="J25" s="792">
        <v>1197000</v>
      </c>
      <c r="K25" s="766">
        <f t="shared" ref="K25" si="73">J25/J19</f>
        <v>0.92575406032482577</v>
      </c>
      <c r="L25" s="792">
        <v>1099000</v>
      </c>
      <c r="M25" s="766">
        <f t="shared" ref="M25" si="74">L25/L19</f>
        <v>0.85859375000000016</v>
      </c>
      <c r="N25" s="792">
        <v>1090000</v>
      </c>
      <c r="O25" s="766">
        <f t="shared" ref="O25" si="75">N25/N19</f>
        <v>0.91289782244556117</v>
      </c>
      <c r="P25" s="792">
        <v>187134.00000000003</v>
      </c>
      <c r="Q25" s="766">
        <f t="shared" ref="Q25" si="76">P25/P19</f>
        <v>0.93567000000000011</v>
      </c>
      <c r="R25" s="792">
        <v>231175</v>
      </c>
      <c r="S25" s="766">
        <f t="shared" ref="S25" si="77">R25/R19</f>
        <v>0.92469999999999997</v>
      </c>
      <c r="T25" s="792">
        <v>770985.6</v>
      </c>
      <c r="U25" s="766">
        <f t="shared" ref="U25" si="78">T25/T19</f>
        <v>0.91783999999999999</v>
      </c>
      <c r="V25" s="792">
        <v>839000</v>
      </c>
      <c r="W25" s="766">
        <f t="shared" ref="W25" si="79">V25/V19</f>
        <v>0.93325917686318127</v>
      </c>
      <c r="X25" s="1531">
        <v>1133000</v>
      </c>
      <c r="Y25" s="712">
        <f t="shared" ref="Y25" si="80">X25/X19</f>
        <v>1.0035429583702391</v>
      </c>
      <c r="Z25" s="1048">
        <f t="shared" si="48"/>
        <v>29.34078076413234</v>
      </c>
      <c r="AA25" s="768">
        <f t="shared" si="49"/>
        <v>7978.8732394366198</v>
      </c>
      <c r="AB25" s="772">
        <f>AC25*AB19</f>
        <v>1131996.6626609897</v>
      </c>
      <c r="AC25" s="793">
        <f>Y25</f>
        <v>1.0035429583702391</v>
      </c>
      <c r="AD25" s="747">
        <f t="shared" ref="AD25:AD29" si="81">AB25/$AB$10</f>
        <v>29.340780764132337</v>
      </c>
      <c r="AE25" s="768">
        <f t="shared" si="50"/>
        <v>7971.8074835280959</v>
      </c>
      <c r="AF25" s="772">
        <f>AG25*AF19</f>
        <v>1134109.1988760072</v>
      </c>
      <c r="AG25" s="746">
        <f>AC25</f>
        <v>1.0035429583702391</v>
      </c>
      <c r="AH25" s="747">
        <f t="shared" si="51"/>
        <v>29.340780764132337</v>
      </c>
      <c r="AI25" s="769">
        <f t="shared" si="52"/>
        <v>7986.6844991268117</v>
      </c>
      <c r="AJ25" s="772">
        <f>AK25*AJ19</f>
        <v>1136221.735091025</v>
      </c>
      <c r="AK25" s="746">
        <f>AG25</f>
        <v>1.0035429583702391</v>
      </c>
      <c r="AL25" s="747">
        <f>AJ25/$AJ$10</f>
        <v>29.340780764132344</v>
      </c>
      <c r="AM25" s="769">
        <f t="shared" si="53"/>
        <v>8001.5615147255285</v>
      </c>
      <c r="AN25" s="772">
        <f>AO25*AN19</f>
        <v>1141473.7348478045</v>
      </c>
      <c r="AO25" s="746">
        <f>AK25</f>
        <v>1.0035429583702391</v>
      </c>
      <c r="AP25" s="747">
        <f t="shared" si="54"/>
        <v>29.34078076413234</v>
      </c>
      <c r="AQ25" s="912">
        <f t="shared" si="55"/>
        <v>8038.5474285056653</v>
      </c>
      <c r="AR25" s="901">
        <f>AS25*AR19</f>
        <v>1140476.148301824</v>
      </c>
      <c r="AS25" s="746">
        <f>AO25</f>
        <v>1.0035429583702391</v>
      </c>
      <c r="AT25" s="747">
        <f t="shared" si="56"/>
        <v>29.34078076413234</v>
      </c>
      <c r="AU25" s="768">
        <f t="shared" si="57"/>
        <v>8031.5221711396052</v>
      </c>
      <c r="AV25" s="772">
        <f>AW25*AV19</f>
        <v>1142618.0252976057</v>
      </c>
      <c r="AW25" s="746">
        <f>AS25</f>
        <v>1.0035429583702391</v>
      </c>
      <c r="AX25" s="747">
        <f t="shared" si="58"/>
        <v>29.34078076413234</v>
      </c>
      <c r="AY25" s="768">
        <f t="shared" si="59"/>
        <v>8046.6058119549698</v>
      </c>
      <c r="AZ25" s="772">
        <f>BA25*AZ19</f>
        <v>1142618.0252976057</v>
      </c>
      <c r="BA25" s="746">
        <f>AW25</f>
        <v>1.0035429583702391</v>
      </c>
      <c r="BB25" s="747">
        <f t="shared" si="60"/>
        <v>29.34078076413234</v>
      </c>
      <c r="BC25" s="768">
        <f t="shared" si="61"/>
        <v>8046.6058119549698</v>
      </c>
      <c r="BD25" s="772">
        <f>BE25*BD19</f>
        <v>1145757.4888393679</v>
      </c>
      <c r="BE25" s="746">
        <f>BA25</f>
        <v>1.0035429583702391</v>
      </c>
      <c r="BF25" s="747">
        <f t="shared" si="62"/>
        <v>29.34078076413234</v>
      </c>
      <c r="BG25" s="768">
        <f t="shared" si="63"/>
        <v>8068.7147101363935</v>
      </c>
      <c r="BH25" s="772">
        <f>BI25*BH19</f>
        <v>1142618.0252976057</v>
      </c>
      <c r="BI25" s="746">
        <f>BE25</f>
        <v>1.0035429583702391</v>
      </c>
      <c r="BJ25" s="747">
        <f t="shared" si="64"/>
        <v>29.34078076413234</v>
      </c>
      <c r="BK25" s="768">
        <f t="shared" si="65"/>
        <v>8046.6058119549698</v>
      </c>
      <c r="BL25" s="772">
        <f>BM25*BL19</f>
        <v>1142618.0252976057</v>
      </c>
      <c r="BM25" s="746">
        <f>BI25</f>
        <v>1.0035429583702391</v>
      </c>
      <c r="BN25" s="747">
        <f t="shared" si="66"/>
        <v>29.34078076413234</v>
      </c>
      <c r="BO25" s="769">
        <f t="shared" si="67"/>
        <v>8046.6058119549698</v>
      </c>
      <c r="BP25" s="772">
        <f>BQ25*BP19</f>
        <v>1142618.0252976057</v>
      </c>
      <c r="BQ25" s="746">
        <f>BM25</f>
        <v>1.0035429583702391</v>
      </c>
      <c r="BR25" s="747">
        <f t="shared" si="68"/>
        <v>29.34078076413234</v>
      </c>
      <c r="BS25" s="912">
        <f t="shared" si="69"/>
        <v>8046.6058119549698</v>
      </c>
    </row>
    <row r="26" spans="1:71" x14ac:dyDescent="0.2">
      <c r="A26" s="741" t="s">
        <v>144</v>
      </c>
      <c r="B26" s="837">
        <v>176099.80877999999</v>
      </c>
      <c r="C26" s="874">
        <f t="shared" si="70"/>
        <v>0.74858999999999998</v>
      </c>
      <c r="D26" s="791">
        <v>148562.92562999998</v>
      </c>
      <c r="E26" s="766">
        <f t="shared" si="70"/>
        <v>0.74858999999999987</v>
      </c>
      <c r="F26" s="792">
        <v>185276.02499999999</v>
      </c>
      <c r="G26" s="766">
        <f t="shared" ref="G26" si="82">F26/F20</f>
        <v>0.74858999999999998</v>
      </c>
      <c r="H26" s="792">
        <v>205757.44739999998</v>
      </c>
      <c r="I26" s="766">
        <f t="shared" ref="I26" si="83">H26/H20</f>
        <v>0.74858999999999987</v>
      </c>
      <c r="J26" s="792">
        <v>189572.93160000001</v>
      </c>
      <c r="K26" s="766">
        <f t="shared" ref="K26" si="84">J26/J20</f>
        <v>0.74858999999999998</v>
      </c>
      <c r="L26" s="792">
        <v>180200</v>
      </c>
      <c r="M26" s="766">
        <f t="shared" ref="M26" si="85">L26/L20</f>
        <v>0.69639820683258613</v>
      </c>
      <c r="N26" s="792">
        <v>215400</v>
      </c>
      <c r="O26" s="766">
        <f t="shared" ref="O26" si="86">N26/N20</f>
        <v>0.77789815817984831</v>
      </c>
      <c r="P26" s="792">
        <v>119378.304</v>
      </c>
      <c r="Q26" s="766">
        <f t="shared" ref="Q26" si="87">P26/P20</f>
        <v>0.95840000000000003</v>
      </c>
      <c r="R26" s="792">
        <v>167001.19999999998</v>
      </c>
      <c r="S26" s="766">
        <f t="shared" ref="S26" si="88">R26/R20</f>
        <v>0.95839999999999992</v>
      </c>
      <c r="T26" s="792">
        <v>238380</v>
      </c>
      <c r="U26" s="766">
        <f t="shared" ref="U26" si="89">T26/T20</f>
        <v>0.78585086042065011</v>
      </c>
      <c r="V26" s="792">
        <v>239975</v>
      </c>
      <c r="W26" s="766">
        <f t="shared" ref="W26" si="90">V26/V20</f>
        <v>0.80681493435540541</v>
      </c>
      <c r="X26" s="1531">
        <v>253390</v>
      </c>
      <c r="Y26" s="771">
        <f>X26/X20</f>
        <v>0.81882664684687601</v>
      </c>
      <c r="Z26" s="1048">
        <f t="shared" si="48"/>
        <v>6.5619244817506566</v>
      </c>
      <c r="AA26" s="768">
        <f t="shared" si="49"/>
        <v>1784.4366197183099</v>
      </c>
      <c r="AB26" s="772">
        <f>AC26*AB20</f>
        <v>253165.60843042209</v>
      </c>
      <c r="AC26" s="793">
        <f>Y26</f>
        <v>0.81882664684687601</v>
      </c>
      <c r="AD26" s="747">
        <f t="shared" si="81"/>
        <v>6.5619244817506566</v>
      </c>
      <c r="AE26" s="768">
        <f t="shared" si="50"/>
        <v>1782.8563973973387</v>
      </c>
      <c r="AF26" s="772">
        <f>AG26*AF20</f>
        <v>253638.06699310814</v>
      </c>
      <c r="AG26" s="746">
        <f>AC26</f>
        <v>0.81882664684687601</v>
      </c>
      <c r="AH26" s="747">
        <f t="shared" si="51"/>
        <v>6.5619244817506566</v>
      </c>
      <c r="AI26" s="769">
        <f t="shared" si="52"/>
        <v>1786.183570374001</v>
      </c>
      <c r="AJ26" s="772">
        <f>AK26*AJ20</f>
        <v>254110.52555579419</v>
      </c>
      <c r="AK26" s="746">
        <f>AG26</f>
        <v>0.81882664684687601</v>
      </c>
      <c r="AL26" s="747">
        <f>AJ26/$AJ$10</f>
        <v>6.5619244817506566</v>
      </c>
      <c r="AM26" s="769">
        <f t="shared" si="53"/>
        <v>1789.5107433506632</v>
      </c>
      <c r="AN26" s="772">
        <f>AO26*AN20</f>
        <v>255285.11003802755</v>
      </c>
      <c r="AO26" s="746">
        <f>AK26</f>
        <v>0.81882664684687601</v>
      </c>
      <c r="AP26" s="747">
        <f t="shared" si="54"/>
        <v>6.5619244817506566</v>
      </c>
      <c r="AQ26" s="912">
        <f t="shared" si="55"/>
        <v>1797.7824650565319</v>
      </c>
      <c r="AR26" s="901">
        <f>AS26*AR20</f>
        <v>255062.00460564805</v>
      </c>
      <c r="AS26" s="746">
        <f>AO26</f>
        <v>0.81882664684687601</v>
      </c>
      <c r="AT26" s="747">
        <f t="shared" si="56"/>
        <v>6.5619244817506575</v>
      </c>
      <c r="AU26" s="768">
        <f t="shared" si="57"/>
        <v>1796.2113000397751</v>
      </c>
      <c r="AV26" s="772">
        <f>AW26*AV20</f>
        <v>255541.02509281583</v>
      </c>
      <c r="AW26" s="746">
        <f>AS26</f>
        <v>0.81882664684687601</v>
      </c>
      <c r="AX26" s="747">
        <f t="shared" si="58"/>
        <v>6.5619244817506566</v>
      </c>
      <c r="AY26" s="768">
        <f t="shared" si="59"/>
        <v>1799.5846837522242</v>
      </c>
      <c r="AZ26" s="772">
        <f>BA26*AZ20</f>
        <v>255541.02509281583</v>
      </c>
      <c r="BA26" s="746">
        <f>AW26</f>
        <v>0.81882664684687601</v>
      </c>
      <c r="BB26" s="747">
        <f t="shared" si="60"/>
        <v>6.5619244817506566</v>
      </c>
      <c r="BC26" s="768">
        <f t="shared" si="61"/>
        <v>1799.5846837522242</v>
      </c>
      <c r="BD26" s="772">
        <f>BE26*BD20</f>
        <v>256243.15101236315</v>
      </c>
      <c r="BE26" s="746">
        <f>BA26</f>
        <v>0.81882664684687601</v>
      </c>
      <c r="BF26" s="747">
        <f t="shared" si="62"/>
        <v>6.5619244817506566</v>
      </c>
      <c r="BG26" s="768">
        <f t="shared" si="63"/>
        <v>1804.5292324814307</v>
      </c>
      <c r="BH26" s="772">
        <f>BI26*BH20</f>
        <v>255541.02509281583</v>
      </c>
      <c r="BI26" s="746">
        <f>BE26</f>
        <v>0.81882664684687601</v>
      </c>
      <c r="BJ26" s="747">
        <f t="shared" si="64"/>
        <v>6.5619244817506566</v>
      </c>
      <c r="BK26" s="768">
        <f t="shared" si="65"/>
        <v>1799.5846837522242</v>
      </c>
      <c r="BL26" s="772">
        <f>BM26*BL20</f>
        <v>255541.02509281583</v>
      </c>
      <c r="BM26" s="746">
        <f>BI26</f>
        <v>0.81882664684687601</v>
      </c>
      <c r="BN26" s="747">
        <f t="shared" si="66"/>
        <v>6.5619244817506566</v>
      </c>
      <c r="BO26" s="769">
        <f t="shared" si="67"/>
        <v>1799.5846837522242</v>
      </c>
      <c r="BP26" s="772">
        <f>BQ26*BP20</f>
        <v>255541.02509281583</v>
      </c>
      <c r="BQ26" s="746">
        <f>BM26</f>
        <v>0.81882664684687601</v>
      </c>
      <c r="BR26" s="747">
        <f t="shared" si="68"/>
        <v>6.5619244817506566</v>
      </c>
      <c r="BS26" s="912">
        <f t="shared" si="69"/>
        <v>1799.5846837522242</v>
      </c>
    </row>
    <row r="27" spans="1:71" x14ac:dyDescent="0.2">
      <c r="A27" s="741" t="s">
        <v>146</v>
      </c>
      <c r="B27" s="837">
        <v>96477.404300000286</v>
      </c>
      <c r="C27" s="874">
        <f t="shared" si="70"/>
        <v>0.31425864592833969</v>
      </c>
      <c r="D27" s="791">
        <v>180000</v>
      </c>
      <c r="E27" s="766">
        <f t="shared" si="70"/>
        <v>0.63604240282685509</v>
      </c>
      <c r="F27" s="792">
        <v>162132.44764239952</v>
      </c>
      <c r="G27" s="766">
        <f t="shared" ref="G27" si="91">F27/F21</f>
        <v>0.47686014012470446</v>
      </c>
      <c r="H27" s="792">
        <v>137616.69137088006</v>
      </c>
      <c r="I27" s="766">
        <f t="shared" ref="I27" si="92">H27/H21</f>
        <v>0.32688050206859864</v>
      </c>
      <c r="J27" s="792">
        <v>135000</v>
      </c>
      <c r="K27" s="766">
        <f t="shared" ref="K27" si="93">J27/J21</f>
        <v>0.49632352941176472</v>
      </c>
      <c r="L27" s="792">
        <v>115000</v>
      </c>
      <c r="M27" s="766">
        <f t="shared" ref="M27" si="94">L27/L21</f>
        <v>0.42124542124542125</v>
      </c>
      <c r="N27" s="792">
        <v>128000</v>
      </c>
      <c r="O27" s="766">
        <f t="shared" ref="O27" si="95">N27/N21</f>
        <v>0.48854961832061067</v>
      </c>
      <c r="P27" s="792">
        <v>128000</v>
      </c>
      <c r="Q27" s="766">
        <f t="shared" ref="Q27" si="96">P27/P21</f>
        <v>1.8285714285714285</v>
      </c>
      <c r="R27" s="792">
        <v>128000</v>
      </c>
      <c r="S27" s="766">
        <f t="shared" ref="S27" si="97">R27/R21</f>
        <v>0.90140845070422537</v>
      </c>
      <c r="T27" s="792">
        <v>128000</v>
      </c>
      <c r="U27" s="766">
        <f t="shared" ref="U27" si="98">T27/T21</f>
        <v>0.69189189189189193</v>
      </c>
      <c r="V27" s="792">
        <v>110000</v>
      </c>
      <c r="W27" s="766">
        <f t="shared" ref="W27" si="99">V27/V21</f>
        <v>0.859375</v>
      </c>
      <c r="X27" s="1531">
        <v>125000</v>
      </c>
      <c r="Y27" s="771">
        <f t="shared" ref="Y27" si="100">X27/X21</f>
        <v>0.53879310344827591</v>
      </c>
      <c r="Z27" s="1048">
        <f t="shared" si="48"/>
        <v>3.2370676041628794</v>
      </c>
      <c r="AA27" s="768">
        <f t="shared" si="49"/>
        <v>880.28169014084506</v>
      </c>
      <c r="AB27" s="772">
        <f>AC27*AB21</f>
        <v>124889.30523620808</v>
      </c>
      <c r="AC27" s="793">
        <f>Y27</f>
        <v>0.53879310344827591</v>
      </c>
      <c r="AD27" s="747">
        <f t="shared" si="81"/>
        <v>3.2370676041628803</v>
      </c>
      <c r="AE27" s="768">
        <f t="shared" si="50"/>
        <v>879.50214955076115</v>
      </c>
      <c r="AF27" s="772">
        <f>AG27*AF21</f>
        <v>125122.3741037078</v>
      </c>
      <c r="AG27" s="746">
        <f>AC27</f>
        <v>0.53879310344827591</v>
      </c>
      <c r="AH27" s="747">
        <f t="shared" si="51"/>
        <v>3.2370676041628799</v>
      </c>
      <c r="AI27" s="769">
        <f t="shared" si="52"/>
        <v>881.14347960357611</v>
      </c>
      <c r="AJ27" s="772">
        <f>AK27*AJ21</f>
        <v>125355.44297120752</v>
      </c>
      <c r="AK27" s="746">
        <f>AG27</f>
        <v>0.53879310344827591</v>
      </c>
      <c r="AL27" s="747">
        <f>AJ27/$AJ$10</f>
        <v>3.2370676041628799</v>
      </c>
      <c r="AM27" s="769">
        <f t="shared" si="53"/>
        <v>882.78480965639096</v>
      </c>
      <c r="AN27" s="772">
        <f>AO27*AN21</f>
        <v>125934.87807235269</v>
      </c>
      <c r="AO27" s="746">
        <f>AK27</f>
        <v>0.53879310344827591</v>
      </c>
      <c r="AP27" s="747">
        <f t="shared" si="54"/>
        <v>3.2370676041628803</v>
      </c>
      <c r="AQ27" s="912">
        <f t="shared" si="55"/>
        <v>886.86533853769492</v>
      </c>
      <c r="AR27" s="901">
        <f>AS27*AR21</f>
        <v>125824.81777381114</v>
      </c>
      <c r="AS27" s="746">
        <f>AO27</f>
        <v>0.53879310344827591</v>
      </c>
      <c r="AT27" s="747">
        <f t="shared" si="56"/>
        <v>3.2370676041628799</v>
      </c>
      <c r="AU27" s="768">
        <f t="shared" si="57"/>
        <v>886.09026601275457</v>
      </c>
      <c r="AV27" s="772">
        <f>AW27*AV21</f>
        <v>126061.12370891504</v>
      </c>
      <c r="AW27" s="746">
        <f>AS27</f>
        <v>0.53879310344827591</v>
      </c>
      <c r="AX27" s="747">
        <f t="shared" si="58"/>
        <v>3.2370676041628799</v>
      </c>
      <c r="AY27" s="768">
        <f t="shared" si="59"/>
        <v>887.7543923163031</v>
      </c>
      <c r="AZ27" s="772">
        <f>BA27*AZ21</f>
        <v>126061.12370891504</v>
      </c>
      <c r="BA27" s="746">
        <f>AW27</f>
        <v>0.53879310344827591</v>
      </c>
      <c r="BB27" s="747">
        <f t="shared" si="60"/>
        <v>3.2370676041628799</v>
      </c>
      <c r="BC27" s="768">
        <f t="shared" si="61"/>
        <v>887.7543923163031</v>
      </c>
      <c r="BD27" s="772">
        <f>BE27*BD21</f>
        <v>126407.48994256047</v>
      </c>
      <c r="BE27" s="746">
        <f>BA27</f>
        <v>0.53879310344827591</v>
      </c>
      <c r="BF27" s="747">
        <f t="shared" si="62"/>
        <v>3.2370676041628799</v>
      </c>
      <c r="BG27" s="768">
        <f t="shared" si="63"/>
        <v>890.19359114479198</v>
      </c>
      <c r="BH27" s="772">
        <f>BI27*BH21</f>
        <v>126061.12370891504</v>
      </c>
      <c r="BI27" s="746">
        <f>BE27</f>
        <v>0.53879310344827591</v>
      </c>
      <c r="BJ27" s="747">
        <f t="shared" si="64"/>
        <v>3.2370676041628799</v>
      </c>
      <c r="BK27" s="768">
        <f t="shared" si="65"/>
        <v>887.7543923163031</v>
      </c>
      <c r="BL27" s="772">
        <f>BM27*BL21</f>
        <v>126061.12370891504</v>
      </c>
      <c r="BM27" s="746">
        <f>BI27</f>
        <v>0.53879310344827591</v>
      </c>
      <c r="BN27" s="747">
        <f t="shared" si="66"/>
        <v>3.2370676041628799</v>
      </c>
      <c r="BO27" s="769">
        <f t="shared" si="67"/>
        <v>887.7543923163031</v>
      </c>
      <c r="BP27" s="772">
        <f>BQ27*BP21</f>
        <v>126061.12370891504</v>
      </c>
      <c r="BQ27" s="746">
        <f>BM27</f>
        <v>0.53879310344827591</v>
      </c>
      <c r="BR27" s="747">
        <f t="shared" si="68"/>
        <v>3.2370676041628799</v>
      </c>
      <c r="BS27" s="912">
        <f t="shared" si="69"/>
        <v>887.7543923163031</v>
      </c>
    </row>
    <row r="28" spans="1:71" ht="17" thickBot="1" x14ac:dyDescent="0.25">
      <c r="A28" s="859" t="s">
        <v>238</v>
      </c>
      <c r="B28" s="879">
        <f>SUM(B24:B27)</f>
        <v>2777299.8087799996</v>
      </c>
      <c r="C28" s="876">
        <f t="shared" si="70"/>
        <v>0.48799538111013369</v>
      </c>
      <c r="D28" s="794">
        <f>SUM(D24:D27)</f>
        <v>2592622.9630351025</v>
      </c>
      <c r="E28" s="775">
        <f t="shared" si="70"/>
        <v>0.52403142928480273</v>
      </c>
      <c r="F28" s="795">
        <f>SUM(F24:F27)</f>
        <v>2994276.024999999</v>
      </c>
      <c r="G28" s="775">
        <f t="shared" ref="G28" si="101">F28/F22</f>
        <v>0.47396533834586452</v>
      </c>
      <c r="H28" s="795">
        <f>SUM(H24:H27)</f>
        <v>3016609.4434000002</v>
      </c>
      <c r="I28" s="775">
        <f t="shared" ref="I28" si="102">H28/H22</f>
        <v>0.45383977447998003</v>
      </c>
      <c r="J28" s="795">
        <f>SUM(J24:J27)</f>
        <v>2955572.9315999998</v>
      </c>
      <c r="K28" s="775">
        <f t="shared" ref="K28" si="103">J28/J22</f>
        <v>0.45107824676751762</v>
      </c>
      <c r="L28" s="795">
        <f>SUM(L24:L27)</f>
        <v>2785200</v>
      </c>
      <c r="M28" s="775">
        <f t="shared" ref="M28" si="104">L28/L22</f>
        <v>0.41478772137797926</v>
      </c>
      <c r="N28" s="795">
        <f>SUM(N24:N27)</f>
        <v>2864400</v>
      </c>
      <c r="O28" s="775">
        <f t="shared" ref="O28" si="105">N28/N22</f>
        <v>0.42304568078098925</v>
      </c>
      <c r="P28" s="795">
        <f>SUM(P24:P27)</f>
        <v>772717.9810400001</v>
      </c>
      <c r="Q28" s="775">
        <f t="shared" ref="Q28" si="106">P28/P22</f>
        <v>0.48221413975993416</v>
      </c>
      <c r="R28" s="795">
        <f>SUM(R24:R27)</f>
        <v>906340.12792</v>
      </c>
      <c r="S28" s="775">
        <f t="shared" ref="S28" si="107">R28/R22</f>
        <v>0.47107606220139547</v>
      </c>
      <c r="T28" s="795">
        <f>SUM(T24:T27)</f>
        <v>1946266.4586400001</v>
      </c>
      <c r="U28" s="775">
        <f t="shared" ref="U28" si="108">T28/T22</f>
        <v>0.46149895612676206</v>
      </c>
      <c r="V28" s="795">
        <f>SUM(V24:V27)</f>
        <v>2601975</v>
      </c>
      <c r="W28" s="775">
        <f t="shared" ref="W28" si="109">V28/V22</f>
        <v>0.47150596138216722</v>
      </c>
      <c r="X28" s="1533">
        <f>SUM(X24:X27)</f>
        <v>3092390</v>
      </c>
      <c r="Y28" s="1534">
        <f t="shared" ref="Y28" si="110">X28/X22</f>
        <v>0.49136603026477504</v>
      </c>
      <c r="Z28" s="902">
        <f t="shared" si="48"/>
        <v>80.082203907497984</v>
      </c>
      <c r="AA28" s="778">
        <f t="shared" si="49"/>
        <v>21777.394366197183</v>
      </c>
      <c r="AB28" s="780">
        <f>SUM(AB24:AB27)</f>
        <v>3101925.1804345101</v>
      </c>
      <c r="AC28" s="777">
        <f t="shared" ref="AC28:AC29" si="111">AB28/$AB$22</f>
        <v>0.49051824919257431</v>
      </c>
      <c r="AD28" s="778">
        <f t="shared" si="81"/>
        <v>80.400331262396264</v>
      </c>
      <c r="AE28" s="778">
        <f t="shared" si="50"/>
        <v>21844.543524186691</v>
      </c>
      <c r="AF28" s="779">
        <f>SUM(AF24:AF27)</f>
        <v>3120505.0591389374</v>
      </c>
      <c r="AG28" s="777">
        <f t="shared" ref="AG28:AG29" si="112">AF28/$AF$22</f>
        <v>0.4896465277300876</v>
      </c>
      <c r="AH28" s="778">
        <f t="shared" si="51"/>
        <v>80.731251368300974</v>
      </c>
      <c r="AI28" s="891">
        <f t="shared" si="52"/>
        <v>21975.387740415052</v>
      </c>
      <c r="AJ28" s="780">
        <f>SUM(AJ24:AJ27)</f>
        <v>3139235.368923645</v>
      </c>
      <c r="AK28" s="777">
        <f t="shared" ref="AK28:AK29" si="113">AJ28/$AJ$22</f>
        <v>0.48877810944310773</v>
      </c>
      <c r="AL28" s="778">
        <f t="shared" ref="AL28:AL29" si="114">AJ28/$AJ$10</f>
        <v>81.064825537085738</v>
      </c>
      <c r="AM28" s="891">
        <f t="shared" si="53"/>
        <v>22107.291330448203</v>
      </c>
      <c r="AN28" s="780">
        <f>SUM(AN24:AN27)</f>
        <v>3166827.4239399363</v>
      </c>
      <c r="AO28" s="777">
        <f t="shared" ref="AO28:AO29" si="115">AN28/$AN$22</f>
        <v>0.4879130031424434</v>
      </c>
      <c r="AP28" s="778">
        <f t="shared" si="54"/>
        <v>81.401075055005563</v>
      </c>
      <c r="AQ28" s="913">
        <f t="shared" si="55"/>
        <v>22301.601577041805</v>
      </c>
      <c r="AR28" s="902">
        <f>SUM(AR24:AR27)</f>
        <v>3177234.6310031549</v>
      </c>
      <c r="AS28" s="777">
        <f t="shared" ref="AS28:AS29" si="116">AR28/$AR$22</f>
        <v>0.48705121736129192</v>
      </c>
      <c r="AT28" s="778">
        <f t="shared" si="56"/>
        <v>81.740021379036662</v>
      </c>
      <c r="AU28" s="778">
        <f t="shared" si="57"/>
        <v>22374.891767627851</v>
      </c>
      <c r="AV28" s="780">
        <f>SUM(AV24:AV27)</f>
        <v>3196507.1032816973</v>
      </c>
      <c r="AW28" s="777">
        <f t="shared" ref="AW28:AW29" si="117">AV28/$AV$22</f>
        <v>0.48619276035639841</v>
      </c>
      <c r="AX28" s="778">
        <f t="shared" si="58"/>
        <v>82.081686138245573</v>
      </c>
      <c r="AY28" s="778">
        <f t="shared" si="59"/>
        <v>22510.613403392235</v>
      </c>
      <c r="AZ28" s="780">
        <f>SUM(AZ24:AZ27)</f>
        <v>3209919.267076903</v>
      </c>
      <c r="BA28" s="777">
        <f t="shared" ref="BA28:BA29" si="118">AZ28/$AZ$22</f>
        <v>0.48533764010925395</v>
      </c>
      <c r="BB28" s="778">
        <f t="shared" si="60"/>
        <v>82.426091135169429</v>
      </c>
      <c r="BC28" s="778">
        <f t="shared" si="61"/>
        <v>22605.065261104952</v>
      </c>
      <c r="BD28" s="780">
        <f>SUM(BD24:BD27)</f>
        <v>3232295.738458442</v>
      </c>
      <c r="BE28" s="777">
        <f t="shared" ref="BE28:BE29" si="119">BD28/$BD$22</f>
        <v>0.4844858643273291</v>
      </c>
      <c r="BF28" s="778">
        <f t="shared" si="62"/>
        <v>82.773258347207218</v>
      </c>
      <c r="BG28" s="778">
        <f t="shared" si="63"/>
        <v>22762.646045481986</v>
      </c>
      <c r="BH28" s="780">
        <f>SUM(BH24:BH27)</f>
        <v>3237067.1642269702</v>
      </c>
      <c r="BI28" s="777">
        <f t="shared" ref="BI28:BI29" si="120">BH28/$BH$22</f>
        <v>0.48363744044534468</v>
      </c>
      <c r="BJ28" s="778">
        <f t="shared" si="64"/>
        <v>83.123209928022249</v>
      </c>
      <c r="BK28" s="778">
        <f t="shared" si="65"/>
        <v>22796.2476354012</v>
      </c>
      <c r="BL28" s="780">
        <f>SUM(BL24:BL27)</f>
        <v>3250804.629961364</v>
      </c>
      <c r="BM28" s="777">
        <f t="shared" ref="BM28:BM29" si="121">BL28/$BL$22</f>
        <v>0.48279237562657612</v>
      </c>
      <c r="BN28" s="778">
        <f t="shared" si="66"/>
        <v>83.475968208955749</v>
      </c>
      <c r="BO28" s="891">
        <f t="shared" si="67"/>
        <v>22892.990351840592</v>
      </c>
      <c r="BP28" s="780">
        <f>SUM(BP24:BP27)</f>
        <v>3264652.273642703</v>
      </c>
      <c r="BQ28" s="777">
        <f>BP28/$BL$22</f>
        <v>0.48484895470491451</v>
      </c>
      <c r="BR28" s="778">
        <f t="shared" si="68"/>
        <v>83.831555700452014</v>
      </c>
      <c r="BS28" s="913">
        <f t="shared" si="69"/>
        <v>22990.508969314811</v>
      </c>
    </row>
    <row r="29" spans="1:71" ht="18" thickTop="1" thickBot="1" x14ac:dyDescent="0.25">
      <c r="A29" s="860" t="s">
        <v>239</v>
      </c>
      <c r="B29" s="803">
        <f>B22-B28</f>
        <v>2913942.1912200004</v>
      </c>
      <c r="C29" s="880">
        <f t="shared" ref="C29" si="122">B29/$B$22</f>
        <v>0.51200461888986626</v>
      </c>
      <c r="D29" s="796">
        <f>D22-D28</f>
        <v>2354834.0369648975</v>
      </c>
      <c r="E29" s="797">
        <f t="shared" ref="E29" si="123">D29/$D$22</f>
        <v>0.47596857071519721</v>
      </c>
      <c r="F29" s="798">
        <f>F22-F28</f>
        <v>3323223.975000001</v>
      </c>
      <c r="G29" s="797">
        <f t="shared" ref="G29" si="124">F29/$F$22</f>
        <v>0.52603466165413548</v>
      </c>
      <c r="H29" s="798">
        <f>H22-H28</f>
        <v>3630250.5565999998</v>
      </c>
      <c r="I29" s="797">
        <f t="shared" ref="I29" si="125">H29/$H$22</f>
        <v>0.54616022552001997</v>
      </c>
      <c r="J29" s="798">
        <f>J22-J28</f>
        <v>3596667.0684000002</v>
      </c>
      <c r="K29" s="797">
        <f t="shared" ref="K29" si="126">J29/$J$22</f>
        <v>0.54892175323248238</v>
      </c>
      <c r="L29" s="798">
        <f>L22-L28</f>
        <v>3929560</v>
      </c>
      <c r="M29" s="797">
        <f t="shared" ref="M29" si="127">L29/$L$22</f>
        <v>0.58521227862202074</v>
      </c>
      <c r="N29" s="798">
        <f>N22-N28</f>
        <v>3906500</v>
      </c>
      <c r="O29" s="797">
        <f t="shared" ref="O29" si="128">N29/$N$22</f>
        <v>0.57695431921901075</v>
      </c>
      <c r="P29" s="798">
        <f>P22-P28</f>
        <v>829719.43695999996</v>
      </c>
      <c r="Q29" s="797">
        <f t="shared" ref="Q29" si="129">P29/$P$22</f>
        <v>0.51778586024006579</v>
      </c>
      <c r="R29" s="798">
        <f>R22-R28</f>
        <v>1017638.18608</v>
      </c>
      <c r="S29" s="797">
        <f t="shared" ref="S29" si="130">R29/$R$22</f>
        <v>0.52892393779860447</v>
      </c>
      <c r="T29" s="798">
        <f>T22-T28</f>
        <v>2271005.1793600004</v>
      </c>
      <c r="U29" s="797">
        <f t="shared" ref="U29" si="131">T29/$T$22</f>
        <v>0.53850104387323805</v>
      </c>
      <c r="V29" s="798">
        <f>V22-V28</f>
        <v>2916460</v>
      </c>
      <c r="W29" s="797">
        <f t="shared" ref="W29" si="132">V29/$V$22</f>
        <v>0.52849403861783273</v>
      </c>
      <c r="X29" s="798">
        <f>X22-X28</f>
        <v>3201065</v>
      </c>
      <c r="Y29" s="1069">
        <f t="shared" ref="Y29" si="133">X29/$X$22</f>
        <v>0.5086339697352249</v>
      </c>
      <c r="Z29" s="800">
        <f t="shared" si="48"/>
        <v>82.89651048255719</v>
      </c>
      <c r="AA29" s="800">
        <f t="shared" si="49"/>
        <v>22542.711267605635</v>
      </c>
      <c r="AB29" s="801">
        <f>AB22-AB28</f>
        <v>3221846.0259181289</v>
      </c>
      <c r="AC29" s="799">
        <f t="shared" si="111"/>
        <v>0.50948175080742564</v>
      </c>
      <c r="AD29" s="800">
        <f t="shared" si="81"/>
        <v>83.508618903556908</v>
      </c>
      <c r="AE29" s="800">
        <f t="shared" si="50"/>
        <v>22689.056520550203</v>
      </c>
      <c r="AF29" s="802">
        <f>AF22-AF28</f>
        <v>3252469.8981328565</v>
      </c>
      <c r="AG29" s="799">
        <f t="shared" si="112"/>
        <v>0.51035347226991234</v>
      </c>
      <c r="AH29" s="800">
        <f t="shared" si="51"/>
        <v>84.145341839775867</v>
      </c>
      <c r="AI29" s="893">
        <f t="shared" si="52"/>
        <v>22904.717592484903</v>
      </c>
      <c r="AJ29" s="803">
        <f>AJ22-AJ28</f>
        <v>3283383.2145893355</v>
      </c>
      <c r="AK29" s="799">
        <f t="shared" si="113"/>
        <v>0.51122189055689227</v>
      </c>
      <c r="AL29" s="800">
        <f t="shared" si="114"/>
        <v>84.787171454856946</v>
      </c>
      <c r="AM29" s="893">
        <f t="shared" si="53"/>
        <v>23122.417004150251</v>
      </c>
      <c r="AN29" s="803">
        <f>AN22-AN28</f>
        <v>3323730.1212448128</v>
      </c>
      <c r="AO29" s="799">
        <f t="shared" si="115"/>
        <v>0.51208699685755654</v>
      </c>
      <c r="AP29" s="800">
        <f t="shared" si="54"/>
        <v>85.434148705655275</v>
      </c>
      <c r="AQ29" s="915">
        <f t="shared" si="55"/>
        <v>23406.550149611357</v>
      </c>
      <c r="AR29" s="796">
        <f>AR22-AR28</f>
        <v>3346175.0592888207</v>
      </c>
      <c r="AS29" s="799">
        <f t="shared" si="116"/>
        <v>0.51294878263870813</v>
      </c>
      <c r="AT29" s="800">
        <f t="shared" si="56"/>
        <v>86.086314877510176</v>
      </c>
      <c r="AU29" s="800">
        <f t="shared" si="57"/>
        <v>23564.613093583244</v>
      </c>
      <c r="AV29" s="803">
        <f>AV22-AV28</f>
        <v>3378060.3603278631</v>
      </c>
      <c r="AW29" s="799">
        <f t="shared" si="117"/>
        <v>0.51380723964360153</v>
      </c>
      <c r="AX29" s="800">
        <f t="shared" si="58"/>
        <v>86.743711586879883</v>
      </c>
      <c r="AY29" s="800">
        <f t="shared" si="59"/>
        <v>23789.157467097626</v>
      </c>
      <c r="AZ29" s="803">
        <f>AZ22-AZ28</f>
        <v>3403866.6868711999</v>
      </c>
      <c r="BA29" s="799">
        <f t="shared" si="118"/>
        <v>0.51466235989074605</v>
      </c>
      <c r="BB29" s="800">
        <f t="shared" si="60"/>
        <v>87.406380783997122</v>
      </c>
      <c r="BC29" s="800">
        <f t="shared" si="61"/>
        <v>23970.892161064789</v>
      </c>
      <c r="BD29" s="803">
        <f>BD22-BD28</f>
        <v>3439303.9437040766</v>
      </c>
      <c r="BE29" s="799">
        <f t="shared" si="119"/>
        <v>0.5155141356726709</v>
      </c>
      <c r="BF29" s="800">
        <f t="shared" si="62"/>
        <v>88.074364755546142</v>
      </c>
      <c r="BG29" s="800">
        <f t="shared" si="63"/>
        <v>24220.450307775187</v>
      </c>
      <c r="BH29" s="803">
        <f>BH22-BH28</f>
        <v>3456101.919717819</v>
      </c>
      <c r="BI29" s="799">
        <f t="shared" si="120"/>
        <v>0.51636255955465526</v>
      </c>
      <c r="BJ29" s="800">
        <f t="shared" si="64"/>
        <v>88.747706127360985</v>
      </c>
      <c r="BK29" s="800">
        <f t="shared" si="65"/>
        <v>24338.745913505769</v>
      </c>
      <c r="BL29" s="803">
        <f>BL22-BL28</f>
        <v>3482534.1592902569</v>
      </c>
      <c r="BM29" s="799">
        <f t="shared" si="121"/>
        <v>0.51720762437342382</v>
      </c>
      <c r="BN29" s="800">
        <f t="shared" si="66"/>
        <v>89.426447867145754</v>
      </c>
      <c r="BO29" s="893">
        <f t="shared" si="67"/>
        <v>24524.888445706034</v>
      </c>
      <c r="BP29" s="803">
        <f>BP22-BP28</f>
        <v>3509178.3921040669</v>
      </c>
      <c r="BQ29" s="799">
        <f>BP29/$BL$22</f>
        <v>0.52116468544635575</v>
      </c>
      <c r="BR29" s="800">
        <f t="shared" si="68"/>
        <v>90.110633287216359</v>
      </c>
      <c r="BS29" s="915">
        <f t="shared" si="69"/>
        <v>24712.52388805681</v>
      </c>
    </row>
    <row r="30" spans="1:71" x14ac:dyDescent="0.2">
      <c r="A30" s="858" t="s">
        <v>153</v>
      </c>
      <c r="B30" s="877"/>
      <c r="C30" s="878"/>
      <c r="D30" s="781"/>
      <c r="E30" s="782"/>
      <c r="F30" s="783"/>
      <c r="G30" s="782"/>
      <c r="H30" s="783"/>
      <c r="I30" s="782"/>
      <c r="J30" s="783"/>
      <c r="K30" s="782"/>
      <c r="L30" s="783"/>
      <c r="M30" s="782"/>
      <c r="N30" s="783"/>
      <c r="O30" s="782"/>
      <c r="P30" s="783"/>
      <c r="Q30" s="782"/>
      <c r="R30" s="783"/>
      <c r="S30" s="782"/>
      <c r="T30" s="783"/>
      <c r="U30" s="782"/>
      <c r="V30" s="783"/>
      <c r="W30" s="782"/>
      <c r="X30" s="783"/>
      <c r="Y30" s="784"/>
      <c r="Z30" s="785"/>
      <c r="AA30" s="785"/>
      <c r="AB30" s="804"/>
      <c r="AC30" s="784"/>
      <c r="AD30" s="785"/>
      <c r="AE30" s="785"/>
      <c r="AF30" s="804"/>
      <c r="AG30" s="784"/>
      <c r="AH30" s="785"/>
      <c r="AI30" s="892"/>
      <c r="AJ30" s="804"/>
      <c r="AK30" s="784"/>
      <c r="AL30" s="785"/>
      <c r="AM30" s="892"/>
      <c r="AN30" s="804"/>
      <c r="AO30" s="784"/>
      <c r="AP30" s="785"/>
      <c r="AQ30" s="914"/>
      <c r="AR30" s="904"/>
      <c r="AS30" s="784"/>
      <c r="AT30" s="785"/>
      <c r="AU30" s="785"/>
      <c r="AV30" s="804"/>
      <c r="AW30" s="784"/>
      <c r="AX30" s="785"/>
      <c r="AY30" s="785"/>
      <c r="AZ30" s="804"/>
      <c r="BA30" s="784"/>
      <c r="BB30" s="785"/>
      <c r="BC30" s="785"/>
      <c r="BD30" s="804"/>
      <c r="BE30" s="784"/>
      <c r="BF30" s="785"/>
      <c r="BG30" s="785"/>
      <c r="BH30" s="804"/>
      <c r="BI30" s="784"/>
      <c r="BJ30" s="785"/>
      <c r="BK30" s="785"/>
      <c r="BL30" s="804"/>
      <c r="BM30" s="784"/>
      <c r="BN30" s="785"/>
      <c r="BO30" s="892"/>
      <c r="BP30" s="804"/>
      <c r="BQ30" s="784"/>
      <c r="BR30" s="785"/>
      <c r="BS30" s="914"/>
    </row>
    <row r="31" spans="1:71" x14ac:dyDescent="0.2">
      <c r="A31" s="741" t="s">
        <v>154</v>
      </c>
      <c r="B31" s="745">
        <v>598000</v>
      </c>
      <c r="C31" s="874">
        <f t="shared" ref="C31:C38" si="134">B31/$B$22</f>
        <v>0.10507372555937702</v>
      </c>
      <c r="D31" s="805">
        <v>598700</v>
      </c>
      <c r="E31" s="766">
        <f t="shared" ref="E31:E38" si="135">D31/$D$22</f>
        <v>0.12101166316352016</v>
      </c>
      <c r="F31" s="806">
        <v>658400</v>
      </c>
      <c r="G31" s="766">
        <f t="shared" ref="G31:G38" si="136">F31/$F$22</f>
        <v>0.10421844083893946</v>
      </c>
      <c r="H31" s="806">
        <v>684200</v>
      </c>
      <c r="I31" s="766">
        <f t="shared" ref="I31:I38" si="137">H31/$H$22</f>
        <v>0.10293582232813689</v>
      </c>
      <c r="J31" s="806">
        <v>603000</v>
      </c>
      <c r="K31" s="766">
        <f t="shared" ref="K31:K38" si="138">J31/$J$22</f>
        <v>9.2029595985495039E-2</v>
      </c>
      <c r="L31" s="806">
        <v>854000</v>
      </c>
      <c r="M31" s="766">
        <f t="shared" ref="M31:M38" si="139">L31/$L$22</f>
        <v>0.1271825054060011</v>
      </c>
      <c r="N31" s="806">
        <v>407000</v>
      </c>
      <c r="O31" s="766">
        <f t="shared" ref="O31:O38" si="140">N31/$N$22</f>
        <v>6.0110177376715063E-2</v>
      </c>
      <c r="P31" s="806">
        <v>407000</v>
      </c>
      <c r="Q31" s="766">
        <f t="shared" ref="Q31:Q38" si="141">P31/$P$22</f>
        <v>0.25398807805422824</v>
      </c>
      <c r="R31" s="806">
        <v>407000</v>
      </c>
      <c r="S31" s="766">
        <f t="shared" ref="S31:S38" si="142">R31/$R$22</f>
        <v>0.21154084588086475</v>
      </c>
      <c r="T31" s="806">
        <v>407000</v>
      </c>
      <c r="U31" s="766">
        <f t="shared" ref="U31:U38" si="143">T31/$T$22</f>
        <v>9.6507893001887765E-2</v>
      </c>
      <c r="V31" s="806">
        <v>666000</v>
      </c>
      <c r="W31" s="766">
        <f t="shared" ref="W31:W38" si="144">V31/$V$22</f>
        <v>0.12068639025375853</v>
      </c>
      <c r="X31" s="806">
        <v>380000</v>
      </c>
      <c r="Y31" s="746">
        <f t="shared" ref="Y31:Y38" si="145">X31/$X$22</f>
        <v>6.0380188624531358E-2</v>
      </c>
      <c r="Z31" s="768">
        <f t="shared" ref="Z31:Z38" si="146">X31/$X$10</f>
        <v>9.8406855166551548</v>
      </c>
      <c r="AA31" s="768">
        <f t="shared" ref="AA31:AA38" si="147">X31/$B$2</f>
        <v>2676.0563380281692</v>
      </c>
      <c r="AB31" s="772">
        <f>AE31*$B$2</f>
        <v>388049.09090909088</v>
      </c>
      <c r="AC31" s="771">
        <f>Y31</f>
        <v>6.0380188624531358E-2</v>
      </c>
      <c r="AD31" s="747">
        <f t="shared" ref="AD31:AD38" si="148">AB31/$AB$10</f>
        <v>10.058036103498896</v>
      </c>
      <c r="AE31" s="807">
        <f>AA31*(1+Inflation)</f>
        <v>2732.7400768245839</v>
      </c>
      <c r="AF31" s="772">
        <f>AI31*$B$2</f>
        <v>396268.67619834712</v>
      </c>
      <c r="AG31" s="771">
        <f>AF31/AF$22</f>
        <v>6.2179543910837166E-2</v>
      </c>
      <c r="AH31" s="747">
        <f t="shared" ref="AH31:AH38" si="149">AF31/$AF$10</f>
        <v>10.25195136725085</v>
      </c>
      <c r="AI31" s="894">
        <f>AE31*(1+Inflation)</f>
        <v>2790.6244802700503</v>
      </c>
      <c r="AJ31" s="772">
        <f t="shared" ref="AJ31:AJ34" si="150">AM31*$B$2</f>
        <v>404662.36724873027</v>
      </c>
      <c r="AK31" s="771">
        <f t="shared" ref="AK31:BM34" si="151">AJ31/AJ$22</f>
        <v>6.3005822623113342E-2</v>
      </c>
      <c r="AL31" s="747">
        <f t="shared" ref="AL31:AL34" si="152">AJ31/$AF$10</f>
        <v>10.469106337120799</v>
      </c>
      <c r="AM31" s="894">
        <f>AI31*(1+Inflation)</f>
        <v>2849.7349806248612</v>
      </c>
      <c r="AN31" s="772">
        <f t="shared" ref="AN31:AN34" si="153">AQ31*$B$2</f>
        <v>413233.85193681705</v>
      </c>
      <c r="AO31" s="771">
        <f t="shared" ref="AO31" si="154">AN31/AN$22</f>
        <v>6.3666926771705351E-2</v>
      </c>
      <c r="AP31" s="747">
        <f t="shared" ref="AP31:AP34" si="155">AN31/$AF$10</f>
        <v>10.690861044079814</v>
      </c>
      <c r="AQ31" s="916">
        <f>AM31*(1+Inflation)</f>
        <v>2910.0975488508243</v>
      </c>
      <c r="AR31" s="901">
        <f t="shared" ref="AR31:AR34" si="156">AU31*$B$2</f>
        <v>421986.89625511505</v>
      </c>
      <c r="AS31" s="771">
        <f t="shared" ref="AS31" si="157">AR31/AR$22</f>
        <v>6.4688087409734293E-2</v>
      </c>
      <c r="AT31" s="747">
        <f t="shared" ref="AT31:AT34" si="158">AR31/$AF$10</f>
        <v>10.917312918922594</v>
      </c>
      <c r="AU31" s="807">
        <f>AQ31*(1+Inflation)</f>
        <v>2971.7387060219371</v>
      </c>
      <c r="AV31" s="772">
        <f t="shared" ref="AV31:AV34" si="159">AY31*$B$2</f>
        <v>430925.34596670064</v>
      </c>
      <c r="AW31" s="771">
        <f t="shared" ref="AW31" si="160">AV31/AV$22</f>
        <v>6.5544288404048801E-2</v>
      </c>
      <c r="AX31" s="747">
        <f t="shared" ref="AX31:AX34" si="161">AV31/$AF$10</f>
        <v>11.148561456205227</v>
      </c>
      <c r="AY31" s="807">
        <f>AU31*(1+Inflation)</f>
        <v>3034.6855349767652</v>
      </c>
      <c r="AZ31" s="772">
        <f t="shared" ref="AZ31:AZ34" si="162">BC31*$B$2</f>
        <v>440053.12829490443</v>
      </c>
      <c r="BA31" s="771">
        <f t="shared" ref="BA31" si="163">AZ31/AZ$22</f>
        <v>6.6535737829890682E-2</v>
      </c>
      <c r="BB31" s="747">
        <f t="shared" ref="BB31:BB34" si="164">AZ31/$AF$10</f>
        <v>11.384708257959392</v>
      </c>
      <c r="BC31" s="807">
        <f>AY31*(1+Inflation)</f>
        <v>3098.9656922176368</v>
      </c>
      <c r="BD31" s="772">
        <f t="shared" ref="BD31:BD34" si="165">BG31*$B$2</f>
        <v>449374.25364878739</v>
      </c>
      <c r="BE31" s="771">
        <f t="shared" ref="BE31" si="166">BD31/BD$22</f>
        <v>6.7356297598348727E-2</v>
      </c>
      <c r="BF31" s="747">
        <f t="shared" ref="BF31:BF34" si="167">BD31/$AF$10</f>
        <v>11.625857078332533</v>
      </c>
      <c r="BG31" s="807">
        <f>BC31*(1+Inflation)</f>
        <v>3164.6074200618832</v>
      </c>
      <c r="BH31" s="772">
        <f t="shared" ref="BH31:BH34" si="168">BK31*$B$2</f>
        <v>458892.81738516624</v>
      </c>
      <c r="BI31" s="771">
        <f t="shared" ref="BI31" si="169">BH31/BH$22</f>
        <v>6.85613663168817E-2</v>
      </c>
      <c r="BJ31" s="747">
        <f t="shared" ref="BJ31:BJ34" si="170">BH31/$AF$10</f>
        <v>11.872113869173576</v>
      </c>
      <c r="BK31" s="807">
        <f>BG31*(1+Inflation)</f>
        <v>3231.6395590504667</v>
      </c>
      <c r="BL31" s="772">
        <f t="shared" ref="BL31:BL34" si="171">BO31*$B$2</f>
        <v>468613.0016079612</v>
      </c>
      <c r="BM31" s="771">
        <f t="shared" ref="BM31" si="172">BL31/BL$22</f>
        <v>6.9595933945282046E-2</v>
      </c>
      <c r="BN31" s="747">
        <f t="shared" ref="BN31:BN34" si="173">BL31/$AF$10</f>
        <v>12.123586826584255</v>
      </c>
      <c r="BO31" s="894">
        <f>BK31*(1+Inflation)</f>
        <v>3300.0915606194449</v>
      </c>
      <c r="BP31" s="772">
        <f>BS31*$B$2</f>
        <v>478539.07700565708</v>
      </c>
      <c r="BQ31" s="771">
        <f>BP31/BP$22</f>
        <v>7.0645267149278712E-2</v>
      </c>
      <c r="BR31" s="747">
        <f t="shared" ref="BR31:BR34" si="174">BP31/$AF$10</f>
        <v>12.380386438456448</v>
      </c>
      <c r="BS31" s="916">
        <f>BO31*(1+Inflation)</f>
        <v>3369.9935000398386</v>
      </c>
    </row>
    <row r="32" spans="1:71" x14ac:dyDescent="0.2">
      <c r="A32" s="741" t="s">
        <v>157</v>
      </c>
      <c r="B32" s="745">
        <v>424700</v>
      </c>
      <c r="C32" s="874">
        <f t="shared" si="134"/>
        <v>7.462343017569803E-2</v>
      </c>
      <c r="D32" s="805">
        <v>403250</v>
      </c>
      <c r="E32" s="766">
        <f t="shared" si="135"/>
        <v>8.1506519409870568E-2</v>
      </c>
      <c r="F32" s="806">
        <v>472140</v>
      </c>
      <c r="G32" s="766">
        <f t="shared" si="136"/>
        <v>7.4735259200633161E-2</v>
      </c>
      <c r="H32" s="806">
        <v>462370</v>
      </c>
      <c r="I32" s="766">
        <f t="shared" si="137"/>
        <v>6.9562169204707189E-2</v>
      </c>
      <c r="J32" s="806">
        <v>433000</v>
      </c>
      <c r="K32" s="766">
        <f t="shared" si="138"/>
        <v>6.6084270417445024E-2</v>
      </c>
      <c r="L32" s="806">
        <v>456000</v>
      </c>
      <c r="M32" s="766">
        <f t="shared" si="139"/>
        <v>6.7910096563391698E-2</v>
      </c>
      <c r="N32" s="806">
        <v>450000</v>
      </c>
      <c r="O32" s="766">
        <f t="shared" si="140"/>
        <v>6.6460884077449087E-2</v>
      </c>
      <c r="P32" s="806">
        <v>450000</v>
      </c>
      <c r="Q32" s="766">
        <f t="shared" si="141"/>
        <v>0.28082219932285679</v>
      </c>
      <c r="R32" s="806">
        <v>450000</v>
      </c>
      <c r="S32" s="766">
        <f t="shared" si="142"/>
        <v>0.23389037013854824</v>
      </c>
      <c r="T32" s="806">
        <v>450000</v>
      </c>
      <c r="U32" s="766">
        <f t="shared" si="143"/>
        <v>0.10670405860159582</v>
      </c>
      <c r="V32" s="806">
        <v>366000</v>
      </c>
      <c r="W32" s="766">
        <f t="shared" si="144"/>
        <v>6.6323151400714153E-2</v>
      </c>
      <c r="X32" s="806">
        <v>230000</v>
      </c>
      <c r="Y32" s="746">
        <f t="shared" si="145"/>
        <v>3.6545903641163717E-2</v>
      </c>
      <c r="Z32" s="768">
        <f t="shared" si="146"/>
        <v>5.9562043916596981</v>
      </c>
      <c r="AA32" s="768">
        <f t="shared" si="147"/>
        <v>1619.7183098591549</v>
      </c>
      <c r="AB32" s="772">
        <f t="shared" ref="AB32:AB34" si="175">AE32*$B$2</f>
        <v>234871.81818181818</v>
      </c>
      <c r="AC32" s="771">
        <f>Y32</f>
        <v>3.6545903641163717E-2</v>
      </c>
      <c r="AD32" s="747">
        <f t="shared" si="148"/>
        <v>6.087758694223016</v>
      </c>
      <c r="AE32" s="807">
        <f>AA32*(1+Inflation)</f>
        <v>1654.0268886043534</v>
      </c>
      <c r="AF32" s="772">
        <f t="shared" ref="AF32:AF34" si="176">AI32*$B$2</f>
        <v>239846.83033057849</v>
      </c>
      <c r="AG32" s="771">
        <f t="shared" ref="AG32:AG34" si="177">AF32/AF$22</f>
        <v>3.7634987103927757E-2</v>
      </c>
      <c r="AH32" s="747">
        <f t="shared" si="149"/>
        <v>6.2051284591255138</v>
      </c>
      <c r="AI32" s="894">
        <f>AE32*(1+Inflation)</f>
        <v>1689.0621854266092</v>
      </c>
      <c r="AJ32" s="772">
        <f t="shared" si="150"/>
        <v>244927.2222821262</v>
      </c>
      <c r="AK32" s="771">
        <f t="shared" si="151"/>
        <v>3.8135103166621227E-2</v>
      </c>
      <c r="AL32" s="747">
        <f t="shared" si="152"/>
        <v>6.3365643619415364</v>
      </c>
      <c r="AM32" s="894">
        <f>AI32*(1+Inflation)</f>
        <v>1724.8395935361</v>
      </c>
      <c r="AN32" s="772">
        <f t="shared" si="153"/>
        <v>250115.22617228399</v>
      </c>
      <c r="AO32" s="771">
        <f t="shared" si="151"/>
        <v>3.853524515129534E-2</v>
      </c>
      <c r="AP32" s="747">
        <f t="shared" si="155"/>
        <v>6.470784316153571</v>
      </c>
      <c r="AQ32" s="916">
        <f>AM32*(1+Inflation)</f>
        <v>1761.3748321991829</v>
      </c>
      <c r="AR32" s="901">
        <f t="shared" si="156"/>
        <v>255413.12141756964</v>
      </c>
      <c r="AS32" s="771">
        <f t="shared" si="151"/>
        <v>3.9153316063786546E-2</v>
      </c>
      <c r="AT32" s="747">
        <f t="shared" si="158"/>
        <v>6.6078472930320968</v>
      </c>
      <c r="AU32" s="807">
        <f>AQ32*(1+Inflation)</f>
        <v>1798.6839536448565</v>
      </c>
      <c r="AV32" s="772">
        <f t="shared" si="159"/>
        <v>260823.23571668722</v>
      </c>
      <c r="AW32" s="771">
        <f t="shared" si="151"/>
        <v>3.967154298139796E-2</v>
      </c>
      <c r="AX32" s="747">
        <f t="shared" si="161"/>
        <v>6.7478135129663217</v>
      </c>
      <c r="AY32" s="807">
        <f>AU32*(1+Inflation)</f>
        <v>1836.7833501175157</v>
      </c>
      <c r="AZ32" s="772">
        <f t="shared" si="162"/>
        <v>266347.94607323164</v>
      </c>
      <c r="BA32" s="771">
        <f t="shared" si="151"/>
        <v>4.0271630791775939E-2</v>
      </c>
      <c r="BB32" s="747">
        <f t="shared" si="164"/>
        <v>6.8907444719227913</v>
      </c>
      <c r="BC32" s="807">
        <f>AY32*(1+Inflation)</f>
        <v>1875.6897610790959</v>
      </c>
      <c r="BD32" s="772">
        <f t="shared" si="165"/>
        <v>271989.67984005553</v>
      </c>
      <c r="BE32" s="771">
        <f t="shared" si="151"/>
        <v>4.0768285388474233E-2</v>
      </c>
      <c r="BF32" s="747">
        <f t="shared" si="167"/>
        <v>7.0367029684644278</v>
      </c>
      <c r="BG32" s="807">
        <f>BC32*(1+Inflation)</f>
        <v>1915.4202805637713</v>
      </c>
      <c r="BH32" s="772">
        <f t="shared" si="168"/>
        <v>277750.91578575852</v>
      </c>
      <c r="BI32" s="771">
        <f t="shared" si="151"/>
        <v>4.1497669086533663E-2</v>
      </c>
      <c r="BJ32" s="747">
        <f t="shared" si="170"/>
        <v>7.1857531313419019</v>
      </c>
      <c r="BK32" s="807">
        <f>BG32*(1+Inflation)</f>
        <v>1955.9923646884401</v>
      </c>
      <c r="BL32" s="772">
        <f t="shared" si="171"/>
        <v>283634.18518376595</v>
      </c>
      <c r="BM32" s="771">
        <f t="shared" si="151"/>
        <v>4.2123854756354918E-2</v>
      </c>
      <c r="BN32" s="747">
        <f t="shared" si="173"/>
        <v>7.337960447669416</v>
      </c>
      <c r="BO32" s="894">
        <f>BK32*(1+Inflation)</f>
        <v>1997.4238393222954</v>
      </c>
      <c r="BP32" s="772">
        <f t="shared" ref="BP32:BP34" si="178">BS32*$B$2</f>
        <v>289642.07292447664</v>
      </c>
      <c r="BQ32" s="771">
        <f t="shared" ref="BQ32:BQ34" si="179">BP32/BP$22</f>
        <v>4.275897748508975E-2</v>
      </c>
      <c r="BR32" s="747">
        <f t="shared" si="174"/>
        <v>7.4933917916973236</v>
      </c>
      <c r="BS32" s="916">
        <f>BO32*(1+Inflation)</f>
        <v>2039.7329079188496</v>
      </c>
    </row>
    <row r="33" spans="1:71" x14ac:dyDescent="0.2">
      <c r="A33" s="741" t="s">
        <v>164</v>
      </c>
      <c r="B33" s="745">
        <v>324500</v>
      </c>
      <c r="C33" s="874">
        <f t="shared" si="134"/>
        <v>5.7017431344511448E-2</v>
      </c>
      <c r="D33" s="805">
        <v>314780</v>
      </c>
      <c r="E33" s="766">
        <f t="shared" si="135"/>
        <v>6.3624605529669087E-2</v>
      </c>
      <c r="F33" s="806">
        <v>384520</v>
      </c>
      <c r="G33" s="766">
        <f t="shared" si="136"/>
        <v>6.0865848832607837E-2</v>
      </c>
      <c r="H33" s="806">
        <v>395470</v>
      </c>
      <c r="I33" s="766">
        <f t="shared" si="137"/>
        <v>5.9497266378410255E-2</v>
      </c>
      <c r="J33" s="806">
        <v>395000</v>
      </c>
      <c r="K33" s="766">
        <f t="shared" si="138"/>
        <v>6.0284727055175027E-2</v>
      </c>
      <c r="L33" s="806">
        <v>266000</v>
      </c>
      <c r="M33" s="766">
        <f t="shared" si="139"/>
        <v>3.9614222995311824E-2</v>
      </c>
      <c r="N33" s="806">
        <v>297000</v>
      </c>
      <c r="O33" s="766">
        <f t="shared" si="140"/>
        <v>4.3864183491116399E-2</v>
      </c>
      <c r="P33" s="806">
        <v>297000</v>
      </c>
      <c r="Q33" s="766">
        <f t="shared" si="141"/>
        <v>0.18534265155308549</v>
      </c>
      <c r="R33" s="806">
        <v>297000</v>
      </c>
      <c r="S33" s="766">
        <f t="shared" si="142"/>
        <v>0.15436764429144184</v>
      </c>
      <c r="T33" s="806">
        <v>297000</v>
      </c>
      <c r="U33" s="766">
        <f t="shared" si="143"/>
        <v>7.0424678677053237E-2</v>
      </c>
      <c r="V33" s="806">
        <v>363000</v>
      </c>
      <c r="W33" s="766">
        <f t="shared" si="144"/>
        <v>6.5779519012183707E-2</v>
      </c>
      <c r="X33" s="806">
        <v>340000</v>
      </c>
      <c r="Y33" s="746">
        <f t="shared" si="145"/>
        <v>5.4024379295633321E-2</v>
      </c>
      <c r="Z33" s="768">
        <f t="shared" si="146"/>
        <v>8.8048238833230332</v>
      </c>
      <c r="AA33" s="768">
        <f t="shared" si="147"/>
        <v>2394.3661971830984</v>
      </c>
      <c r="AB33" s="772">
        <f t="shared" si="175"/>
        <v>347201.81818181818</v>
      </c>
      <c r="AC33" s="771">
        <f>Y33</f>
        <v>5.4024379295633321E-2</v>
      </c>
      <c r="AD33" s="747">
        <f t="shared" si="148"/>
        <v>8.9992954610253282</v>
      </c>
      <c r="AE33" s="807">
        <f>AA33*(1+Inflation)</f>
        <v>2445.0832266325224</v>
      </c>
      <c r="AF33" s="772">
        <f t="shared" si="176"/>
        <v>354556.18396694213</v>
      </c>
      <c r="AG33" s="771">
        <f t="shared" si="177"/>
        <v>5.5634328762327989E-2</v>
      </c>
      <c r="AH33" s="747">
        <f t="shared" si="149"/>
        <v>9.1727985917507606</v>
      </c>
      <c r="AI33" s="894">
        <f>AE33*(1+Inflation)</f>
        <v>2496.8745349784658</v>
      </c>
      <c r="AJ33" s="772">
        <f t="shared" si="150"/>
        <v>362066.32859096921</v>
      </c>
      <c r="AK33" s="771">
        <f t="shared" si="151"/>
        <v>5.6373630768048778E-2</v>
      </c>
      <c r="AL33" s="747">
        <f t="shared" si="152"/>
        <v>9.3670951437396628</v>
      </c>
      <c r="AM33" s="894">
        <f>AI33*(1+Inflation)</f>
        <v>2549.7628774011914</v>
      </c>
      <c r="AN33" s="772">
        <f t="shared" si="153"/>
        <v>369735.55173294147</v>
      </c>
      <c r="AO33" s="771">
        <f t="shared" si="151"/>
        <v>5.6965145006262666E-2</v>
      </c>
      <c r="AP33" s="747">
        <f t="shared" si="155"/>
        <v>9.5655072499661475</v>
      </c>
      <c r="AQ33" s="916">
        <f>AM33*(1+Inflation)</f>
        <v>2603.7714910770528</v>
      </c>
      <c r="AR33" s="901">
        <f t="shared" si="156"/>
        <v>377567.22296510293</v>
      </c>
      <c r="AS33" s="771">
        <f t="shared" si="151"/>
        <v>5.7878815050814894E-2</v>
      </c>
      <c r="AT33" s="747">
        <f t="shared" si="158"/>
        <v>9.7681220853517949</v>
      </c>
      <c r="AU33" s="807">
        <f>AQ33*(1+Inflation)</f>
        <v>2658.9241053880487</v>
      </c>
      <c r="AV33" s="772">
        <f t="shared" si="159"/>
        <v>385564.78323336376</v>
      </c>
      <c r="AW33" s="771">
        <f t="shared" si="151"/>
        <v>5.8644889624675248E-2</v>
      </c>
      <c r="AX33" s="747">
        <f t="shared" si="161"/>
        <v>9.9750286713415193</v>
      </c>
      <c r="AY33" s="807">
        <f>AU33*(1+Inflation)</f>
        <v>2715.2449523476321</v>
      </c>
      <c r="AZ33" s="772">
        <f t="shared" si="162"/>
        <v>393731.74636912503</v>
      </c>
      <c r="BA33" s="771">
        <f t="shared" si="151"/>
        <v>5.953197595306009E-2</v>
      </c>
      <c r="BB33" s="747">
        <f t="shared" si="164"/>
        <v>10.1863179150163</v>
      </c>
      <c r="BC33" s="807">
        <f>AY33*(1+Inflation)</f>
        <v>2772.7587772473594</v>
      </c>
      <c r="BD33" s="772">
        <f t="shared" si="165"/>
        <v>402071.70063312555</v>
      </c>
      <c r="BE33" s="771">
        <f t="shared" si="151"/>
        <v>6.0266161009048864E-2</v>
      </c>
      <c r="BF33" s="747">
        <f t="shared" si="167"/>
        <v>10.402082649034371</v>
      </c>
      <c r="BG33" s="807">
        <f>BC33*(1+Inflation)</f>
        <v>2831.4908495290533</v>
      </c>
      <c r="BH33" s="772">
        <f t="shared" si="168"/>
        <v>410588.31029199093</v>
      </c>
      <c r="BI33" s="771">
        <f t="shared" si="151"/>
        <v>6.1344380388788908E-2</v>
      </c>
      <c r="BJ33" s="747">
        <f t="shared" si="170"/>
        <v>10.622417672418464</v>
      </c>
      <c r="BK33" s="807">
        <f>BG33*(1+Inflation)</f>
        <v>2891.4669738872599</v>
      </c>
      <c r="BL33" s="772">
        <f t="shared" si="171"/>
        <v>419285.31722817582</v>
      </c>
      <c r="BM33" s="771">
        <f t="shared" si="151"/>
        <v>6.227004616156815E-2</v>
      </c>
      <c r="BN33" s="747">
        <f t="shared" si="173"/>
        <v>10.847419792206965</v>
      </c>
      <c r="BO33" s="894">
        <f>BK33*(1+Inflation)</f>
        <v>2952.7135016068719</v>
      </c>
      <c r="BP33" s="772">
        <f t="shared" si="178"/>
        <v>428166.542584009</v>
      </c>
      <c r="BQ33" s="771">
        <f t="shared" si="179"/>
        <v>6.3208923238828332E-2</v>
      </c>
      <c r="BR33" s="747">
        <f t="shared" si="174"/>
        <v>11.07718786598735</v>
      </c>
      <c r="BS33" s="916">
        <f>BO33*(1+Inflation)</f>
        <v>3015.2573421409083</v>
      </c>
    </row>
    <row r="34" spans="1:71" x14ac:dyDescent="0.2">
      <c r="A34" s="741" t="s">
        <v>166</v>
      </c>
      <c r="B34" s="745">
        <v>271600.00000000099</v>
      </c>
      <c r="C34" s="874">
        <f t="shared" si="134"/>
        <v>4.7722447929643648E-2</v>
      </c>
      <c r="D34" s="805">
        <v>288047.00000000081</v>
      </c>
      <c r="E34" s="766">
        <f t="shared" si="135"/>
        <v>5.8221223549795545E-2</v>
      </c>
      <c r="F34" s="806">
        <v>324940.00000000023</v>
      </c>
      <c r="G34" s="766">
        <f t="shared" si="136"/>
        <v>5.1434903047091453E-2</v>
      </c>
      <c r="H34" s="806">
        <v>340360</v>
      </c>
      <c r="I34" s="766">
        <f t="shared" si="137"/>
        <v>5.1206133422397944E-2</v>
      </c>
      <c r="J34" s="806">
        <v>300000</v>
      </c>
      <c r="K34" s="766">
        <f t="shared" si="138"/>
        <v>4.5785868649500017E-2</v>
      </c>
      <c r="L34" s="806">
        <v>348000</v>
      </c>
      <c r="M34" s="766">
        <f t="shared" si="139"/>
        <v>5.1826126324693661E-2</v>
      </c>
      <c r="N34" s="806">
        <v>322000</v>
      </c>
      <c r="O34" s="766">
        <f t="shared" si="140"/>
        <v>4.7556454828752454E-2</v>
      </c>
      <c r="P34" s="806">
        <v>322000</v>
      </c>
      <c r="Q34" s="766">
        <f t="shared" si="141"/>
        <v>0.20094388484879974</v>
      </c>
      <c r="R34" s="806">
        <v>322000</v>
      </c>
      <c r="S34" s="766">
        <f t="shared" si="142"/>
        <v>0.16736155374358341</v>
      </c>
      <c r="T34" s="806">
        <v>322000</v>
      </c>
      <c r="U34" s="766">
        <f t="shared" si="143"/>
        <v>7.6352681932697453E-2</v>
      </c>
      <c r="V34" s="806">
        <v>595000</v>
      </c>
      <c r="W34" s="766">
        <f t="shared" si="144"/>
        <v>0.1078204237252047</v>
      </c>
      <c r="X34" s="806">
        <v>400000</v>
      </c>
      <c r="Y34" s="746">
        <f t="shared" si="145"/>
        <v>6.3558093288980377E-2</v>
      </c>
      <c r="Z34" s="768">
        <f t="shared" si="146"/>
        <v>10.358616333321216</v>
      </c>
      <c r="AA34" s="768">
        <f t="shared" si="147"/>
        <v>2816.9014084507044</v>
      </c>
      <c r="AB34" s="772">
        <f t="shared" si="175"/>
        <v>408472.72727272729</v>
      </c>
      <c r="AC34" s="771">
        <f>Y34</f>
        <v>6.3558093288980377E-2</v>
      </c>
      <c r="AD34" s="747">
        <f t="shared" si="148"/>
        <v>10.587406424735681</v>
      </c>
      <c r="AE34" s="807">
        <f>AA34*(1+Inflation)</f>
        <v>2876.5685019206148</v>
      </c>
      <c r="AF34" s="772">
        <f t="shared" si="176"/>
        <v>417124.92231404962</v>
      </c>
      <c r="AG34" s="771">
        <f t="shared" si="177"/>
        <v>6.5452151485091759E-2</v>
      </c>
      <c r="AH34" s="747">
        <f t="shared" si="149"/>
        <v>10.791527755000896</v>
      </c>
      <c r="AI34" s="894">
        <f>AE34*(1+Inflation)</f>
        <v>2937.4994529158425</v>
      </c>
      <c r="AJ34" s="772">
        <f t="shared" si="150"/>
        <v>425960.38657761086</v>
      </c>
      <c r="AK34" s="771">
        <f t="shared" si="151"/>
        <v>6.632191855064562E-2</v>
      </c>
      <c r="AL34" s="747">
        <f t="shared" si="152"/>
        <v>11.02011193381137</v>
      </c>
      <c r="AM34" s="894">
        <f>AI34*(1+Inflation)</f>
        <v>2999.7210322366964</v>
      </c>
      <c r="AN34" s="772">
        <f t="shared" si="153"/>
        <v>434983.00203875487</v>
      </c>
      <c r="AO34" s="771">
        <f t="shared" si="151"/>
        <v>6.7017817654426701E-2</v>
      </c>
      <c r="AP34" s="747">
        <f t="shared" si="155"/>
        <v>11.253537941136649</v>
      </c>
      <c r="AQ34" s="916">
        <f>AM34*(1+Inflation)</f>
        <v>3063.2605777377103</v>
      </c>
      <c r="AR34" s="901">
        <f t="shared" si="156"/>
        <v>444196.73290012119</v>
      </c>
      <c r="AS34" s="771">
        <f t="shared" si="151"/>
        <v>6.8092723589194007E-2</v>
      </c>
      <c r="AT34" s="747">
        <f t="shared" si="158"/>
        <v>11.491908335707997</v>
      </c>
      <c r="AU34" s="807">
        <f>AQ34*(1+Inflation)</f>
        <v>3128.1460063388818</v>
      </c>
      <c r="AV34" s="772">
        <f t="shared" si="159"/>
        <v>453605.62733336922</v>
      </c>
      <c r="AW34" s="771">
        <f t="shared" si="151"/>
        <v>6.8993987793735598E-2</v>
      </c>
      <c r="AX34" s="747">
        <f t="shared" si="161"/>
        <v>11.735327848637084</v>
      </c>
      <c r="AY34" s="807">
        <f>AU34*(1+Inflation)</f>
        <v>3194.4058262913327</v>
      </c>
      <c r="AZ34" s="772">
        <f t="shared" si="162"/>
        <v>463213.81925779424</v>
      </c>
      <c r="BA34" s="771">
        <f t="shared" si="151"/>
        <v>7.0037618768305998E-2</v>
      </c>
      <c r="BB34" s="747">
        <f t="shared" si="164"/>
        <v>11.983903429430942</v>
      </c>
      <c r="BC34" s="807">
        <f>AY34*(1+Inflation)</f>
        <v>3262.0691497027765</v>
      </c>
      <c r="BD34" s="772">
        <f t="shared" si="165"/>
        <v>473025.53015661845</v>
      </c>
      <c r="BE34" s="771">
        <f t="shared" si="151"/>
        <v>7.0901365892998683E-2</v>
      </c>
      <c r="BF34" s="747">
        <f t="shared" si="167"/>
        <v>12.237744292981617</v>
      </c>
      <c r="BG34" s="807">
        <f>BC34*(1+Inflation)</f>
        <v>3331.1657053282988</v>
      </c>
      <c r="BH34" s="772">
        <f t="shared" si="168"/>
        <v>483045.07093175413</v>
      </c>
      <c r="BI34" s="771">
        <f t="shared" si="151"/>
        <v>7.2169859280928145E-2</v>
      </c>
      <c r="BJ34" s="747">
        <f t="shared" si="170"/>
        <v>12.496961967551139</v>
      </c>
      <c r="BK34" s="807">
        <f>BG34*(1+Inflation)</f>
        <v>3401.7258516320712</v>
      </c>
      <c r="BL34" s="772">
        <f t="shared" si="171"/>
        <v>493276.84379785403</v>
      </c>
      <c r="BM34" s="771">
        <f t="shared" si="151"/>
        <v>7.3258877837139011E-2</v>
      </c>
      <c r="BN34" s="747">
        <f t="shared" si="173"/>
        <v>12.761670343772904</v>
      </c>
      <c r="BO34" s="894">
        <f>BK34*(1+Inflation)</f>
        <v>3473.7805901257325</v>
      </c>
      <c r="BP34" s="772">
        <f t="shared" si="178"/>
        <v>503725.34421648126</v>
      </c>
      <c r="BQ34" s="771">
        <f t="shared" si="179"/>
        <v>7.4363439104503937E-2</v>
      </c>
      <c r="BR34" s="747">
        <f t="shared" si="174"/>
        <v>13.031985724691001</v>
      </c>
      <c r="BS34" s="916">
        <f>BO34*(1+Inflation)</f>
        <v>3547.3615789893047</v>
      </c>
    </row>
    <row r="35" spans="1:71" ht="17" thickBot="1" x14ac:dyDescent="0.25">
      <c r="A35" s="861" t="s">
        <v>240</v>
      </c>
      <c r="B35" s="881">
        <f>SUM(B31:B34)</f>
        <v>1618800.0000000009</v>
      </c>
      <c r="C35" s="882">
        <f t="shared" si="134"/>
        <v>0.28443703500923012</v>
      </c>
      <c r="D35" s="808">
        <f>SUM(D31:D34)</f>
        <v>1604777.0000000009</v>
      </c>
      <c r="E35" s="809">
        <f t="shared" si="135"/>
        <v>0.32436401165285539</v>
      </c>
      <c r="F35" s="810">
        <f>SUM(F31:F34)</f>
        <v>1840000.0000000002</v>
      </c>
      <c r="G35" s="809">
        <f t="shared" si="136"/>
        <v>0.29125445191927191</v>
      </c>
      <c r="H35" s="810">
        <f>SUM(H31:H34)</f>
        <v>1882400</v>
      </c>
      <c r="I35" s="809">
        <f t="shared" si="137"/>
        <v>0.2832013913336523</v>
      </c>
      <c r="J35" s="810">
        <f>SUM(J31:J34)</f>
        <v>1731000</v>
      </c>
      <c r="K35" s="809">
        <f t="shared" si="138"/>
        <v>0.26418446210761509</v>
      </c>
      <c r="L35" s="810">
        <f>SUM(L31:L34)</f>
        <v>1924000</v>
      </c>
      <c r="M35" s="809">
        <f t="shared" si="139"/>
        <v>0.28653295128939826</v>
      </c>
      <c r="N35" s="810">
        <f>SUM(N31:N34)</f>
        <v>1476000</v>
      </c>
      <c r="O35" s="809">
        <f t="shared" si="140"/>
        <v>0.21799169977403299</v>
      </c>
      <c r="P35" s="810">
        <f>SUM(P31:P34)</f>
        <v>1476000</v>
      </c>
      <c r="Q35" s="809">
        <f t="shared" si="141"/>
        <v>0.92109681377897024</v>
      </c>
      <c r="R35" s="810">
        <f>SUM(R31:R34)</f>
        <v>1476000</v>
      </c>
      <c r="S35" s="809">
        <f t="shared" si="142"/>
        <v>0.76716041405443824</v>
      </c>
      <c r="T35" s="810">
        <f>SUM(T31:T34)</f>
        <v>1476000</v>
      </c>
      <c r="U35" s="809">
        <f t="shared" si="143"/>
        <v>0.34998931221323426</v>
      </c>
      <c r="V35" s="810">
        <f>SUM(V31:V34)</f>
        <v>1990000</v>
      </c>
      <c r="W35" s="809">
        <f t="shared" si="144"/>
        <v>0.36060948439186108</v>
      </c>
      <c r="X35" s="810">
        <f>SUM(X31:X34)</f>
        <v>1350000</v>
      </c>
      <c r="Y35" s="811">
        <f t="shared" si="145"/>
        <v>0.21450856485030878</v>
      </c>
      <c r="Z35" s="812">
        <f t="shared" si="146"/>
        <v>34.9603301249591</v>
      </c>
      <c r="AA35" s="812">
        <f t="shared" si="147"/>
        <v>9507.0422535211273</v>
      </c>
      <c r="AB35" s="813">
        <f>SUM(AB31:AB34)</f>
        <v>1378595.4545454546</v>
      </c>
      <c r="AC35" s="811">
        <f t="shared" ref="AC35:AC38" si="180">AB35/$AB$22</f>
        <v>0.21800210816617874</v>
      </c>
      <c r="AD35" s="812">
        <f t="shared" si="148"/>
        <v>35.732496683482921</v>
      </c>
      <c r="AE35" s="812">
        <f t="shared" ref="AE35:AE38" si="181">AB35/$B$2</f>
        <v>9708.4186939820738</v>
      </c>
      <c r="AF35" s="814">
        <f>SUM(AF31:AF34)</f>
        <v>1407796.6128099174</v>
      </c>
      <c r="AG35" s="811">
        <f t="shared" ref="AG35:AG38" si="182">AF35/$AF$22</f>
        <v>0.22090101126218467</v>
      </c>
      <c r="AH35" s="812">
        <f t="shared" si="149"/>
        <v>36.42140617312802</v>
      </c>
      <c r="AI35" s="895">
        <f t="shared" ref="AI35:AI38" si="183">AF35/$B$2</f>
        <v>9914.0606535909683</v>
      </c>
      <c r="AJ35" s="881">
        <f>SUM(AJ31:AJ34)</f>
        <v>1437616.3046994365</v>
      </c>
      <c r="AK35" s="811">
        <f t="shared" ref="AK35:AK38" si="184">AJ35/$AJ$22</f>
        <v>0.22383647510842897</v>
      </c>
      <c r="AL35" s="812">
        <f t="shared" ref="AL35:AL38" si="185">AJ35/$AJ$10</f>
        <v>37.123726396370216</v>
      </c>
      <c r="AM35" s="895">
        <f t="shared" ref="AM35:AM38" si="186">AJ35/$B$2</f>
        <v>10124.058483798848</v>
      </c>
      <c r="AN35" s="881">
        <f>SUM(AN31:AN34)</f>
        <v>1468067.6318807974</v>
      </c>
      <c r="AO35" s="811">
        <f t="shared" ref="AO35:AO38" si="187">AN35/$AN$22</f>
        <v>0.22618513458369005</v>
      </c>
      <c r="AP35" s="812">
        <f t="shared" ref="AP35:AP38" si="188">AN35/$AN$10</f>
        <v>37.735647539605118</v>
      </c>
      <c r="AQ35" s="917">
        <f t="shared" ref="AQ35:AQ38" si="189">AN35/$B$2</f>
        <v>10338.504449864771</v>
      </c>
      <c r="AR35" s="808">
        <f>SUM(AR31:AR34)</f>
        <v>1499163.9735379089</v>
      </c>
      <c r="AS35" s="811">
        <f t="shared" ref="AS35:AS38" si="190">AR35/$AR$22</f>
        <v>0.22981294211352976</v>
      </c>
      <c r="AT35" s="812">
        <f t="shared" ref="AT35:AT38" si="191">AR35/$AR$10</f>
        <v>38.568664099251578</v>
      </c>
      <c r="AU35" s="812">
        <f t="shared" ref="AU35:AU38" si="192">AR35/$B$2</f>
        <v>10557.492771393725</v>
      </c>
      <c r="AV35" s="810">
        <f>SUM(AV31:AV34)</f>
        <v>1530918.9922501207</v>
      </c>
      <c r="AW35" s="811">
        <f t="shared" ref="AW35:AW38" si="193">AV35/$AV$22</f>
        <v>0.23285470880385759</v>
      </c>
      <c r="AX35" s="812">
        <f t="shared" ref="AX35:AX38" si="194">AV35/$AV$10</f>
        <v>39.311788825979527</v>
      </c>
      <c r="AY35" s="812">
        <f t="shared" ref="AY35:AY38" si="195">AV35/$B$2</f>
        <v>10781.119663733245</v>
      </c>
      <c r="AZ35" s="810">
        <f>SUM(AZ31:AZ34)</f>
        <v>1563346.6399950553</v>
      </c>
      <c r="BA35" s="811">
        <f t="shared" ref="BA35:BA38" si="196">AZ35/$AZ$22</f>
        <v>0.23637696334303271</v>
      </c>
      <c r="BB35" s="812">
        <f t="shared" ref="BB35:BB38" si="197">AZ35/$AZ$10</f>
        <v>40.144483989293462</v>
      </c>
      <c r="BC35" s="812">
        <f t="shared" ref="BC35:BC38" si="198">AZ35/$B$2</f>
        <v>11009.483380246867</v>
      </c>
      <c r="BD35" s="810">
        <f>SUM(BD31:BD34)</f>
        <v>1596461.1642785869</v>
      </c>
      <c r="BE35" s="811">
        <f t="shared" ref="BE35:BE38" si="199">BD35/$BD$22</f>
        <v>0.23929210988887048</v>
      </c>
      <c r="BF35" s="812">
        <f t="shared" ref="BF35:BF38" si="200">BD35/$BD$10</f>
        <v>40.882488201756388</v>
      </c>
      <c r="BG35" s="812">
        <f t="shared" ref="BG35:BG38" si="201">BD35/$B$2</f>
        <v>11242.684255483005</v>
      </c>
      <c r="BH35" s="810">
        <f>SUM(BH31:BH34)</f>
        <v>1630277.1143946697</v>
      </c>
      <c r="BI35" s="811">
        <f t="shared" ref="BI35:BI38" si="202">BH35/$BH$22</f>
        <v>0.24357327507313239</v>
      </c>
      <c r="BJ35" s="812">
        <f t="shared" ref="BJ35:BJ38" si="203">BH35/$BH$10</f>
        <v>41.863161913429103</v>
      </c>
      <c r="BK35" s="812">
        <f t="shared" ref="BK35:BK38" si="204">BH35/$B$2</f>
        <v>11480.824749258238</v>
      </c>
      <c r="BL35" s="810">
        <f>SUM(BL31:BL34)</f>
        <v>1664809.3478177572</v>
      </c>
      <c r="BM35" s="811">
        <f t="shared" ref="BM35:BM38" si="205">BL35/$BL$22</f>
        <v>0.24724871270034415</v>
      </c>
      <c r="BN35" s="812">
        <f t="shared" ref="BN35:BN38" si="206">BL35/$BL$10</f>
        <v>42.74989979759539</v>
      </c>
      <c r="BO35" s="895">
        <f t="shared" ref="BO35:BO38" si="207">BL35/$B$2</f>
        <v>11724.009491674346</v>
      </c>
      <c r="BP35" s="881">
        <f>SUM(BP31:BP34)</f>
        <v>1700073.036730624</v>
      </c>
      <c r="BQ35" s="811">
        <f t="shared" ref="BQ35:BQ38" si="208">BP35/$BL$22</f>
        <v>0.25248588997845139</v>
      </c>
      <c r="BR35" s="812">
        <f t="shared" ref="BR35:BR38" si="209">BP35/$BL$10</f>
        <v>43.655420402398995</v>
      </c>
      <c r="BS35" s="917">
        <f t="shared" ref="BS35:BS38" si="210">BP35/$B$2</f>
        <v>11972.345329088901</v>
      </c>
    </row>
    <row r="36" spans="1:71" ht="17" thickBot="1" x14ac:dyDescent="0.25">
      <c r="A36" s="862" t="s">
        <v>241</v>
      </c>
      <c r="B36" s="820">
        <f>B29-B35</f>
        <v>1295142.1912199995</v>
      </c>
      <c r="C36" s="883">
        <f t="shared" si="134"/>
        <v>0.22756758388063617</v>
      </c>
      <c r="D36" s="815">
        <f>D29-D35</f>
        <v>750057.0369648966</v>
      </c>
      <c r="E36" s="816">
        <f t="shared" si="135"/>
        <v>0.15160455906234185</v>
      </c>
      <c r="F36" s="817">
        <f>F29-F35</f>
        <v>1483223.9750000008</v>
      </c>
      <c r="G36" s="816">
        <f t="shared" si="136"/>
        <v>0.2347802097348636</v>
      </c>
      <c r="H36" s="817">
        <f>H29-H35</f>
        <v>1747850.5565999998</v>
      </c>
      <c r="I36" s="816">
        <f t="shared" si="137"/>
        <v>0.26295883418636767</v>
      </c>
      <c r="J36" s="817">
        <f>J29-J35</f>
        <v>1865667.0684000002</v>
      </c>
      <c r="K36" s="816">
        <f t="shared" si="138"/>
        <v>0.28473729112486723</v>
      </c>
      <c r="L36" s="817">
        <f>L29-L35</f>
        <v>2005560</v>
      </c>
      <c r="M36" s="816">
        <f t="shared" si="139"/>
        <v>0.29867932733262248</v>
      </c>
      <c r="N36" s="817">
        <f>N29-N35</f>
        <v>2430500</v>
      </c>
      <c r="O36" s="816">
        <f t="shared" si="140"/>
        <v>0.35896261944497776</v>
      </c>
      <c r="P36" s="817">
        <f>P29-P35</f>
        <v>-646280.56304000004</v>
      </c>
      <c r="Q36" s="816">
        <f t="shared" si="141"/>
        <v>-0.40331095353890445</v>
      </c>
      <c r="R36" s="817">
        <f>R29-R35</f>
        <v>-458361.81391999999</v>
      </c>
      <c r="S36" s="816">
        <f t="shared" si="142"/>
        <v>-0.23823647625583372</v>
      </c>
      <c r="T36" s="817">
        <f>T29-T35</f>
        <v>795005.17936000042</v>
      </c>
      <c r="U36" s="816">
        <f t="shared" si="143"/>
        <v>0.18851173166000373</v>
      </c>
      <c r="V36" s="817">
        <f>V29-V35</f>
        <v>926460</v>
      </c>
      <c r="W36" s="816">
        <f t="shared" si="144"/>
        <v>0.16788455422597168</v>
      </c>
      <c r="X36" s="817">
        <f>X29-X35</f>
        <v>1851065</v>
      </c>
      <c r="Y36" s="818">
        <f t="shared" si="145"/>
        <v>0.29412540488491618</v>
      </c>
      <c r="Z36" s="819">
        <f t="shared" si="146"/>
        <v>47.936180357598083</v>
      </c>
      <c r="AA36" s="819">
        <f t="shared" si="147"/>
        <v>13035.669014084508</v>
      </c>
      <c r="AB36" s="820">
        <f>AB29-AB35</f>
        <v>1843250.5713726743</v>
      </c>
      <c r="AC36" s="818">
        <f t="shared" si="180"/>
        <v>0.29147964264124693</v>
      </c>
      <c r="AD36" s="819">
        <f t="shared" si="148"/>
        <v>47.776122220073979</v>
      </c>
      <c r="AE36" s="819">
        <f t="shared" si="181"/>
        <v>12980.637826568129</v>
      </c>
      <c r="AF36" s="820">
        <f>AF29-AF35</f>
        <v>1844673.285322939</v>
      </c>
      <c r="AG36" s="818">
        <f t="shared" si="182"/>
        <v>0.2894524610077277</v>
      </c>
      <c r="AH36" s="819">
        <f t="shared" si="149"/>
        <v>47.72393566664784</v>
      </c>
      <c r="AI36" s="896">
        <f t="shared" si="183"/>
        <v>12990.656938893937</v>
      </c>
      <c r="AJ36" s="820">
        <f>AJ29-AJ35</f>
        <v>1845766.909889899</v>
      </c>
      <c r="AK36" s="818">
        <f t="shared" si="184"/>
        <v>0.28738541544846335</v>
      </c>
      <c r="AL36" s="819">
        <f t="shared" si="185"/>
        <v>47.663445058486737</v>
      </c>
      <c r="AM36" s="896">
        <f t="shared" si="186"/>
        <v>12998.358520351401</v>
      </c>
      <c r="AN36" s="820">
        <f>AN29-AN35</f>
        <v>1855662.4893640154</v>
      </c>
      <c r="AO36" s="818">
        <f t="shared" si="187"/>
        <v>0.28590186227386655</v>
      </c>
      <c r="AP36" s="819">
        <f t="shared" si="188"/>
        <v>47.698501166050157</v>
      </c>
      <c r="AQ36" s="821">
        <f t="shared" si="189"/>
        <v>13068.045699746588</v>
      </c>
      <c r="AR36" s="815">
        <f>AR29-AR35</f>
        <v>1847011.0857509119</v>
      </c>
      <c r="AS36" s="818">
        <f t="shared" si="190"/>
        <v>0.28313584052517832</v>
      </c>
      <c r="AT36" s="819">
        <f t="shared" si="191"/>
        <v>47.517650778258599</v>
      </c>
      <c r="AU36" s="819">
        <f t="shared" si="192"/>
        <v>13007.120322189519</v>
      </c>
      <c r="AV36" s="820">
        <f>AV29-AV35</f>
        <v>1847141.3680777424</v>
      </c>
      <c r="AW36" s="818">
        <f t="shared" si="193"/>
        <v>0.28095253083974397</v>
      </c>
      <c r="AX36" s="819">
        <f t="shared" si="194"/>
        <v>47.431922760900349</v>
      </c>
      <c r="AY36" s="819">
        <f t="shared" si="195"/>
        <v>13008.037803364383</v>
      </c>
      <c r="AZ36" s="820">
        <f>AZ29-AZ35</f>
        <v>1840520.0468761446</v>
      </c>
      <c r="BA36" s="818">
        <f t="shared" si="196"/>
        <v>0.27828539654771339</v>
      </c>
      <c r="BB36" s="819">
        <f t="shared" si="197"/>
        <v>47.261896794703659</v>
      </c>
      <c r="BC36" s="819">
        <f t="shared" si="198"/>
        <v>12961.408780817919</v>
      </c>
      <c r="BD36" s="820">
        <f>BD29-BD35</f>
        <v>1842842.7794254897</v>
      </c>
      <c r="BE36" s="818">
        <f t="shared" si="199"/>
        <v>0.2762220257838004</v>
      </c>
      <c r="BF36" s="819">
        <f t="shared" si="200"/>
        <v>47.191876553789747</v>
      </c>
      <c r="BG36" s="819">
        <f t="shared" si="201"/>
        <v>12977.766052292181</v>
      </c>
      <c r="BH36" s="820">
        <f>BH29-BH35</f>
        <v>1825824.8053231493</v>
      </c>
      <c r="BI36" s="818">
        <f t="shared" si="202"/>
        <v>0.27278928448152295</v>
      </c>
      <c r="BJ36" s="819">
        <f t="shared" si="203"/>
        <v>46.884544213931882</v>
      </c>
      <c r="BK36" s="819">
        <f t="shared" si="204"/>
        <v>12857.921164247531</v>
      </c>
      <c r="BL36" s="820">
        <f>BL29-BL35</f>
        <v>1817724.8114724997</v>
      </c>
      <c r="BM36" s="818">
        <f t="shared" si="205"/>
        <v>0.26995891167307973</v>
      </c>
      <c r="BN36" s="819">
        <f t="shared" si="206"/>
        <v>46.676548069550364</v>
      </c>
      <c r="BO36" s="896">
        <f t="shared" si="207"/>
        <v>12800.878954031688</v>
      </c>
      <c r="BP36" s="820">
        <f>BP29-BP35</f>
        <v>1809105.3553734429</v>
      </c>
      <c r="BQ36" s="818">
        <f t="shared" si="208"/>
        <v>0.26867879546790435</v>
      </c>
      <c r="BR36" s="819">
        <f t="shared" si="209"/>
        <v>46.455212884817371</v>
      </c>
      <c r="BS36" s="821">
        <f t="shared" si="210"/>
        <v>12740.178558967908</v>
      </c>
    </row>
    <row r="37" spans="1:71" x14ac:dyDescent="0.2">
      <c r="A37" s="284" t="s">
        <v>242</v>
      </c>
      <c r="B37" s="884">
        <v>0</v>
      </c>
      <c r="C37" s="885">
        <f t="shared" si="134"/>
        <v>0</v>
      </c>
      <c r="D37" s="822">
        <v>0</v>
      </c>
      <c r="E37" s="823">
        <f t="shared" si="135"/>
        <v>0</v>
      </c>
      <c r="F37" s="824">
        <v>0</v>
      </c>
      <c r="G37" s="823">
        <f t="shared" si="136"/>
        <v>0</v>
      </c>
      <c r="H37" s="824">
        <v>0</v>
      </c>
      <c r="I37" s="823">
        <f t="shared" si="137"/>
        <v>0</v>
      </c>
      <c r="J37" s="824">
        <v>0</v>
      </c>
      <c r="K37" s="823">
        <f t="shared" si="138"/>
        <v>0</v>
      </c>
      <c r="L37" s="824">
        <v>0</v>
      </c>
      <c r="M37" s="823">
        <f t="shared" si="139"/>
        <v>0</v>
      </c>
      <c r="N37" s="824">
        <v>0</v>
      </c>
      <c r="O37" s="823">
        <f t="shared" si="140"/>
        <v>0</v>
      </c>
      <c r="P37" s="824">
        <v>0</v>
      </c>
      <c r="Q37" s="823">
        <f t="shared" si="141"/>
        <v>0</v>
      </c>
      <c r="R37" s="824">
        <v>0</v>
      </c>
      <c r="S37" s="823">
        <f t="shared" si="142"/>
        <v>0</v>
      </c>
      <c r="T37" s="824">
        <v>0</v>
      </c>
      <c r="U37" s="823">
        <f t="shared" si="143"/>
        <v>0</v>
      </c>
      <c r="V37" s="824">
        <v>0</v>
      </c>
      <c r="W37" s="823">
        <f t="shared" si="144"/>
        <v>0</v>
      </c>
      <c r="X37" s="824">
        <v>0</v>
      </c>
      <c r="Y37" s="825">
        <f t="shared" si="145"/>
        <v>0</v>
      </c>
      <c r="Z37" s="826">
        <f t="shared" si="146"/>
        <v>0</v>
      </c>
      <c r="AA37" s="826">
        <f t="shared" si="147"/>
        <v>0</v>
      </c>
      <c r="AB37" s="827">
        <v>0</v>
      </c>
      <c r="AC37" s="828">
        <f t="shared" si="180"/>
        <v>0</v>
      </c>
      <c r="AD37" s="829">
        <f t="shared" si="148"/>
        <v>0</v>
      </c>
      <c r="AE37" s="826">
        <f t="shared" si="181"/>
        <v>0</v>
      </c>
      <c r="AF37" s="827">
        <v>0</v>
      </c>
      <c r="AG37" s="825">
        <f t="shared" si="182"/>
        <v>0</v>
      </c>
      <c r="AH37" s="829">
        <f t="shared" si="149"/>
        <v>0</v>
      </c>
      <c r="AI37" s="897">
        <f t="shared" si="183"/>
        <v>0</v>
      </c>
      <c r="AJ37" s="827">
        <v>0</v>
      </c>
      <c r="AK37" s="828">
        <f t="shared" si="184"/>
        <v>0</v>
      </c>
      <c r="AL37" s="829">
        <f t="shared" si="185"/>
        <v>0</v>
      </c>
      <c r="AM37" s="897">
        <f t="shared" si="186"/>
        <v>0</v>
      </c>
      <c r="AN37" s="827">
        <v>0</v>
      </c>
      <c r="AO37" s="825">
        <f t="shared" si="187"/>
        <v>0</v>
      </c>
      <c r="AP37" s="829">
        <f t="shared" si="188"/>
        <v>0</v>
      </c>
      <c r="AQ37" s="918">
        <f t="shared" si="189"/>
        <v>0</v>
      </c>
      <c r="AR37" s="905">
        <v>0</v>
      </c>
      <c r="AS37" s="825">
        <f t="shared" si="190"/>
        <v>0</v>
      </c>
      <c r="AT37" s="829">
        <f t="shared" si="191"/>
        <v>0</v>
      </c>
      <c r="AU37" s="826">
        <f t="shared" si="192"/>
        <v>0</v>
      </c>
      <c r="AV37" s="827">
        <v>0</v>
      </c>
      <c r="AW37" s="825">
        <f t="shared" si="193"/>
        <v>0</v>
      </c>
      <c r="AX37" s="829">
        <f t="shared" si="194"/>
        <v>0</v>
      </c>
      <c r="AY37" s="826">
        <f t="shared" si="195"/>
        <v>0</v>
      </c>
      <c r="AZ37" s="827">
        <v>0</v>
      </c>
      <c r="BA37" s="828">
        <f t="shared" si="196"/>
        <v>0</v>
      </c>
      <c r="BB37" s="829">
        <f t="shared" si="197"/>
        <v>0</v>
      </c>
      <c r="BC37" s="826">
        <f t="shared" si="198"/>
        <v>0</v>
      </c>
      <c r="BD37" s="827">
        <v>0</v>
      </c>
      <c r="BE37" s="828">
        <f t="shared" si="199"/>
        <v>0</v>
      </c>
      <c r="BF37" s="829">
        <f t="shared" si="200"/>
        <v>0</v>
      </c>
      <c r="BG37" s="826">
        <f t="shared" si="201"/>
        <v>0</v>
      </c>
      <c r="BH37" s="827">
        <v>0</v>
      </c>
      <c r="BI37" s="828">
        <f t="shared" si="202"/>
        <v>0</v>
      </c>
      <c r="BJ37" s="829">
        <f t="shared" si="203"/>
        <v>0</v>
      </c>
      <c r="BK37" s="826">
        <f t="shared" si="204"/>
        <v>0</v>
      </c>
      <c r="BL37" s="827">
        <v>0</v>
      </c>
      <c r="BM37" s="825">
        <f t="shared" si="205"/>
        <v>0</v>
      </c>
      <c r="BN37" s="829">
        <f t="shared" si="206"/>
        <v>0</v>
      </c>
      <c r="BO37" s="897">
        <f t="shared" si="207"/>
        <v>0</v>
      </c>
      <c r="BP37" s="827">
        <v>0</v>
      </c>
      <c r="BQ37" s="825">
        <f t="shared" si="208"/>
        <v>0</v>
      </c>
      <c r="BR37" s="829">
        <f t="shared" si="209"/>
        <v>0</v>
      </c>
      <c r="BS37" s="918">
        <f t="shared" si="210"/>
        <v>0</v>
      </c>
    </row>
    <row r="38" spans="1:71" ht="17" thickBot="1" x14ac:dyDescent="0.25">
      <c r="A38" s="830" t="s">
        <v>243</v>
      </c>
      <c r="B38" s="886">
        <f>B36-B37</f>
        <v>1295142.1912199995</v>
      </c>
      <c r="C38" s="887">
        <f t="shared" si="134"/>
        <v>0.22756758388063617</v>
      </c>
      <c r="D38" s="831">
        <f>D36-D37</f>
        <v>750057.0369648966</v>
      </c>
      <c r="E38" s="832">
        <f t="shared" si="135"/>
        <v>0.15160455906234185</v>
      </c>
      <c r="F38" s="833">
        <f>F36-F37</f>
        <v>1483223.9750000008</v>
      </c>
      <c r="G38" s="832">
        <f t="shared" si="136"/>
        <v>0.2347802097348636</v>
      </c>
      <c r="H38" s="833">
        <f>H36-H37</f>
        <v>1747850.5565999998</v>
      </c>
      <c r="I38" s="832">
        <f t="shared" si="137"/>
        <v>0.26295883418636767</v>
      </c>
      <c r="J38" s="833">
        <f>J36-J37</f>
        <v>1865667.0684000002</v>
      </c>
      <c r="K38" s="832">
        <f t="shared" si="138"/>
        <v>0.28473729112486723</v>
      </c>
      <c r="L38" s="833">
        <f>L36-L37</f>
        <v>2005560</v>
      </c>
      <c r="M38" s="832">
        <f t="shared" si="139"/>
        <v>0.29867932733262248</v>
      </c>
      <c r="N38" s="833">
        <f>N36-N37</f>
        <v>2430500</v>
      </c>
      <c r="O38" s="832">
        <f t="shared" si="140"/>
        <v>0.35896261944497776</v>
      </c>
      <c r="P38" s="833">
        <f>P36-P37</f>
        <v>-646280.56304000004</v>
      </c>
      <c r="Q38" s="832">
        <f t="shared" si="141"/>
        <v>-0.40331095353890445</v>
      </c>
      <c r="R38" s="833">
        <f>R36-R37</f>
        <v>-458361.81391999999</v>
      </c>
      <c r="S38" s="832">
        <f t="shared" si="142"/>
        <v>-0.23823647625583372</v>
      </c>
      <c r="T38" s="833">
        <f>T36-T37</f>
        <v>795005.17936000042</v>
      </c>
      <c r="U38" s="832">
        <f t="shared" si="143"/>
        <v>0.18851173166000373</v>
      </c>
      <c r="V38" s="833">
        <f>V36-V37</f>
        <v>926460</v>
      </c>
      <c r="W38" s="832">
        <f t="shared" si="144"/>
        <v>0.16788455422597168</v>
      </c>
      <c r="X38" s="833">
        <f>X36-X37</f>
        <v>1851065</v>
      </c>
      <c r="Y38" s="834">
        <f t="shared" si="145"/>
        <v>0.29412540488491618</v>
      </c>
      <c r="Z38" s="835">
        <f t="shared" si="146"/>
        <v>47.936180357598083</v>
      </c>
      <c r="AA38" s="835">
        <f t="shared" si="147"/>
        <v>13035.669014084508</v>
      </c>
      <c r="AB38" s="836">
        <f>AB36-AB37</f>
        <v>1843250.5713726743</v>
      </c>
      <c r="AC38" s="834">
        <f t="shared" si="180"/>
        <v>0.29147964264124693</v>
      </c>
      <c r="AD38" s="835">
        <f t="shared" si="148"/>
        <v>47.776122220073979</v>
      </c>
      <c r="AE38" s="835">
        <f t="shared" si="181"/>
        <v>12980.637826568129</v>
      </c>
      <c r="AF38" s="836">
        <f>AF36-AF37</f>
        <v>1844673.285322939</v>
      </c>
      <c r="AG38" s="834">
        <f t="shared" si="182"/>
        <v>0.2894524610077277</v>
      </c>
      <c r="AH38" s="835">
        <f t="shared" si="149"/>
        <v>47.72393566664784</v>
      </c>
      <c r="AI38" s="898">
        <f t="shared" si="183"/>
        <v>12990.656938893937</v>
      </c>
      <c r="AJ38" s="836">
        <f>AJ36-AJ37</f>
        <v>1845766.909889899</v>
      </c>
      <c r="AK38" s="834">
        <f t="shared" si="184"/>
        <v>0.28738541544846335</v>
      </c>
      <c r="AL38" s="835">
        <f t="shared" si="185"/>
        <v>47.663445058486737</v>
      </c>
      <c r="AM38" s="898">
        <f t="shared" si="186"/>
        <v>12998.358520351401</v>
      </c>
      <c r="AN38" s="836">
        <f>AN36-AN37</f>
        <v>1855662.4893640154</v>
      </c>
      <c r="AO38" s="834">
        <f t="shared" si="187"/>
        <v>0.28590186227386655</v>
      </c>
      <c r="AP38" s="835">
        <f t="shared" si="188"/>
        <v>47.698501166050157</v>
      </c>
      <c r="AQ38" s="919">
        <f t="shared" si="189"/>
        <v>13068.045699746588</v>
      </c>
      <c r="AR38" s="906">
        <f>AR36-AR37</f>
        <v>1847011.0857509119</v>
      </c>
      <c r="AS38" s="834">
        <f t="shared" si="190"/>
        <v>0.28313584052517832</v>
      </c>
      <c r="AT38" s="835">
        <f t="shared" si="191"/>
        <v>47.517650778258599</v>
      </c>
      <c r="AU38" s="835">
        <f t="shared" si="192"/>
        <v>13007.120322189519</v>
      </c>
      <c r="AV38" s="836">
        <f>AV36-AV37</f>
        <v>1847141.3680777424</v>
      </c>
      <c r="AW38" s="834">
        <f t="shared" si="193"/>
        <v>0.28095253083974397</v>
      </c>
      <c r="AX38" s="835">
        <f t="shared" si="194"/>
        <v>47.431922760900349</v>
      </c>
      <c r="AY38" s="835">
        <f t="shared" si="195"/>
        <v>13008.037803364383</v>
      </c>
      <c r="AZ38" s="836">
        <f>AZ36-AZ37</f>
        <v>1840520.0468761446</v>
      </c>
      <c r="BA38" s="834">
        <f t="shared" si="196"/>
        <v>0.27828539654771339</v>
      </c>
      <c r="BB38" s="835">
        <f t="shared" si="197"/>
        <v>47.261896794703659</v>
      </c>
      <c r="BC38" s="835">
        <f t="shared" si="198"/>
        <v>12961.408780817919</v>
      </c>
      <c r="BD38" s="836">
        <f>BD36-BD37</f>
        <v>1842842.7794254897</v>
      </c>
      <c r="BE38" s="834">
        <f t="shared" si="199"/>
        <v>0.2762220257838004</v>
      </c>
      <c r="BF38" s="835">
        <f t="shared" si="200"/>
        <v>47.191876553789747</v>
      </c>
      <c r="BG38" s="835">
        <f t="shared" si="201"/>
        <v>12977.766052292181</v>
      </c>
      <c r="BH38" s="836">
        <f>BH36-BH37</f>
        <v>1825824.8053231493</v>
      </c>
      <c r="BI38" s="834">
        <f t="shared" si="202"/>
        <v>0.27278928448152295</v>
      </c>
      <c r="BJ38" s="835">
        <f t="shared" si="203"/>
        <v>46.884544213931882</v>
      </c>
      <c r="BK38" s="835">
        <f t="shared" si="204"/>
        <v>12857.921164247531</v>
      </c>
      <c r="BL38" s="836">
        <f>BL36-BL37</f>
        <v>1817724.8114724997</v>
      </c>
      <c r="BM38" s="834">
        <f t="shared" si="205"/>
        <v>0.26995891167307973</v>
      </c>
      <c r="BN38" s="835">
        <f t="shared" si="206"/>
        <v>46.676548069550364</v>
      </c>
      <c r="BO38" s="898">
        <f t="shared" si="207"/>
        <v>12800.878954031688</v>
      </c>
      <c r="BP38" s="836">
        <f>BP36-BP37</f>
        <v>1809105.3553734429</v>
      </c>
      <c r="BQ38" s="834">
        <f t="shared" si="208"/>
        <v>0.26867879546790435</v>
      </c>
      <c r="BR38" s="835">
        <f t="shared" si="209"/>
        <v>46.455212884817371</v>
      </c>
      <c r="BS38" s="919">
        <f t="shared" si="210"/>
        <v>12740.178558967908</v>
      </c>
    </row>
    <row r="39" spans="1:71" x14ac:dyDescent="0.2">
      <c r="A39" s="858" t="s">
        <v>244</v>
      </c>
      <c r="B39" s="877"/>
      <c r="C39" s="878"/>
      <c r="D39" s="781"/>
      <c r="E39" s="782"/>
      <c r="F39" s="783"/>
      <c r="G39" s="782"/>
      <c r="H39" s="783"/>
      <c r="I39" s="782"/>
      <c r="J39" s="783"/>
      <c r="K39" s="782"/>
      <c r="L39" s="783"/>
      <c r="M39" s="782"/>
      <c r="N39" s="783"/>
      <c r="O39" s="782"/>
      <c r="P39" s="783"/>
      <c r="Q39" s="782"/>
      <c r="R39" s="783"/>
      <c r="S39" s="782"/>
      <c r="T39" s="783"/>
      <c r="U39" s="782"/>
      <c r="V39" s="783"/>
      <c r="W39" s="782"/>
      <c r="X39" s="783"/>
      <c r="Y39" s="784"/>
      <c r="Z39" s="785"/>
      <c r="AA39" s="785"/>
      <c r="AB39" s="804"/>
      <c r="AC39" s="784"/>
      <c r="AD39" s="785"/>
      <c r="AE39" s="785"/>
      <c r="AF39" s="804"/>
      <c r="AG39" s="784"/>
      <c r="AH39" s="785"/>
      <c r="AI39" s="892"/>
      <c r="AJ39" s="804"/>
      <c r="AK39" s="784"/>
      <c r="AL39" s="785"/>
      <c r="AM39" s="892"/>
      <c r="AN39" s="804"/>
      <c r="AO39" s="784"/>
      <c r="AP39" s="785"/>
      <c r="AQ39" s="914"/>
      <c r="AR39" s="904"/>
      <c r="AS39" s="784"/>
      <c r="AT39" s="785"/>
      <c r="AU39" s="785"/>
      <c r="AV39" s="804"/>
      <c r="AW39" s="784"/>
      <c r="AX39" s="785"/>
      <c r="AY39" s="785"/>
      <c r="AZ39" s="804"/>
      <c r="BA39" s="784"/>
      <c r="BB39" s="785"/>
      <c r="BC39" s="785"/>
      <c r="BD39" s="804"/>
      <c r="BE39" s="784"/>
      <c r="BF39" s="785"/>
      <c r="BG39" s="785"/>
      <c r="BH39" s="804"/>
      <c r="BI39" s="784"/>
      <c r="BJ39" s="785"/>
      <c r="BK39" s="785"/>
      <c r="BL39" s="804"/>
      <c r="BM39" s="784"/>
      <c r="BN39" s="785"/>
      <c r="BO39" s="892"/>
      <c r="BP39" s="804"/>
      <c r="BQ39" s="784"/>
      <c r="BR39" s="785"/>
      <c r="BS39" s="914"/>
    </row>
    <row r="40" spans="1:71" x14ac:dyDescent="0.2">
      <c r="A40" s="741" t="s">
        <v>245</v>
      </c>
      <c r="B40" s="837">
        <v>1400000</v>
      </c>
      <c r="C40" s="874">
        <f>B40/$B$22</f>
        <v>0.24599199963733751</v>
      </c>
      <c r="D40" s="791">
        <v>1418199.9999999998</v>
      </c>
      <c r="E40" s="766">
        <f>D40/$D$22</f>
        <v>0.28665231451228373</v>
      </c>
      <c r="F40" s="792">
        <v>1436636.5999999994</v>
      </c>
      <c r="G40" s="766">
        <f>F40/$F$22</f>
        <v>0.2274058725761772</v>
      </c>
      <c r="H40" s="792">
        <v>1458999.9999999998</v>
      </c>
      <c r="I40" s="766">
        <f>H40/$H$22</f>
        <v>0.21950214086049649</v>
      </c>
      <c r="J40" s="792">
        <v>1376000</v>
      </c>
      <c r="K40" s="766">
        <f>J40/$J$22</f>
        <v>0.21000451753904009</v>
      </c>
      <c r="L40" s="792">
        <v>1443000</v>
      </c>
      <c r="M40" s="766">
        <f>L40/$L$22</f>
        <v>0.2148997134670487</v>
      </c>
      <c r="N40" s="792">
        <v>1460316.0000000002</v>
      </c>
      <c r="O40" s="766">
        <f>N40/$N$22</f>
        <v>0.21567531642765367</v>
      </c>
      <c r="P40" s="792">
        <v>1350000</v>
      </c>
      <c r="Q40" s="766">
        <f>P40/$P$22</f>
        <v>0.84246659796857037</v>
      </c>
      <c r="R40" s="792">
        <v>1350000</v>
      </c>
      <c r="S40" s="766">
        <f>R40/$R$22</f>
        <v>0.70167111041564478</v>
      </c>
      <c r="T40" s="792">
        <v>1350000</v>
      </c>
      <c r="U40" s="766">
        <f>T40/$T$22</f>
        <v>0.32011217580478746</v>
      </c>
      <c r="V40" s="792"/>
      <c r="W40" s="766"/>
      <c r="X40" s="792"/>
      <c r="Y40" s="746"/>
      <c r="Z40" s="768"/>
      <c r="AA40" s="768"/>
      <c r="AB40" s="837"/>
      <c r="AC40" s="771"/>
      <c r="AD40" s="747"/>
      <c r="AE40" s="768"/>
      <c r="AF40" s="837"/>
      <c r="AG40" s="746"/>
      <c r="AH40" s="747"/>
      <c r="AI40" s="769"/>
      <c r="AJ40" s="838"/>
      <c r="AK40" s="771"/>
      <c r="AL40" s="747"/>
      <c r="AM40" s="769"/>
      <c r="AN40" s="837"/>
      <c r="AO40" s="746"/>
      <c r="AP40" s="747"/>
      <c r="AQ40" s="912"/>
      <c r="AR40" s="791"/>
      <c r="AS40" s="746"/>
      <c r="AT40" s="747"/>
      <c r="AU40" s="768"/>
      <c r="AV40" s="837"/>
      <c r="AW40" s="746"/>
      <c r="AX40" s="747"/>
      <c r="AY40" s="768"/>
      <c r="AZ40" s="837"/>
      <c r="BA40" s="771"/>
      <c r="BB40" s="747"/>
      <c r="BC40" s="768"/>
      <c r="BD40" s="837"/>
      <c r="BE40" s="771"/>
      <c r="BF40" s="747"/>
      <c r="BG40" s="768"/>
      <c r="BH40" s="837"/>
      <c r="BI40" s="771"/>
      <c r="BJ40" s="747"/>
      <c r="BK40" s="768"/>
      <c r="BL40" s="837"/>
      <c r="BM40" s="746"/>
      <c r="BN40" s="747"/>
      <c r="BO40" s="769"/>
      <c r="BP40" s="837"/>
      <c r="BQ40" s="746"/>
      <c r="BR40" s="747"/>
      <c r="BS40" s="912"/>
    </row>
    <row r="41" spans="1:71" x14ac:dyDescent="0.2">
      <c r="A41" s="741" t="s">
        <v>246</v>
      </c>
      <c r="B41" s="837">
        <v>1223617.0300000003</v>
      </c>
      <c r="C41" s="874">
        <f>B41/$B$22</f>
        <v>0.21500000000000005</v>
      </c>
      <c r="D41" s="791">
        <v>1063703.2550000001</v>
      </c>
      <c r="E41" s="766">
        <f>D41/$D$22</f>
        <v>0.21500000000000002</v>
      </c>
      <c r="F41" s="792">
        <v>1358262.4999999998</v>
      </c>
      <c r="G41" s="766">
        <f>F41/$F$22</f>
        <v>0.21499999999999997</v>
      </c>
      <c r="H41" s="792">
        <v>1429074.9000000001</v>
      </c>
      <c r="I41" s="766">
        <f>H41/$H$22</f>
        <v>0.21500000000000002</v>
      </c>
      <c r="J41" s="792">
        <v>1408731.6</v>
      </c>
      <c r="K41" s="766">
        <f>J41/$J$22</f>
        <v>0.21500000000000002</v>
      </c>
      <c r="L41" s="792">
        <v>1443673.3999999997</v>
      </c>
      <c r="M41" s="766">
        <f>L41/$L$22</f>
        <v>0.21499999999999994</v>
      </c>
      <c r="N41" s="792">
        <v>1455743.5000000002</v>
      </c>
      <c r="O41" s="766">
        <f>N41/$N$22</f>
        <v>0.21500000000000002</v>
      </c>
      <c r="P41" s="792">
        <v>344524.04486999998</v>
      </c>
      <c r="Q41" s="766">
        <f>P41/$P$22</f>
        <v>0.21499999999999997</v>
      </c>
      <c r="R41" s="792">
        <v>413655.33750999998</v>
      </c>
      <c r="S41" s="766">
        <f>R41/$R$22</f>
        <v>0.215</v>
      </c>
      <c r="T41" s="792">
        <v>906713.40217000002</v>
      </c>
      <c r="U41" s="766">
        <f>T41/$T$22</f>
        <v>0.215</v>
      </c>
      <c r="V41" s="792"/>
      <c r="W41" s="766"/>
      <c r="X41" s="792"/>
      <c r="Y41" s="746"/>
      <c r="Z41" s="768"/>
      <c r="AA41" s="768"/>
      <c r="AB41" s="837"/>
      <c r="AC41" s="771"/>
      <c r="AD41" s="747"/>
      <c r="AE41" s="768"/>
      <c r="AF41" s="837"/>
      <c r="AG41" s="746"/>
      <c r="AH41" s="747"/>
      <c r="AI41" s="769"/>
      <c r="AJ41" s="838"/>
      <c r="AK41" s="771"/>
      <c r="AL41" s="747"/>
      <c r="AM41" s="769"/>
      <c r="AN41" s="837"/>
      <c r="AO41" s="746"/>
      <c r="AP41" s="747"/>
      <c r="AQ41" s="912"/>
      <c r="AR41" s="791"/>
      <c r="AS41" s="746"/>
      <c r="AT41" s="747"/>
      <c r="AU41" s="768"/>
      <c r="AV41" s="837"/>
      <c r="AW41" s="746"/>
      <c r="AX41" s="747"/>
      <c r="AY41" s="768"/>
      <c r="AZ41" s="837"/>
      <c r="BA41" s="771"/>
      <c r="BB41" s="747"/>
      <c r="BC41" s="768"/>
      <c r="BD41" s="837"/>
      <c r="BE41" s="771"/>
      <c r="BF41" s="747"/>
      <c r="BG41" s="768"/>
      <c r="BH41" s="837"/>
      <c r="BI41" s="771"/>
      <c r="BJ41" s="747"/>
      <c r="BK41" s="768"/>
      <c r="BL41" s="837"/>
      <c r="BM41" s="746"/>
      <c r="BN41" s="747"/>
      <c r="BO41" s="769"/>
      <c r="BP41" s="837"/>
      <c r="BQ41" s="746"/>
      <c r="BR41" s="747"/>
      <c r="BS41" s="912"/>
    </row>
    <row r="42" spans="1:71" x14ac:dyDescent="0.2">
      <c r="A42" s="741" t="s">
        <v>247</v>
      </c>
      <c r="B42" s="837">
        <f>SUM(B40:B41)</f>
        <v>2623617.0300000003</v>
      </c>
      <c r="C42" s="874">
        <f>B42/$B$22</f>
        <v>0.46099199963733756</v>
      </c>
      <c r="D42" s="791">
        <f>SUM(D40:D41)</f>
        <v>2481903.2549999999</v>
      </c>
      <c r="E42" s="766">
        <f>D42/$D$22</f>
        <v>0.50165231451228376</v>
      </c>
      <c r="F42" s="792">
        <f>SUM(F40:F41)</f>
        <v>2794899.0999999992</v>
      </c>
      <c r="G42" s="766">
        <f>F42/$F$22</f>
        <v>0.44240587257617714</v>
      </c>
      <c r="H42" s="792">
        <f>SUM(H40:H41)</f>
        <v>2888074.9</v>
      </c>
      <c r="I42" s="766">
        <f>H42/$H$22</f>
        <v>0.43450214086049654</v>
      </c>
      <c r="J42" s="792">
        <f>SUM(J40:J41)</f>
        <v>2784731.6</v>
      </c>
      <c r="K42" s="766">
        <f>J42/$J$22</f>
        <v>0.42500451753904012</v>
      </c>
      <c r="L42" s="792">
        <f>SUM(L40:L41)</f>
        <v>2886673.3999999994</v>
      </c>
      <c r="M42" s="766">
        <f>L42/$L$22</f>
        <v>0.42989971346704864</v>
      </c>
      <c r="N42" s="792">
        <f>SUM(N40:N41)</f>
        <v>2916059.5000000005</v>
      </c>
      <c r="O42" s="766">
        <f>N42/$N$22</f>
        <v>0.43067531642765372</v>
      </c>
      <c r="P42" s="792">
        <f>SUM(P40:P41)</f>
        <v>1694524.0448699999</v>
      </c>
      <c r="Q42" s="766">
        <f>P42/$P$22</f>
        <v>1.0574665979685702</v>
      </c>
      <c r="R42" s="792">
        <f>SUM(R40:R41)</f>
        <v>1763655.33751</v>
      </c>
      <c r="S42" s="766">
        <f>R42/$R$22</f>
        <v>0.91667111041564475</v>
      </c>
      <c r="T42" s="792">
        <f>SUM(T40:T41)</f>
        <v>2256713.4021700001</v>
      </c>
      <c r="U42" s="766">
        <f>T42/$T$22</f>
        <v>0.53511217580478743</v>
      </c>
      <c r="V42" s="792"/>
      <c r="W42" s="766"/>
      <c r="X42" s="792"/>
      <c r="Y42" s="746"/>
      <c r="Z42" s="768"/>
      <c r="AA42" s="768"/>
      <c r="AB42" s="837"/>
      <c r="AC42" s="771"/>
      <c r="AD42" s="747"/>
      <c r="AE42" s="768"/>
      <c r="AF42" s="837"/>
      <c r="AG42" s="746"/>
      <c r="AH42" s="747"/>
      <c r="AI42" s="769"/>
      <c r="AJ42" s="838"/>
      <c r="AK42" s="771"/>
      <c r="AL42" s="747"/>
      <c r="AM42" s="769"/>
      <c r="AN42" s="837"/>
      <c r="AO42" s="746"/>
      <c r="AP42" s="747"/>
      <c r="AQ42" s="912"/>
      <c r="AR42" s="791"/>
      <c r="AS42" s="746"/>
      <c r="AT42" s="747"/>
      <c r="AU42" s="768"/>
      <c r="AV42" s="837"/>
      <c r="AW42" s="746"/>
      <c r="AX42" s="747"/>
      <c r="AY42" s="768"/>
      <c r="AZ42" s="837"/>
      <c r="BA42" s="771"/>
      <c r="BB42" s="747"/>
      <c r="BC42" s="768"/>
      <c r="BD42" s="837"/>
      <c r="BE42" s="771"/>
      <c r="BF42" s="747"/>
      <c r="BG42" s="768"/>
      <c r="BH42" s="837"/>
      <c r="BI42" s="771"/>
      <c r="BJ42" s="747"/>
      <c r="BK42" s="768"/>
      <c r="BL42" s="837"/>
      <c r="BM42" s="746"/>
      <c r="BN42" s="747"/>
      <c r="BO42" s="769"/>
      <c r="BP42" s="837"/>
      <c r="BQ42" s="746"/>
      <c r="BR42" s="747"/>
      <c r="BS42" s="912"/>
    </row>
    <row r="43" spans="1:71" x14ac:dyDescent="0.2">
      <c r="A43" s="741" t="s">
        <v>186</v>
      </c>
      <c r="B43" s="837"/>
      <c r="C43" s="874"/>
      <c r="D43" s="791"/>
      <c r="E43" s="766"/>
      <c r="F43" s="792"/>
      <c r="G43" s="766"/>
      <c r="H43" s="792"/>
      <c r="I43" s="766"/>
      <c r="J43" s="792"/>
      <c r="K43" s="766"/>
      <c r="L43" s="792"/>
      <c r="M43" s="766"/>
      <c r="N43" s="792"/>
      <c r="O43" s="766"/>
      <c r="P43" s="792"/>
      <c r="Q43" s="766"/>
      <c r="R43" s="792"/>
      <c r="S43" s="766"/>
      <c r="T43" s="792"/>
      <c r="U43" s="766"/>
      <c r="V43" s="792"/>
      <c r="W43" s="766"/>
      <c r="X43" s="792"/>
      <c r="Y43" s="746"/>
      <c r="Z43" s="768"/>
      <c r="AA43" s="768"/>
      <c r="AB43" s="837"/>
      <c r="AC43" s="771"/>
      <c r="AD43" s="747"/>
      <c r="AE43" s="768"/>
      <c r="AF43" s="837"/>
      <c r="AG43" s="746"/>
      <c r="AH43" s="747"/>
      <c r="AI43" s="769"/>
      <c r="AJ43" s="838"/>
      <c r="AK43" s="771"/>
      <c r="AL43" s="747"/>
      <c r="AM43" s="769"/>
      <c r="AN43" s="837"/>
      <c r="AO43" s="746"/>
      <c r="AP43" s="747"/>
      <c r="AQ43" s="912"/>
      <c r="AR43" s="791"/>
      <c r="AS43" s="746"/>
      <c r="AT43" s="747"/>
      <c r="AU43" s="768"/>
      <c r="AV43" s="837"/>
      <c r="AW43" s="746"/>
      <c r="AX43" s="747"/>
      <c r="AY43" s="768"/>
      <c r="AZ43" s="837"/>
      <c r="BA43" s="771"/>
      <c r="BB43" s="747"/>
      <c r="BC43" s="768"/>
      <c r="BD43" s="837"/>
      <c r="BE43" s="771"/>
      <c r="BF43" s="747"/>
      <c r="BG43" s="768"/>
      <c r="BH43" s="837"/>
      <c r="BI43" s="771"/>
      <c r="BJ43" s="747"/>
      <c r="BK43" s="768"/>
      <c r="BL43" s="837"/>
      <c r="BM43" s="746"/>
      <c r="BN43" s="747"/>
      <c r="BO43" s="769"/>
      <c r="BP43" s="837"/>
      <c r="BQ43" s="746"/>
      <c r="BR43" s="747"/>
      <c r="BS43" s="912"/>
    </row>
    <row r="44" spans="1:71" x14ac:dyDescent="0.2">
      <c r="A44" s="741" t="s">
        <v>248</v>
      </c>
      <c r="B44" s="837">
        <v>40999.999999999993</v>
      </c>
      <c r="C44" s="874">
        <f>B44/$B$22</f>
        <v>7.2040514179505973E-3</v>
      </c>
      <c r="D44" s="791">
        <v>40999.999999999993</v>
      </c>
      <c r="E44" s="766">
        <f>D44/$D$22</f>
        <v>8.2870856684555301E-3</v>
      </c>
      <c r="F44" s="792">
        <v>40999.999999999993</v>
      </c>
      <c r="G44" s="766">
        <f>F44/$F$22</f>
        <v>6.4899089829837742E-3</v>
      </c>
      <c r="H44" s="792">
        <v>40999.999999999993</v>
      </c>
      <c r="I44" s="766">
        <f>H44/$H$22</f>
        <v>6.1683260968336921E-3</v>
      </c>
      <c r="J44" s="792">
        <v>40999.999999999993</v>
      </c>
      <c r="K44" s="766">
        <f>J44/$J$22</f>
        <v>6.2574020487650012E-3</v>
      </c>
      <c r="L44" s="792">
        <v>43000</v>
      </c>
      <c r="M44" s="766">
        <f>L44/$L$22</f>
        <v>6.40380296540755E-3</v>
      </c>
      <c r="N44" s="792">
        <v>43000</v>
      </c>
      <c r="O44" s="766">
        <f>N44/$N$22</f>
        <v>6.3507067007340231E-3</v>
      </c>
      <c r="P44" s="792">
        <v>43000</v>
      </c>
      <c r="Q44" s="766">
        <f>P44/$P$22</f>
        <v>2.6834121268628539E-2</v>
      </c>
      <c r="R44" s="792">
        <v>43000</v>
      </c>
      <c r="S44" s="766">
        <f>R44/$R$22</f>
        <v>2.2349524257683499E-2</v>
      </c>
      <c r="T44" s="792">
        <v>43000</v>
      </c>
      <c r="U44" s="766">
        <f>T44/$T$22</f>
        <v>1.0196165599708044E-2</v>
      </c>
      <c r="V44" s="792">
        <v>43000</v>
      </c>
      <c r="W44" s="766">
        <f>V44/$V$22</f>
        <v>7.7920642356030289E-3</v>
      </c>
      <c r="X44" s="792">
        <v>45000</v>
      </c>
      <c r="Y44" s="746">
        <f>X44/$X$22</f>
        <v>7.1502854950102925E-3</v>
      </c>
      <c r="Z44" s="768">
        <f>X44/$X$10</f>
        <v>1.1653443374986368</v>
      </c>
      <c r="AA44" s="768">
        <f>X44/$B$2</f>
        <v>316.90140845070425</v>
      </c>
      <c r="AB44" s="837">
        <f>AA44*$B$2</f>
        <v>45000.000000000007</v>
      </c>
      <c r="AC44" s="771">
        <f>AB44/$AB$22</f>
        <v>7.1160069729901965E-3</v>
      </c>
      <c r="AD44" s="747">
        <f>AB44/$AB$10</f>
        <v>1.1663772323164254</v>
      </c>
      <c r="AE44" s="768">
        <f>AB44/$B$2</f>
        <v>316.90140845070425</v>
      </c>
      <c r="AF44" s="837">
        <f>AE44*$B$2</f>
        <v>45000.000000000007</v>
      </c>
      <c r="AG44" s="746">
        <f>AF44/$AF$22</f>
        <v>7.06106650374538E-3</v>
      </c>
      <c r="AH44" s="747">
        <f>AF44/$AF$10</f>
        <v>1.1642045895532043</v>
      </c>
      <c r="AI44" s="769">
        <f>AF44/$B$2</f>
        <v>316.90140845070425</v>
      </c>
      <c r="AJ44" s="837">
        <f>AI44*$B$2</f>
        <v>45000.000000000007</v>
      </c>
      <c r="AK44" s="771">
        <f>AJ44/$AJ$22</f>
        <v>7.0064879947123295E-3</v>
      </c>
      <c r="AL44" s="747">
        <f>AJ44/$AJ$10</f>
        <v>1.1620400258231118</v>
      </c>
      <c r="AM44" s="922">
        <f>AJ44/$B$2</f>
        <v>316.90140845070425</v>
      </c>
      <c r="AN44" s="837">
        <f>AM44*$B$2</f>
        <v>45000.000000000007</v>
      </c>
      <c r="AO44" s="746">
        <f>AN44/$AN$22</f>
        <v>6.9331486065299366E-3</v>
      </c>
      <c r="AP44" s="747">
        <f>AN44/$AN$10</f>
        <v>1.1566933991363357</v>
      </c>
      <c r="AQ44" s="920">
        <f>AN44/$B$2</f>
        <v>316.90140845070425</v>
      </c>
      <c r="AR44" s="791">
        <f>AQ44*$B$2</f>
        <v>45000.000000000007</v>
      </c>
      <c r="AS44" s="746">
        <f>AR44/$AR$22</f>
        <v>6.898233000292504E-3</v>
      </c>
      <c r="AT44" s="747">
        <f>AR44/$AR$10</f>
        <v>1.1577051710830977</v>
      </c>
      <c r="AU44" s="839">
        <f>AR44/$B$2</f>
        <v>316.90140845070425</v>
      </c>
      <c r="AV44" s="837">
        <f>AU44*$B$2</f>
        <v>45000.000000000007</v>
      </c>
      <c r="AW44" s="746">
        <f>AV44/$AV$22</f>
        <v>6.8445567330590847E-3</v>
      </c>
      <c r="AX44" s="747">
        <f>AV44/$AV$10</f>
        <v>1.1555350127108854</v>
      </c>
      <c r="AY44" s="839">
        <f>AV44/$B$2</f>
        <v>316.90140845070425</v>
      </c>
      <c r="AZ44" s="837">
        <f>AY44*$B$2</f>
        <v>45000.000000000007</v>
      </c>
      <c r="BA44" s="771">
        <f>AZ44/$AZ$22</f>
        <v>6.8039698159776752E-3</v>
      </c>
      <c r="BB44" s="747">
        <f>AZ44/$AZ$10</f>
        <v>1.1555350127108854</v>
      </c>
      <c r="BC44" s="839">
        <f>AZ44/$B$2</f>
        <v>316.90140845070425</v>
      </c>
      <c r="BD44" s="837">
        <f>BC44*$B$2</f>
        <v>45000.000000000007</v>
      </c>
      <c r="BE44" s="771">
        <f>BD44/$BD$22</f>
        <v>6.7450090149014756E-3</v>
      </c>
      <c r="BF44" s="747">
        <f>BD44/$BD$10</f>
        <v>1.152368758002561</v>
      </c>
      <c r="BG44" s="839">
        <f>BD44/$B$2</f>
        <v>316.90140845070425</v>
      </c>
      <c r="BH44" s="837">
        <f>BG44*$B$2</f>
        <v>45000.000000000007</v>
      </c>
      <c r="BI44" s="771">
        <f>BH44/$BH$22</f>
        <v>6.7232725537957148E-3</v>
      </c>
      <c r="BJ44" s="747">
        <f>BH44/$BH$10</f>
        <v>1.1555350127108854</v>
      </c>
      <c r="BK44" s="839">
        <f>BH44/$B$2</f>
        <v>316.90140845070425</v>
      </c>
      <c r="BL44" s="837">
        <f>BK44*$B$2</f>
        <v>45000.000000000007</v>
      </c>
      <c r="BM44" s="746">
        <f>BL44/$BL$22</f>
        <v>6.6831629015657399E-3</v>
      </c>
      <c r="BN44" s="747">
        <f>BL44/$BL$10</f>
        <v>1.1555350127108854</v>
      </c>
      <c r="BO44" s="922">
        <f>BL44/$B$2</f>
        <v>316.90140845070425</v>
      </c>
      <c r="BP44" s="837">
        <f>BO44*$B$2</f>
        <v>45000.000000000007</v>
      </c>
      <c r="BQ44" s="746">
        <f>BP44/$BL$22</f>
        <v>6.6831629015657399E-3</v>
      </c>
      <c r="BR44" s="747">
        <f>BP44/$BL$10</f>
        <v>1.1555350127108854</v>
      </c>
      <c r="BS44" s="920">
        <f>BP44/$B$2</f>
        <v>316.90140845070425</v>
      </c>
    </row>
    <row r="45" spans="1:71" x14ac:dyDescent="0.2">
      <c r="A45" s="741" t="s">
        <v>249</v>
      </c>
      <c r="B45" s="745"/>
      <c r="C45" s="874"/>
      <c r="D45" s="805"/>
      <c r="E45" s="766"/>
      <c r="F45" s="806"/>
      <c r="G45" s="766"/>
      <c r="H45" s="806"/>
      <c r="I45" s="766"/>
      <c r="J45" s="806"/>
      <c r="K45" s="766"/>
      <c r="L45" s="806"/>
      <c r="M45" s="766"/>
      <c r="N45" s="806"/>
      <c r="O45" s="766"/>
      <c r="P45" s="806"/>
      <c r="Q45" s="766"/>
      <c r="R45" s="806"/>
      <c r="S45" s="766"/>
      <c r="T45" s="806"/>
      <c r="U45" s="766"/>
      <c r="V45" s="806"/>
      <c r="W45" s="766"/>
      <c r="X45" s="806"/>
      <c r="Y45" s="746"/>
      <c r="Z45" s="768"/>
      <c r="AA45" s="768"/>
      <c r="AB45" s="837"/>
      <c r="AC45" s="771"/>
      <c r="AD45" s="747"/>
      <c r="AE45" s="768"/>
      <c r="AF45" s="837"/>
      <c r="AG45" s="746"/>
      <c r="AH45" s="747"/>
      <c r="AI45" s="769"/>
      <c r="AJ45" s="838"/>
      <c r="AK45" s="771"/>
      <c r="AL45" s="747"/>
      <c r="AM45" s="769"/>
      <c r="AN45" s="837"/>
      <c r="AO45" s="746"/>
      <c r="AP45" s="747"/>
      <c r="AQ45" s="912"/>
      <c r="AR45" s="791"/>
      <c r="AS45" s="746"/>
      <c r="AT45" s="747"/>
      <c r="AU45" s="768"/>
      <c r="AV45" s="837"/>
      <c r="AW45" s="746"/>
      <c r="AX45" s="747"/>
      <c r="AY45" s="768"/>
      <c r="AZ45" s="837"/>
      <c r="BA45" s="771"/>
      <c r="BB45" s="747"/>
      <c r="BC45" s="768"/>
      <c r="BD45" s="837"/>
      <c r="BE45" s="771"/>
      <c r="BF45" s="747"/>
      <c r="BG45" s="768"/>
      <c r="BH45" s="837"/>
      <c r="BI45" s="771"/>
      <c r="BJ45" s="747"/>
      <c r="BK45" s="768"/>
      <c r="BL45" s="837"/>
      <c r="BM45" s="746"/>
      <c r="BN45" s="747"/>
      <c r="BO45" s="769"/>
      <c r="BP45" s="837"/>
      <c r="BQ45" s="746"/>
      <c r="BR45" s="747"/>
      <c r="BS45" s="912"/>
    </row>
    <row r="46" spans="1:71" x14ac:dyDescent="0.2">
      <c r="A46" s="741" t="s">
        <v>146</v>
      </c>
      <c r="B46" s="745"/>
      <c r="C46" s="874"/>
      <c r="D46" s="805"/>
      <c r="E46" s="766"/>
      <c r="F46" s="806"/>
      <c r="G46" s="766"/>
      <c r="H46" s="806"/>
      <c r="I46" s="766"/>
      <c r="J46" s="806"/>
      <c r="K46" s="766"/>
      <c r="L46" s="806"/>
      <c r="M46" s="766"/>
      <c r="N46" s="806"/>
      <c r="O46" s="766"/>
      <c r="P46" s="806"/>
      <c r="Q46" s="766"/>
      <c r="R46" s="806"/>
      <c r="S46" s="766"/>
      <c r="T46" s="806"/>
      <c r="U46" s="766"/>
      <c r="V46" s="806"/>
      <c r="W46" s="766"/>
      <c r="X46" s="806"/>
      <c r="Y46" s="746"/>
      <c r="Z46" s="768"/>
      <c r="AA46" s="768"/>
      <c r="AB46" s="837"/>
      <c r="AC46" s="771"/>
      <c r="AD46" s="747"/>
      <c r="AE46" s="768"/>
      <c r="AF46" s="837"/>
      <c r="AG46" s="746"/>
      <c r="AH46" s="747"/>
      <c r="AI46" s="769"/>
      <c r="AJ46" s="838"/>
      <c r="AK46" s="771"/>
      <c r="AL46" s="747"/>
      <c r="AM46" s="769"/>
      <c r="AN46" s="837"/>
      <c r="AO46" s="746"/>
      <c r="AP46" s="747"/>
      <c r="AQ46" s="912"/>
      <c r="AR46" s="791"/>
      <c r="AS46" s="746"/>
      <c r="AT46" s="747"/>
      <c r="AU46" s="768"/>
      <c r="AV46" s="837"/>
      <c r="AW46" s="746"/>
      <c r="AX46" s="747"/>
      <c r="AY46" s="768"/>
      <c r="AZ46" s="837"/>
      <c r="BA46" s="771"/>
      <c r="BB46" s="747"/>
      <c r="BC46" s="768"/>
      <c r="BD46" s="837"/>
      <c r="BE46" s="771"/>
      <c r="BF46" s="747"/>
      <c r="BG46" s="768"/>
      <c r="BH46" s="837"/>
      <c r="BI46" s="771"/>
      <c r="BJ46" s="747"/>
      <c r="BK46" s="768"/>
      <c r="BL46" s="837"/>
      <c r="BM46" s="746"/>
      <c r="BN46" s="747"/>
      <c r="BO46" s="769"/>
      <c r="BP46" s="837"/>
      <c r="BQ46" s="746"/>
      <c r="BR46" s="747"/>
      <c r="BS46" s="912"/>
    </row>
    <row r="47" spans="1:71" ht="17" thickBot="1" x14ac:dyDescent="0.25">
      <c r="A47" s="861" t="s">
        <v>250</v>
      </c>
      <c r="B47" s="842">
        <f>B42-B44</f>
        <v>2582617.0300000003</v>
      </c>
      <c r="C47" s="882">
        <f>B47/$B$22</f>
        <v>0.45378794821938695</v>
      </c>
      <c r="D47" s="840">
        <f>D42-D44</f>
        <v>2440903.2549999999</v>
      </c>
      <c r="E47" s="809">
        <f>D47/$D$22</f>
        <v>0.49336522884382822</v>
      </c>
      <c r="F47" s="841">
        <f>F42-F44</f>
        <v>2753899.0999999992</v>
      </c>
      <c r="G47" s="809">
        <f>F47/$F$22</f>
        <v>0.4359159635931934</v>
      </c>
      <c r="H47" s="841">
        <f>H42-H44</f>
        <v>2847074.9</v>
      </c>
      <c r="I47" s="809">
        <f>H47/$H$22</f>
        <v>0.42833381476366283</v>
      </c>
      <c r="J47" s="841">
        <f>J42-J44</f>
        <v>2743731.6</v>
      </c>
      <c r="K47" s="809">
        <f>J47/$J$22</f>
        <v>0.4187471154902751</v>
      </c>
      <c r="L47" s="841">
        <f>L42-L44</f>
        <v>2843673.3999999994</v>
      </c>
      <c r="M47" s="809">
        <f>L47/$L$22</f>
        <v>0.42349591050164109</v>
      </c>
      <c r="N47" s="841">
        <f>N42-N44</f>
        <v>2873059.5000000005</v>
      </c>
      <c r="O47" s="809">
        <f>N47/$N$22</f>
        <v>0.42432460972691965</v>
      </c>
      <c r="P47" s="841">
        <f>P42-P44</f>
        <v>1651524.0448699999</v>
      </c>
      <c r="Q47" s="809">
        <f>P47/$P$22</f>
        <v>1.0306324766999417</v>
      </c>
      <c r="R47" s="841">
        <f>R42-R44</f>
        <v>1720655.33751</v>
      </c>
      <c r="S47" s="809">
        <f>R47/$R$22</f>
        <v>0.8943215861579612</v>
      </c>
      <c r="T47" s="841">
        <f>T42-T44</f>
        <v>2213713.4021700001</v>
      </c>
      <c r="U47" s="809">
        <f>T47/$T$22</f>
        <v>0.52491601020507939</v>
      </c>
      <c r="V47" s="841">
        <f>V42-V44</f>
        <v>-43000</v>
      </c>
      <c r="W47" s="809">
        <f>V47/$V$22</f>
        <v>-7.7920642356030289E-3</v>
      </c>
      <c r="X47" s="841">
        <f>X42-X44</f>
        <v>-45000</v>
      </c>
      <c r="Y47" s="811">
        <f>X47/$X$22</f>
        <v>-7.1502854950102925E-3</v>
      </c>
      <c r="Z47" s="812">
        <f>X47/$X$10</f>
        <v>-1.1653443374986368</v>
      </c>
      <c r="AA47" s="812">
        <f>X47/$B$2</f>
        <v>-316.90140845070425</v>
      </c>
      <c r="AB47" s="842">
        <f>AB42-AB44</f>
        <v>-45000.000000000007</v>
      </c>
      <c r="AC47" s="811">
        <f>AB47/$AB$22</f>
        <v>-7.1160069729901965E-3</v>
      </c>
      <c r="AD47" s="812">
        <f>AB47/$AB$10</f>
        <v>-1.1663772323164254</v>
      </c>
      <c r="AE47" s="812">
        <f>AB47/$B$2</f>
        <v>-316.90140845070425</v>
      </c>
      <c r="AF47" s="842">
        <f>AF42-AF44</f>
        <v>-45000.000000000007</v>
      </c>
      <c r="AG47" s="811">
        <f>AF47/$AF$22</f>
        <v>-7.06106650374538E-3</v>
      </c>
      <c r="AH47" s="812">
        <f>AF47/$AF$10</f>
        <v>-1.1642045895532043</v>
      </c>
      <c r="AI47" s="895">
        <f>AF47/$B$2</f>
        <v>-316.90140845070425</v>
      </c>
      <c r="AJ47" s="842">
        <f>AJ42-AJ44</f>
        <v>-45000.000000000007</v>
      </c>
      <c r="AK47" s="811">
        <f>AJ47/$AJ$22</f>
        <v>-7.0064879947123295E-3</v>
      </c>
      <c r="AL47" s="812">
        <f>AJ47/$AJ$10</f>
        <v>-1.1620400258231118</v>
      </c>
      <c r="AM47" s="895">
        <f>AJ47/$B$2</f>
        <v>-316.90140845070425</v>
      </c>
      <c r="AN47" s="842">
        <f>AN42-AN44</f>
        <v>-45000.000000000007</v>
      </c>
      <c r="AO47" s="811">
        <f>AN47/$AN$22</f>
        <v>-6.9331486065299366E-3</v>
      </c>
      <c r="AP47" s="812">
        <f>AN47/$AN$10</f>
        <v>-1.1566933991363357</v>
      </c>
      <c r="AQ47" s="917">
        <f>AN47/$B$2</f>
        <v>-316.90140845070425</v>
      </c>
      <c r="AR47" s="840">
        <f>AR42-AR44</f>
        <v>-45000.000000000007</v>
      </c>
      <c r="AS47" s="811">
        <f>AR47/$AR$22</f>
        <v>-6.898233000292504E-3</v>
      </c>
      <c r="AT47" s="812">
        <f>AR47/$AR$10</f>
        <v>-1.1577051710830977</v>
      </c>
      <c r="AU47" s="812">
        <f>AR47/$B$2</f>
        <v>-316.90140845070425</v>
      </c>
      <c r="AV47" s="842">
        <f>AV42-AV44</f>
        <v>-45000.000000000007</v>
      </c>
      <c r="AW47" s="811">
        <f>AV47/$AV$22</f>
        <v>-6.8445567330590847E-3</v>
      </c>
      <c r="AX47" s="812">
        <f>AV47/$AV$10</f>
        <v>-1.1555350127108854</v>
      </c>
      <c r="AY47" s="812">
        <f>AV47/$B$2</f>
        <v>-316.90140845070425</v>
      </c>
      <c r="AZ47" s="842">
        <f>AZ42-AZ44</f>
        <v>-45000.000000000007</v>
      </c>
      <c r="BA47" s="811">
        <f>AZ47/$AZ$22</f>
        <v>-6.8039698159776752E-3</v>
      </c>
      <c r="BB47" s="812">
        <f>AZ47/$AZ$10</f>
        <v>-1.1555350127108854</v>
      </c>
      <c r="BC47" s="812">
        <f>AZ47/$B$2</f>
        <v>-316.90140845070425</v>
      </c>
      <c r="BD47" s="842">
        <f>BD42-BD44</f>
        <v>-45000.000000000007</v>
      </c>
      <c r="BE47" s="811">
        <f>BD47/$BD$22</f>
        <v>-6.7450090149014756E-3</v>
      </c>
      <c r="BF47" s="812">
        <f>BD47/$BD$10</f>
        <v>-1.152368758002561</v>
      </c>
      <c r="BG47" s="812">
        <f>BD47/$B$2</f>
        <v>-316.90140845070425</v>
      </c>
      <c r="BH47" s="842">
        <f>BH42-BH44</f>
        <v>-45000.000000000007</v>
      </c>
      <c r="BI47" s="811">
        <f>BH47/$BH$22</f>
        <v>-6.7232725537957148E-3</v>
      </c>
      <c r="BJ47" s="812">
        <f>BH47/$BH$10</f>
        <v>-1.1555350127108854</v>
      </c>
      <c r="BK47" s="812">
        <f>BH47/$B$2</f>
        <v>-316.90140845070425</v>
      </c>
      <c r="BL47" s="842">
        <f>BL42-BL44</f>
        <v>-45000.000000000007</v>
      </c>
      <c r="BM47" s="811">
        <f>BL47/$BL$22</f>
        <v>-6.6831629015657399E-3</v>
      </c>
      <c r="BN47" s="812">
        <f>BL47/$BL$10</f>
        <v>-1.1555350127108854</v>
      </c>
      <c r="BO47" s="895">
        <f>BL47/$B$2</f>
        <v>-316.90140845070425</v>
      </c>
      <c r="BP47" s="842">
        <f>BP42-BP44</f>
        <v>-45000.000000000007</v>
      </c>
      <c r="BQ47" s="811">
        <f>BP47/$BL$22</f>
        <v>-6.6831629015657399E-3</v>
      </c>
      <c r="BR47" s="812">
        <f>BP47/$BL$10</f>
        <v>-1.1555350127108854</v>
      </c>
      <c r="BS47" s="917">
        <f>BP47/$B$2</f>
        <v>-316.90140845070425</v>
      </c>
    </row>
    <row r="48" spans="1:71" ht="17" thickBot="1" x14ac:dyDescent="0.25">
      <c r="A48" s="862" t="s">
        <v>251</v>
      </c>
      <c r="B48" s="888">
        <f>B38+B47</f>
        <v>3877759.2212199997</v>
      </c>
      <c r="C48" s="883">
        <f>B48/$B$22</f>
        <v>0.68135553210002309</v>
      </c>
      <c r="D48" s="843">
        <f>D38+D47</f>
        <v>3190960.2919648965</v>
      </c>
      <c r="E48" s="816">
        <f>D48/$D$22</f>
        <v>0.6449697879061701</v>
      </c>
      <c r="F48" s="844">
        <f>F38+F47</f>
        <v>4237123.0750000002</v>
      </c>
      <c r="G48" s="816">
        <f>F48/$F$22</f>
        <v>0.67069617332805698</v>
      </c>
      <c r="H48" s="844">
        <f>H38+H47</f>
        <v>4594925.4565999992</v>
      </c>
      <c r="I48" s="816">
        <f>H48/$H$22</f>
        <v>0.6912926489500304</v>
      </c>
      <c r="J48" s="844">
        <f>J38+J47</f>
        <v>4609398.6684000008</v>
      </c>
      <c r="K48" s="816">
        <f>J48/$J$22</f>
        <v>0.70348440661514244</v>
      </c>
      <c r="L48" s="844">
        <f>L38+L47</f>
        <v>4849233.3999999994</v>
      </c>
      <c r="M48" s="816">
        <f>L48/$L$22</f>
        <v>0.72217523783426352</v>
      </c>
      <c r="N48" s="844">
        <f>N38+N47</f>
        <v>5303559.5</v>
      </c>
      <c r="O48" s="816">
        <f>N48/$N$22</f>
        <v>0.78328722917189741</v>
      </c>
      <c r="P48" s="844">
        <f>P38+P47</f>
        <v>1005243.4818299998</v>
      </c>
      <c r="Q48" s="816">
        <f>P48/$P$22</f>
        <v>0.62732152316103729</v>
      </c>
      <c r="R48" s="844">
        <f>R38+R47</f>
        <v>1262293.5235899999</v>
      </c>
      <c r="S48" s="816">
        <f>R48/$R$22</f>
        <v>0.65608510990212743</v>
      </c>
      <c r="T48" s="844">
        <f>T38+T47</f>
        <v>3008718.5815300005</v>
      </c>
      <c r="U48" s="816">
        <f>T48/$T$22</f>
        <v>0.71342774186508318</v>
      </c>
      <c r="V48" s="844">
        <f>V38+V47</f>
        <v>883460</v>
      </c>
      <c r="W48" s="816">
        <f>V48/$V$22</f>
        <v>0.16009248999036865</v>
      </c>
      <c r="X48" s="844">
        <f>X38+X47</f>
        <v>1806065</v>
      </c>
      <c r="Y48" s="818">
        <f>X48/$X$22</f>
        <v>0.28697511938990589</v>
      </c>
      <c r="Z48" s="819">
        <f>X48/$X$10</f>
        <v>46.770836020099452</v>
      </c>
      <c r="AA48" s="819">
        <f>X48/$B$2</f>
        <v>12718.767605633802</v>
      </c>
      <c r="AB48" s="820">
        <f>AB38+AB47</f>
        <v>1798250.5713726743</v>
      </c>
      <c r="AC48" s="818">
        <f>AB48/$AB$22</f>
        <v>0.28436363566825673</v>
      </c>
      <c r="AD48" s="819">
        <f>AB48/$AB$10</f>
        <v>46.609744987757558</v>
      </c>
      <c r="AE48" s="819">
        <f>AB48/$B$2</f>
        <v>12663.736418117425</v>
      </c>
      <c r="AF48" s="820">
        <f>AF38+AF47</f>
        <v>1799673.285322939</v>
      </c>
      <c r="AG48" s="818">
        <f>AF48/$AF$22</f>
        <v>0.28239139450398232</v>
      </c>
      <c r="AH48" s="819">
        <f>AF48/$AF$10</f>
        <v>46.559731077094639</v>
      </c>
      <c r="AI48" s="896">
        <f>AF48/$B$2</f>
        <v>12673.755530443234</v>
      </c>
      <c r="AJ48" s="820">
        <f>AJ38+AJ47</f>
        <v>1800766.909889899</v>
      </c>
      <c r="AK48" s="818">
        <f>AJ48/$AJ$22</f>
        <v>0.28037892745375098</v>
      </c>
      <c r="AL48" s="819">
        <f>AJ48/$AJ$10</f>
        <v>46.501405032663627</v>
      </c>
      <c r="AM48" s="896">
        <f>AJ48/$B$2</f>
        <v>12681.457111900698</v>
      </c>
      <c r="AN48" s="820">
        <f>AN38+AN47</f>
        <v>1810662.4893640154</v>
      </c>
      <c r="AO48" s="818">
        <f>AN48/$AN$22</f>
        <v>0.27896871366733661</v>
      </c>
      <c r="AP48" s="819">
        <f>AN48/$AN$10</f>
        <v>46.541807766913827</v>
      </c>
      <c r="AQ48" s="821">
        <f>AN48/$B$2</f>
        <v>12751.144291295883</v>
      </c>
      <c r="AR48" s="815">
        <f>AR38+AR47</f>
        <v>1802011.0857509119</v>
      </c>
      <c r="AS48" s="818">
        <f>AR48/$AR$22</f>
        <v>0.27623760752488585</v>
      </c>
      <c r="AT48" s="819">
        <f>AR48/$AR$10</f>
        <v>46.359945607175504</v>
      </c>
      <c r="AU48" s="819">
        <f>AR48/$B$2</f>
        <v>12690.218913738816</v>
      </c>
      <c r="AV48" s="820">
        <f>AV38+AV47</f>
        <v>1802141.3680777424</v>
      </c>
      <c r="AW48" s="818">
        <f>AV48/$AV$22</f>
        <v>0.27410797410668492</v>
      </c>
      <c r="AX48" s="819">
        <f>AV48/$AV$10</f>
        <v>46.276387748189464</v>
      </c>
      <c r="AY48" s="819">
        <f>AV48/$B$2</f>
        <v>12691.136394913679</v>
      </c>
      <c r="AZ48" s="820">
        <f>AZ38+AZ47</f>
        <v>1795520.0468761446</v>
      </c>
      <c r="BA48" s="818">
        <f>AZ48/$AZ$22</f>
        <v>0.2714814267317357</v>
      </c>
      <c r="BB48" s="819">
        <f>AZ48/$AZ$10</f>
        <v>46.106361781992774</v>
      </c>
      <c r="BC48" s="819">
        <f>AZ48/$B$2</f>
        <v>12644.507372367216</v>
      </c>
      <c r="BD48" s="820">
        <f>BD38+BD47</f>
        <v>1797842.7794254897</v>
      </c>
      <c r="BE48" s="818">
        <f>BD48/$BD$22</f>
        <v>0.2694770167688989</v>
      </c>
      <c r="BF48" s="819">
        <f>BD48/$BD$10</f>
        <v>46.039507795787188</v>
      </c>
      <c r="BG48" s="819">
        <f>BD48/$B$2</f>
        <v>12660.864643841476</v>
      </c>
      <c r="BH48" s="820">
        <f>BH38+BH47</f>
        <v>1780824.8053231493</v>
      </c>
      <c r="BI48" s="818">
        <f>BH48/$BH$22</f>
        <v>0.26606601192772722</v>
      </c>
      <c r="BJ48" s="819">
        <f>BH48/$BH$10</f>
        <v>45.729009201220997</v>
      </c>
      <c r="BK48" s="819">
        <f>BH48/$B$2</f>
        <v>12541.019755796826</v>
      </c>
      <c r="BL48" s="820">
        <f>BL38+BL47</f>
        <v>1772724.8114724997</v>
      </c>
      <c r="BM48" s="818">
        <f>BL48/$BL$22</f>
        <v>0.26327574877151394</v>
      </c>
      <c r="BN48" s="819">
        <f>BL48/$BL$10</f>
        <v>45.521013056839479</v>
      </c>
      <c r="BO48" s="896">
        <f>BL48/$B$2</f>
        <v>12483.977545580985</v>
      </c>
      <c r="BP48" s="820">
        <f>BP38+BP47</f>
        <v>1764105.3553734429</v>
      </c>
      <c r="BQ48" s="818">
        <f>BP48/$BL$22</f>
        <v>0.26199563256633862</v>
      </c>
      <c r="BR48" s="819">
        <f>BP48/$BL$10</f>
        <v>45.299677872106486</v>
      </c>
      <c r="BS48" s="821">
        <f>BP48/$B$2</f>
        <v>12423.277150517204</v>
      </c>
    </row>
    <row r="49" spans="1:71" ht="17" thickBot="1" x14ac:dyDescent="0.25">
      <c r="A49" s="284" t="s">
        <v>252</v>
      </c>
      <c r="B49" s="889">
        <v>227649.68000000005</v>
      </c>
      <c r="C49" s="890">
        <f>B49/$B$22</f>
        <v>4.0000000000000008E-2</v>
      </c>
      <c r="D49" s="845">
        <v>197898.28000000003</v>
      </c>
      <c r="E49" s="846">
        <f>D49/$D$22</f>
        <v>4.0000000000000008E-2</v>
      </c>
      <c r="F49" s="847">
        <v>252699.99999999997</v>
      </c>
      <c r="G49" s="846">
        <f>F49/$F$22</f>
        <v>3.9999999999999994E-2</v>
      </c>
      <c r="H49" s="847">
        <v>265874.40000000002</v>
      </c>
      <c r="I49" s="846">
        <f>H49/$H$22</f>
        <v>0.04</v>
      </c>
      <c r="J49" s="847">
        <v>262089.60000000003</v>
      </c>
      <c r="K49" s="846">
        <f>J49/$J$22</f>
        <v>4.0000000000000008E-2</v>
      </c>
      <c r="L49" s="847">
        <v>268590.39999999997</v>
      </c>
      <c r="M49" s="846">
        <f>L49/$L$22</f>
        <v>3.9999999999999994E-2</v>
      </c>
      <c r="N49" s="847">
        <v>270836</v>
      </c>
      <c r="O49" s="846">
        <f>N49/$N$22</f>
        <v>0.04</v>
      </c>
      <c r="P49" s="847">
        <v>64097.49672000001</v>
      </c>
      <c r="Q49" s="846">
        <f>P49/$P$22</f>
        <v>4.0000000000000008E-2</v>
      </c>
      <c r="R49" s="847">
        <v>76959.132559999998</v>
      </c>
      <c r="S49" s="846">
        <f>R49/$R$22</f>
        <v>0.04</v>
      </c>
      <c r="T49" s="847">
        <v>168690.86551999999</v>
      </c>
      <c r="U49" s="846">
        <f>T49/$T$22</f>
        <v>3.9999999999999994E-2</v>
      </c>
      <c r="V49" s="847">
        <v>220737.4</v>
      </c>
      <c r="W49" s="846">
        <f>V49/$V$22</f>
        <v>0.04</v>
      </c>
      <c r="X49" s="847">
        <v>251738.2</v>
      </c>
      <c r="Y49" s="848">
        <f>X49/$X$22</f>
        <v>0.04</v>
      </c>
      <c r="Z49" s="849">
        <f>X49/$X$10</f>
        <v>6.5191485756022072</v>
      </c>
      <c r="AA49" s="849">
        <f>X49/$B$2</f>
        <v>1772.8042253521128</v>
      </c>
      <c r="AB49" s="850">
        <f>Y49*AB22</f>
        <v>252950.84825410557</v>
      </c>
      <c r="AC49" s="848">
        <f>AB49/$AB$22</f>
        <v>0.04</v>
      </c>
      <c r="AD49" s="849">
        <f>AB49/$AB$10</f>
        <v>6.5563580066381268</v>
      </c>
      <c r="AE49" s="849">
        <f>AB49/$B$2</f>
        <v>1781.3440017894759</v>
      </c>
      <c r="AF49" s="850">
        <f>AC49*AF22</f>
        <v>254918.99829087176</v>
      </c>
      <c r="AG49" s="848">
        <f>AF49/$AF$22</f>
        <v>0.04</v>
      </c>
      <c r="AH49" s="849">
        <f>AF49/$AF$10</f>
        <v>6.5950637283230735</v>
      </c>
      <c r="AI49" s="899">
        <f>AF49/$B$2</f>
        <v>1795.2042133159982</v>
      </c>
      <c r="AJ49" s="850">
        <f>AG49*AJ22</f>
        <v>256904.74334051923</v>
      </c>
      <c r="AK49" s="848">
        <f>AJ49/$AJ$22</f>
        <v>0.04</v>
      </c>
      <c r="AL49" s="849">
        <f>AJ49/$AJ$10</f>
        <v>6.6340798796777074</v>
      </c>
      <c r="AM49" s="899">
        <f>AJ49/$B$2</f>
        <v>1809.1883333839382</v>
      </c>
      <c r="AN49" s="850">
        <f>AK49*AN22</f>
        <v>259622.30180738997</v>
      </c>
      <c r="AO49" s="848">
        <f>AN49/$AN$22</f>
        <v>0.04</v>
      </c>
      <c r="AP49" s="849">
        <f>AN49/$AN$10</f>
        <v>6.6734089504264338</v>
      </c>
      <c r="AQ49" s="921">
        <f>AN49/$B$2</f>
        <v>1828.3260690661266</v>
      </c>
      <c r="AR49" s="907">
        <f>AO49*AR22</f>
        <v>260936.38761167903</v>
      </c>
      <c r="AS49" s="848">
        <f>AR49/$AR$22</f>
        <v>0.04</v>
      </c>
      <c r="AT49" s="849">
        <f>AR49/$AR$10</f>
        <v>6.7130534502618735</v>
      </c>
      <c r="AU49" s="849">
        <f>AR49/$B$2</f>
        <v>1837.580194448444</v>
      </c>
      <c r="AV49" s="850">
        <f>AS49*AV22</f>
        <v>262982.69854438241</v>
      </c>
      <c r="AW49" s="848">
        <f>AV49/$AV$22</f>
        <v>0.04</v>
      </c>
      <c r="AX49" s="849">
        <f>AV49/$AV$10</f>
        <v>6.7530159090050175</v>
      </c>
      <c r="AY49" s="849">
        <f>AV49/$B$2</f>
        <v>1851.9908348195945</v>
      </c>
      <c r="AZ49" s="850">
        <f>AW49*AZ22</f>
        <v>264551.4381579241</v>
      </c>
      <c r="BA49" s="848">
        <f>AZ49/$AZ$22</f>
        <v>0.04</v>
      </c>
      <c r="BB49" s="849">
        <f>AZ49/$AZ$10</f>
        <v>6.793298876766662</v>
      </c>
      <c r="BC49" s="849">
        <f>AZ49/$B$2</f>
        <v>1863.0382968867893</v>
      </c>
      <c r="BD49" s="850">
        <f>BA49*BD22</f>
        <v>266863.98728650075</v>
      </c>
      <c r="BE49" s="848">
        <f>BD49/$BD$22</f>
        <v>0.04</v>
      </c>
      <c r="BF49" s="849">
        <f>BD49/$BD$10</f>
        <v>6.8339049241101346</v>
      </c>
      <c r="BG49" s="849">
        <f>BD49/$B$2</f>
        <v>1879.3238541302869</v>
      </c>
      <c r="BH49" s="850">
        <f>BE49*BH22</f>
        <v>267726.76335779158</v>
      </c>
      <c r="BI49" s="848">
        <f>BH49/$BH$22</f>
        <v>0.04</v>
      </c>
      <c r="BJ49" s="849">
        <f>BH49/$BH$10</f>
        <v>6.87483664221533</v>
      </c>
      <c r="BK49" s="849">
        <f>BH49/$B$2</f>
        <v>1885.3997419562788</v>
      </c>
      <c r="BL49" s="850">
        <f>BI49*BL22</f>
        <v>269333.55157006485</v>
      </c>
      <c r="BM49" s="848">
        <f>BL49/$BL$22</f>
        <v>0.04</v>
      </c>
      <c r="BN49" s="849">
        <f>BL49/$BL$10</f>
        <v>6.9160966430440602</v>
      </c>
      <c r="BO49" s="899">
        <f>BL49/$B$2</f>
        <v>1896.7151519018651</v>
      </c>
      <c r="BP49" s="850">
        <f>BM49*BP22</f>
        <v>270953.22662987083</v>
      </c>
      <c r="BQ49" s="848">
        <f>BP49/$BL$22</f>
        <v>4.0240545606050816E-2</v>
      </c>
      <c r="BR49" s="849">
        <f>BP49/$BL$10</f>
        <v>6.957687559506736</v>
      </c>
      <c r="BS49" s="921">
        <f>BP49/$B$2</f>
        <v>1908.121314294865</v>
      </c>
    </row>
    <row r="50" spans="1:71" ht="17" thickBot="1" x14ac:dyDescent="0.25">
      <c r="A50" s="862" t="s">
        <v>253</v>
      </c>
      <c r="B50" s="820">
        <f>B48-B49</f>
        <v>3650109.5412199995</v>
      </c>
      <c r="C50" s="883">
        <f>B50/$B$22</f>
        <v>0.64135553210002305</v>
      </c>
      <c r="D50" s="815">
        <f>D48-D49</f>
        <v>2993062.0119648967</v>
      </c>
      <c r="E50" s="816">
        <f>D50/$D$22</f>
        <v>0.60496978790617006</v>
      </c>
      <c r="F50" s="817">
        <f>F48-F49</f>
        <v>3984423.0750000002</v>
      </c>
      <c r="G50" s="816">
        <f>F50/$F$22</f>
        <v>0.63069617332805705</v>
      </c>
      <c r="H50" s="817">
        <f>H48-H49</f>
        <v>4329051.0565999988</v>
      </c>
      <c r="I50" s="816">
        <f>H50/$H$22</f>
        <v>0.65129264895003036</v>
      </c>
      <c r="J50" s="817">
        <f>J48-J49</f>
        <v>4347309.0684000012</v>
      </c>
      <c r="K50" s="816">
        <f>J50/$J$22</f>
        <v>0.66348440661514252</v>
      </c>
      <c r="L50" s="817">
        <f>L48-L49</f>
        <v>4580642.9999999991</v>
      </c>
      <c r="M50" s="816">
        <f>L50/$L$22</f>
        <v>0.68217523783426348</v>
      </c>
      <c r="N50" s="817">
        <f>N48-N49</f>
        <v>5032723.5</v>
      </c>
      <c r="O50" s="816">
        <f>N50/$N$22</f>
        <v>0.74328722917189738</v>
      </c>
      <c r="P50" s="817">
        <f>P48-P49</f>
        <v>941145.98510999978</v>
      </c>
      <c r="Q50" s="816">
        <f>P50/$P$22</f>
        <v>0.58732152316103725</v>
      </c>
      <c r="R50" s="817">
        <f>R48-R49</f>
        <v>1185334.3910299998</v>
      </c>
      <c r="S50" s="816">
        <f>R50/$R$22</f>
        <v>0.61608510990212739</v>
      </c>
      <c r="T50" s="817">
        <f>T48-T49</f>
        <v>2840027.7160100006</v>
      </c>
      <c r="U50" s="816">
        <f>T50/$T$22</f>
        <v>0.67342774186508314</v>
      </c>
      <c r="V50" s="817">
        <f>V48-V49</f>
        <v>662722.6</v>
      </c>
      <c r="W50" s="816">
        <f>V50/$V$22</f>
        <v>0.12009248999036864</v>
      </c>
      <c r="X50" s="817">
        <f>X48-X49</f>
        <v>1554326.8</v>
      </c>
      <c r="Y50" s="818">
        <f>X50/$X$22</f>
        <v>0.24697511938990588</v>
      </c>
      <c r="Z50" s="819">
        <f>X50/$X$10</f>
        <v>40.251687444497243</v>
      </c>
      <c r="AA50" s="819">
        <f>X50/$B$2</f>
        <v>10945.96338028169</v>
      </c>
      <c r="AB50" s="820">
        <f>AB48-AB49</f>
        <v>1545299.7231185688</v>
      </c>
      <c r="AC50" s="818">
        <f>AB50/$AB$22</f>
        <v>0.24436363566825675</v>
      </c>
      <c r="AD50" s="819">
        <f>AB50/$AB$10</f>
        <v>40.053386981119431</v>
      </c>
      <c r="AE50" s="819">
        <f>AB50/$B$2</f>
        <v>10882.39241632795</v>
      </c>
      <c r="AF50" s="820">
        <f>AF48-AF49</f>
        <v>1544754.2870320673</v>
      </c>
      <c r="AG50" s="818">
        <f>AF50/$AF$22</f>
        <v>0.24239139450398234</v>
      </c>
      <c r="AH50" s="819">
        <f>AF50/$AF$10</f>
        <v>39.964667348771563</v>
      </c>
      <c r="AI50" s="896">
        <f>AF50/$B$2</f>
        <v>10878.551317127234</v>
      </c>
      <c r="AJ50" s="820">
        <f>AJ48-AJ49</f>
        <v>1543862.1665493797</v>
      </c>
      <c r="AK50" s="818">
        <f>AJ50/$AJ$22</f>
        <v>0.240378927453751</v>
      </c>
      <c r="AL50" s="819">
        <f>AJ50/$AJ$10</f>
        <v>39.86732515298592</v>
      </c>
      <c r="AM50" s="896">
        <f>AJ50/$B$2</f>
        <v>10872.268778516758</v>
      </c>
      <c r="AN50" s="820">
        <f>AN48-AN49</f>
        <v>1551040.1875566253</v>
      </c>
      <c r="AO50" s="818">
        <f>AN50/$AN$22</f>
        <v>0.23896871366733657</v>
      </c>
      <c r="AP50" s="819">
        <f>AN50/$AN$10</f>
        <v>39.868398816487385</v>
      </c>
      <c r="AQ50" s="821">
        <f>AN50/$B$2</f>
        <v>10922.818222229756</v>
      </c>
      <c r="AR50" s="815">
        <f>AR48-AR49</f>
        <v>1541074.6981392328</v>
      </c>
      <c r="AS50" s="818">
        <f>AR50/$AR$22</f>
        <v>0.23623760752488585</v>
      </c>
      <c r="AT50" s="819">
        <f>AR50/$AR$10</f>
        <v>39.64689215691363</v>
      </c>
      <c r="AU50" s="819">
        <f>AR50/$B$2</f>
        <v>10852.638719290371</v>
      </c>
      <c r="AV50" s="820">
        <f>AV48-AV49</f>
        <v>1539158.6695333601</v>
      </c>
      <c r="AW50" s="818">
        <f>AV50/$AV$22</f>
        <v>0.23410797410668491</v>
      </c>
      <c r="AX50" s="819">
        <f>AV50/$AV$10</f>
        <v>39.523371839184449</v>
      </c>
      <c r="AY50" s="819">
        <f>AV50/$B$2</f>
        <v>10839.145560094084</v>
      </c>
      <c r="AZ50" s="820">
        <f>AZ48-AZ49</f>
        <v>1530968.6087182206</v>
      </c>
      <c r="BA50" s="818">
        <f>AZ50/$AZ$22</f>
        <v>0.23148142673173572</v>
      </c>
      <c r="BB50" s="819">
        <f>AZ50/$AZ$10</f>
        <v>39.313062905226118</v>
      </c>
      <c r="BC50" s="819">
        <f>AZ50/$B$2</f>
        <v>10781.469075480427</v>
      </c>
      <c r="BD50" s="820">
        <f>BD48-BD49</f>
        <v>1530978.7921389891</v>
      </c>
      <c r="BE50" s="818">
        <f>BD50/$BD$22</f>
        <v>0.22947701676889892</v>
      </c>
      <c r="BF50" s="819">
        <f>BD50/$BD$10</f>
        <v>39.205602871677058</v>
      </c>
      <c r="BG50" s="819">
        <f>BD50/$B$2</f>
        <v>10781.540789711191</v>
      </c>
      <c r="BH50" s="820">
        <f>BH48-BH49</f>
        <v>1513098.0419653577</v>
      </c>
      <c r="BI50" s="818">
        <f>BH50/$BH$22</f>
        <v>0.22606601192772721</v>
      </c>
      <c r="BJ50" s="819">
        <f>BH50/$BH$10</f>
        <v>38.854172559005669</v>
      </c>
      <c r="BK50" s="819">
        <f>BH50/$B$2</f>
        <v>10655.620013840547</v>
      </c>
      <c r="BL50" s="820">
        <f>BL48-BL49</f>
        <v>1503391.2599024349</v>
      </c>
      <c r="BM50" s="818">
        <f>BL50/$BL$22</f>
        <v>0.22327574877151396</v>
      </c>
      <c r="BN50" s="819">
        <f>BL50/$BL$10</f>
        <v>38.604916413795415</v>
      </c>
      <c r="BO50" s="896">
        <f>BL50/$B$2</f>
        <v>10587.262393679119</v>
      </c>
      <c r="BP50" s="820">
        <f>BP48-BP49</f>
        <v>1493152.1287435722</v>
      </c>
      <c r="BQ50" s="818">
        <f>BP50/$BL$22</f>
        <v>0.22175508696028781</v>
      </c>
      <c r="BR50" s="819">
        <f>BP50/$BL$10</f>
        <v>38.341990312599755</v>
      </c>
      <c r="BS50" s="821">
        <f>BP50/$B$2</f>
        <v>10515.155836222339</v>
      </c>
    </row>
    <row r="51" spans="1:71" x14ac:dyDescent="0.2">
      <c r="A51" s="851"/>
      <c r="B51" s="851"/>
      <c r="C51" s="851"/>
      <c r="D51" s="851"/>
      <c r="E51" s="851"/>
      <c r="F51" s="851"/>
      <c r="G51" s="851"/>
      <c r="H51" s="851"/>
      <c r="I51" s="851"/>
      <c r="J51" s="851"/>
      <c r="K51" s="851"/>
      <c r="L51" s="851"/>
      <c r="M51" s="851"/>
      <c r="N51" s="851"/>
      <c r="O51" s="851"/>
      <c r="P51" s="851"/>
      <c r="Q51" s="851"/>
      <c r="R51" s="851"/>
      <c r="S51" s="851"/>
      <c r="T51" s="851"/>
      <c r="U51" s="851"/>
      <c r="V51" s="851"/>
      <c r="W51" s="851"/>
      <c r="X51" s="851"/>
      <c r="Y51" s="851"/>
      <c r="Z51" s="851"/>
      <c r="AA51" s="851"/>
      <c r="AB51" s="851"/>
      <c r="AC51" s="825"/>
      <c r="AD51" s="829"/>
      <c r="AE51" s="829"/>
      <c r="AF51" s="851"/>
      <c r="AG51" s="825"/>
      <c r="AH51" s="829"/>
      <c r="AI51" s="829"/>
      <c r="AJ51" s="851"/>
      <c r="AK51" s="825"/>
      <c r="AL51" s="829"/>
      <c r="AM51" s="829"/>
      <c r="AN51" s="851"/>
      <c r="AO51" s="825"/>
      <c r="AP51" s="829"/>
      <c r="AQ51" s="829"/>
      <c r="AR51" s="851"/>
      <c r="AS51" s="825"/>
      <c r="AT51" s="829"/>
      <c r="AU51" s="829"/>
      <c r="AV51" s="851"/>
      <c r="AW51" s="825"/>
      <c r="AX51" s="829"/>
      <c r="AY51" s="829"/>
      <c r="AZ51" s="851"/>
      <c r="BA51" s="825"/>
      <c r="BB51" s="829"/>
      <c r="BC51" s="829"/>
      <c r="BD51" s="851"/>
      <c r="BE51" s="825"/>
      <c r="BF51" s="829"/>
      <c r="BG51" s="829"/>
      <c r="BH51" s="851"/>
      <c r="BI51" s="825"/>
      <c r="BJ51" s="829"/>
      <c r="BK51" s="829"/>
      <c r="BL51" s="851"/>
      <c r="BM51" s="825"/>
      <c r="BN51" s="829"/>
      <c r="BO51" s="829"/>
      <c r="BP51" s="851"/>
      <c r="BQ51" s="852"/>
      <c r="BR51" s="851"/>
    </row>
    <row r="52" spans="1:71" ht="17" thickBot="1" x14ac:dyDescent="0.25"/>
    <row r="53" spans="1:71" ht="35" thickBot="1" x14ac:dyDescent="0.25">
      <c r="A53" s="1890" t="s">
        <v>254</v>
      </c>
      <c r="B53" s="1891"/>
      <c r="C53" s="805"/>
      <c r="D53" s="956"/>
      <c r="E53" s="956"/>
      <c r="F53" s="956"/>
      <c r="G53" s="956"/>
      <c r="H53" s="956"/>
      <c r="I53" s="956"/>
      <c r="J53" s="956"/>
      <c r="K53" s="956"/>
      <c r="L53" s="956"/>
      <c r="M53" s="956"/>
    </row>
    <row r="54" spans="1:71" ht="17" thickBot="1" x14ac:dyDescent="0.25">
      <c r="A54" s="1395" t="s">
        <v>255</v>
      </c>
      <c r="B54" s="1396"/>
      <c r="C54" s="805"/>
      <c r="D54" s="956"/>
      <c r="E54" s="956"/>
      <c r="F54" s="956"/>
      <c r="G54" s="956"/>
      <c r="H54" s="956"/>
      <c r="I54" s="956"/>
      <c r="J54" s="956"/>
      <c r="K54" s="956"/>
      <c r="L54" s="956"/>
      <c r="M54" s="956"/>
    </row>
    <row r="55" spans="1:71" x14ac:dyDescent="0.2">
      <c r="A55" s="1039" t="s">
        <v>256</v>
      </c>
      <c r="B55" s="1040">
        <f>'PRELIMINARY ANALYSIS'!$F$42</f>
        <v>6.9499999999999992E-2</v>
      </c>
      <c r="C55" s="805"/>
      <c r="D55" s="956"/>
      <c r="E55" s="956"/>
      <c r="F55" s="956"/>
      <c r="G55" s="956"/>
      <c r="H55" s="956"/>
      <c r="I55" s="956"/>
      <c r="J55" s="956"/>
      <c r="K55" s="956"/>
      <c r="L55" s="956"/>
      <c r="M55" s="956"/>
      <c r="AO55" s="853"/>
    </row>
    <row r="56" spans="1:71" x14ac:dyDescent="0.2">
      <c r="A56" s="1041" t="s">
        <v>257</v>
      </c>
      <c r="B56" s="1042">
        <f>'PRELIMINARY ANALYSIS'!$F$50</f>
        <v>6.147974727831939E-2</v>
      </c>
      <c r="C56" s="805"/>
      <c r="D56" s="1043"/>
      <c r="E56" s="956"/>
      <c r="F56" s="956"/>
      <c r="G56" s="956"/>
      <c r="H56" s="956"/>
      <c r="I56" s="956"/>
      <c r="J56" s="956"/>
      <c r="K56" s="956"/>
      <c r="L56" s="956"/>
      <c r="M56" s="956"/>
      <c r="AM56" s="853"/>
    </row>
    <row r="57" spans="1:71" x14ac:dyDescent="0.2">
      <c r="A57" s="1041" t="s">
        <v>258</v>
      </c>
      <c r="B57" s="1042">
        <f>B56+0.5%</f>
        <v>6.6479747278319387E-2</v>
      </c>
      <c r="C57" s="805"/>
      <c r="D57" s="956"/>
      <c r="E57" s="956"/>
      <c r="F57" s="956"/>
      <c r="G57" s="956"/>
      <c r="H57" s="956"/>
      <c r="I57" s="956"/>
      <c r="J57" s="956"/>
      <c r="K57" s="956"/>
      <c r="L57" s="956"/>
      <c r="M57" s="956"/>
    </row>
    <row r="58" spans="1:71" x14ac:dyDescent="0.2">
      <c r="A58" s="745" t="s">
        <v>259</v>
      </c>
      <c r="B58" s="1042">
        <f>B57+B4</f>
        <v>7.4499999999999997E-2</v>
      </c>
      <c r="C58" s="805"/>
      <c r="D58" s="956"/>
      <c r="E58" s="956"/>
      <c r="F58" s="956"/>
      <c r="G58" s="956"/>
      <c r="H58" s="956"/>
      <c r="I58" s="956"/>
      <c r="J58" s="956"/>
      <c r="K58" s="956"/>
      <c r="L58" s="956"/>
      <c r="M58" s="956"/>
    </row>
    <row r="59" spans="1:71" ht="17" thickBot="1" x14ac:dyDescent="0.25">
      <c r="A59" s="1044" t="s">
        <v>260</v>
      </c>
      <c r="B59" s="1045">
        <v>0.06</v>
      </c>
      <c r="C59" s="805"/>
      <c r="D59" s="956"/>
      <c r="E59" s="956"/>
      <c r="F59" s="956"/>
      <c r="G59" s="956"/>
      <c r="H59" s="956"/>
      <c r="I59" s="956"/>
      <c r="J59" s="956"/>
      <c r="K59" s="956"/>
      <c r="L59" s="956"/>
      <c r="M59" s="956"/>
    </row>
    <row r="60" spans="1:71" ht="17" thickBot="1" x14ac:dyDescent="0.25">
      <c r="A60" s="1038"/>
      <c r="B60" s="1038">
        <v>-1</v>
      </c>
      <c r="C60" s="1038">
        <v>0</v>
      </c>
      <c r="D60" s="1038">
        <v>1</v>
      </c>
      <c r="E60" s="1038">
        <v>2</v>
      </c>
      <c r="F60" s="1038">
        <v>3</v>
      </c>
      <c r="G60" s="1038">
        <v>4</v>
      </c>
      <c r="H60" s="1038">
        <v>5</v>
      </c>
      <c r="I60" s="1038">
        <v>6</v>
      </c>
      <c r="J60" s="1038">
        <v>7</v>
      </c>
      <c r="K60" s="1038">
        <v>8</v>
      </c>
      <c r="L60" s="1038">
        <v>9</v>
      </c>
      <c r="M60" s="1038">
        <v>10</v>
      </c>
    </row>
    <row r="61" spans="1:71" x14ac:dyDescent="0.2">
      <c r="A61" s="1522" t="s">
        <v>96</v>
      </c>
      <c r="B61" s="1523">
        <v>2024</v>
      </c>
      <c r="C61" s="1523">
        <v>2025</v>
      </c>
      <c r="D61" s="1523">
        <v>2026</v>
      </c>
      <c r="E61" s="1523">
        <v>2027</v>
      </c>
      <c r="F61" s="1523">
        <v>2028</v>
      </c>
      <c r="G61" s="1523">
        <v>2029</v>
      </c>
      <c r="H61" s="1523">
        <v>2030</v>
      </c>
      <c r="I61" s="1523">
        <v>2031</v>
      </c>
      <c r="J61" s="1523">
        <v>2032</v>
      </c>
      <c r="K61" s="1523">
        <v>2033</v>
      </c>
      <c r="L61" s="1523">
        <v>2034</v>
      </c>
      <c r="M61" s="1524">
        <v>2035</v>
      </c>
    </row>
    <row r="62" spans="1:71" x14ac:dyDescent="0.2">
      <c r="A62" s="884" t="s">
        <v>261</v>
      </c>
      <c r="B62" s="1485"/>
      <c r="C62" s="1485">
        <f>AB50</f>
        <v>1545299.7231185688</v>
      </c>
      <c r="D62" s="1485">
        <f>AF50</f>
        <v>1544754.2870320673</v>
      </c>
      <c r="E62" s="1485">
        <f>AJ50</f>
        <v>1543862.1665493797</v>
      </c>
      <c r="F62" s="1485">
        <f>AN50</f>
        <v>1551040.1875566253</v>
      </c>
      <c r="G62" s="1485">
        <f>AR50</f>
        <v>1541074.6981392328</v>
      </c>
      <c r="H62" s="1485">
        <f>AV50</f>
        <v>1539158.6695333601</v>
      </c>
      <c r="I62" s="1485">
        <f>AZ50</f>
        <v>1530968.6087182206</v>
      </c>
      <c r="J62" s="1485">
        <f>BD50</f>
        <v>1530978.7921389891</v>
      </c>
      <c r="K62" s="1485">
        <f>BH50</f>
        <v>1513098.0419653577</v>
      </c>
      <c r="L62" s="1485">
        <f>BL50</f>
        <v>1503391.2599024349</v>
      </c>
      <c r="M62" s="1525">
        <f>BP50</f>
        <v>1493152.1287435722</v>
      </c>
    </row>
    <row r="63" spans="1:71" x14ac:dyDescent="0.2">
      <c r="A63" s="745" t="s">
        <v>262</v>
      </c>
      <c r="B63" s="1486"/>
      <c r="C63" s="1486"/>
      <c r="D63" s="1486"/>
      <c r="E63" s="1486"/>
      <c r="F63" s="1486"/>
      <c r="G63" s="1486"/>
      <c r="H63" s="1486"/>
      <c r="I63" s="1486"/>
      <c r="J63" s="1486"/>
      <c r="K63" s="1486"/>
      <c r="L63" s="1486"/>
      <c r="M63" s="1526">
        <f>M62/B57</f>
        <v>22460255.790270194</v>
      </c>
    </row>
    <row r="64" spans="1:71" x14ac:dyDescent="0.2">
      <c r="A64" s="745" t="s">
        <v>263</v>
      </c>
      <c r="B64" s="1486"/>
      <c r="C64" s="1486"/>
      <c r="D64" s="1486"/>
      <c r="E64" s="1486"/>
      <c r="F64" s="1486"/>
      <c r="G64" s="1486"/>
      <c r="H64" s="1486"/>
      <c r="I64" s="1486"/>
      <c r="J64" s="1486"/>
      <c r="K64" s="1486"/>
      <c r="L64" s="1486"/>
      <c r="M64" s="1526">
        <f>-M63*B59</f>
        <v>-1347615.3474162116</v>
      </c>
    </row>
    <row r="65" spans="1:13" ht="17" thickBot="1" x14ac:dyDescent="0.25">
      <c r="A65" s="1527" t="s">
        <v>264</v>
      </c>
      <c r="B65" s="1487">
        <f>-21000000</f>
        <v>-21000000</v>
      </c>
      <c r="C65" s="1487"/>
      <c r="D65" s="1487"/>
      <c r="E65" s="1487"/>
      <c r="F65" s="1487"/>
      <c r="G65" s="1487"/>
      <c r="H65" s="1487"/>
      <c r="I65" s="1487"/>
      <c r="J65" s="1487"/>
      <c r="K65" s="1487"/>
      <c r="L65" s="1487"/>
      <c r="M65" s="1528"/>
    </row>
    <row r="66" spans="1:13" ht="18" thickTop="1" thickBot="1" x14ac:dyDescent="0.25">
      <c r="A66" s="1116" t="s">
        <v>265</v>
      </c>
      <c r="B66" s="1529">
        <f t="shared" ref="B66:L66" si="211">SUM(B62:B65)</f>
        <v>-21000000</v>
      </c>
      <c r="C66" s="1529">
        <f>SUM(C62:C65)</f>
        <v>1545299.7231185688</v>
      </c>
      <c r="D66" s="1529">
        <f t="shared" si="211"/>
        <v>1544754.2870320673</v>
      </c>
      <c r="E66" s="1529">
        <f t="shared" si="211"/>
        <v>1543862.1665493797</v>
      </c>
      <c r="F66" s="1529">
        <f t="shared" si="211"/>
        <v>1551040.1875566253</v>
      </c>
      <c r="G66" s="1529">
        <f t="shared" si="211"/>
        <v>1541074.6981392328</v>
      </c>
      <c r="H66" s="1529">
        <f t="shared" si="211"/>
        <v>1539158.6695333601</v>
      </c>
      <c r="I66" s="1529">
        <f t="shared" si="211"/>
        <v>1530968.6087182206</v>
      </c>
      <c r="J66" s="1529">
        <f t="shared" si="211"/>
        <v>1530978.7921389891</v>
      </c>
      <c r="K66" s="1529">
        <f t="shared" si="211"/>
        <v>1513098.0419653577</v>
      </c>
      <c r="L66" s="1529">
        <f t="shared" si="211"/>
        <v>1503391.2599024349</v>
      </c>
      <c r="M66" s="1530">
        <f>SUM(M62:M65)</f>
        <v>22605792.571597558</v>
      </c>
    </row>
    <row r="67" spans="1:13" ht="17" thickBot="1" x14ac:dyDescent="0.25">
      <c r="A67" s="944"/>
      <c r="B67" s="944"/>
      <c r="C67" s="851"/>
      <c r="D67" s="851"/>
      <c r="E67" s="851"/>
      <c r="F67" s="851"/>
      <c r="G67" s="851"/>
      <c r="H67" s="851"/>
      <c r="I67" s="851"/>
      <c r="J67" s="851"/>
      <c r="K67" s="851"/>
      <c r="L67" s="851"/>
      <c r="M67" s="851"/>
    </row>
    <row r="68" spans="1:13" x14ac:dyDescent="0.2">
      <c r="A68" s="1366" t="s">
        <v>266</v>
      </c>
      <c r="B68" s="1513">
        <f>NPV(B55,C66:M66)</f>
        <v>21613176.618957002</v>
      </c>
      <c r="C68" s="805"/>
      <c r="D68" s="956"/>
      <c r="E68" s="956"/>
      <c r="F68" s="956"/>
      <c r="G68" s="956"/>
      <c r="H68" s="956"/>
      <c r="I68" s="956"/>
      <c r="J68" s="956"/>
      <c r="K68" s="956"/>
      <c r="L68" s="956"/>
      <c r="M68" s="956"/>
    </row>
    <row r="69" spans="1:13" x14ac:dyDescent="0.2">
      <c r="A69" s="745" t="s">
        <v>267</v>
      </c>
      <c r="B69" s="1521">
        <f>NPV(B58,C66:M66)</f>
        <v>20828353.271046471</v>
      </c>
      <c r="C69" s="805"/>
      <c r="D69" s="956"/>
      <c r="E69" s="956"/>
      <c r="F69" s="956"/>
      <c r="G69" s="956"/>
      <c r="H69" s="956"/>
      <c r="I69" s="956"/>
      <c r="J69" s="956"/>
      <c r="K69" s="956"/>
      <c r="L69" s="956"/>
      <c r="M69" s="956"/>
    </row>
    <row r="70" spans="1:13" x14ac:dyDescent="0.2">
      <c r="A70" s="745" t="s">
        <v>268</v>
      </c>
      <c r="B70" s="1488">
        <f>NPV(B55,C66:M66)+B66</f>
        <v>613176.61895700172</v>
      </c>
      <c r="C70" s="805"/>
      <c r="D70" s="956"/>
      <c r="E70" s="956"/>
      <c r="F70" s="956"/>
      <c r="G70" s="956"/>
      <c r="H70" s="956"/>
      <c r="I70" s="956"/>
      <c r="J70" s="956"/>
      <c r="K70" s="956"/>
      <c r="L70" s="956"/>
      <c r="M70" s="956"/>
    </row>
    <row r="71" spans="1:13" x14ac:dyDescent="0.2">
      <c r="A71" s="745" t="s">
        <v>269</v>
      </c>
      <c r="B71" s="874">
        <f>IRR(B66:M66)</f>
        <v>7.3385144397527746E-2</v>
      </c>
      <c r="C71" s="805"/>
      <c r="D71" s="956"/>
      <c r="E71" s="956"/>
      <c r="F71" s="956"/>
      <c r="G71" s="956"/>
      <c r="H71" s="956"/>
      <c r="I71" s="956"/>
      <c r="J71" s="956"/>
      <c r="K71" s="956"/>
      <c r="L71" s="956"/>
      <c r="M71" s="956"/>
    </row>
    <row r="72" spans="1:13" ht="17" thickBot="1" x14ac:dyDescent="0.25">
      <c r="A72" s="1367" t="s">
        <v>270</v>
      </c>
      <c r="B72" s="1511">
        <f>MIRR(B66:M66,B55,B55)</f>
        <v>7.230193481017233E-2</v>
      </c>
      <c r="C72" s="805"/>
      <c r="D72" s="956"/>
      <c r="E72" s="956"/>
      <c r="F72" s="956"/>
      <c r="G72" s="956"/>
      <c r="H72" s="956"/>
      <c r="I72" s="956"/>
      <c r="J72" s="956"/>
      <c r="K72" s="956"/>
      <c r="L72" s="956"/>
      <c r="M72" s="956"/>
    </row>
  </sheetData>
  <mergeCells count="26">
    <mergeCell ref="A53:B53"/>
    <mergeCell ref="A1:B1"/>
    <mergeCell ref="P6:U6"/>
    <mergeCell ref="BP7:BS7"/>
    <mergeCell ref="BL7:BO7"/>
    <mergeCell ref="BH7:BK7"/>
    <mergeCell ref="BD7:BG7"/>
    <mergeCell ref="AZ7:BC7"/>
    <mergeCell ref="AV7:AY7"/>
    <mergeCell ref="AR7:AU7"/>
    <mergeCell ref="AN7:AQ7"/>
    <mergeCell ref="AJ7:AM7"/>
    <mergeCell ref="AF7:AI7"/>
    <mergeCell ref="AB7:AE7"/>
    <mergeCell ref="X7:AA7"/>
    <mergeCell ref="V7:W7"/>
    <mergeCell ref="T7:U7"/>
    <mergeCell ref="H7:I7"/>
    <mergeCell ref="F7:G7"/>
    <mergeCell ref="D7:E7"/>
    <mergeCell ref="B7:C7"/>
    <mergeCell ref="R7:S7"/>
    <mergeCell ref="P7:Q7"/>
    <mergeCell ref="N7:O7"/>
    <mergeCell ref="L7:M7"/>
    <mergeCell ref="J7:K7"/>
  </mergeCells>
  <conditionalFormatting sqref="B18:BS22 B40:BS50">
    <cfRule type="containsBlanks" dxfId="54" priority="2" stopIfTrue="1">
      <formula>LEN(TRIM(B18))=0</formula>
    </cfRule>
  </conditionalFormatting>
  <conditionalFormatting sqref="B24:BS29">
    <cfRule type="containsBlanks" dxfId="53" priority="1" stopIfTrue="1">
      <formula>LEN(TRIM(B24))=0</formula>
    </cfRule>
  </conditionalFormatting>
  <conditionalFormatting sqref="B31:BS38">
    <cfRule type="containsBlanks" dxfId="52" priority="3" stopIfTrue="1">
      <formula>LEN(TRIM(B31))=0</formula>
    </cfRule>
  </conditionalFormatting>
  <conditionalFormatting sqref="AB22:AD22 AF22:AH22 AJ22:AL22 AN22:AP22 AR22:AT22 AV22:AX22 AZ22:BB22 BD22:BF22 BH22:BJ22 BL22:BN22 BP22:BR22">
    <cfRule type="containsBlanks" dxfId="51" priority="40" stopIfTrue="1">
      <formula>LEN(TRIM(AB22))=0</formula>
    </cfRule>
  </conditionalFormatting>
  <conditionalFormatting sqref="AB36:AD36 AF36:AH36 AJ36:AL36 AN36:AP36 BP36:BQ36">
    <cfRule type="containsBlanks" dxfId="50" priority="38" stopIfTrue="1">
      <formula>LEN(TRIM(AB36))=0</formula>
    </cfRule>
  </conditionalFormatting>
  <conditionalFormatting sqref="AB38:AD38 AF38:AH38 AJ38:AL38 AN38:AP38 BP38:BQ38">
    <cfRule type="containsBlanks" dxfId="49" priority="37" stopIfTrue="1">
      <formula>LEN(TRIM(AB38))=0</formula>
    </cfRule>
  </conditionalFormatting>
  <conditionalFormatting sqref="AB47:AD50 AF47:AH50 AJ47:AL50 AN47:AP50">
    <cfRule type="containsBlanks" dxfId="48" priority="36" stopIfTrue="1">
      <formula>LEN(TRIM(AB47))=0</formula>
    </cfRule>
  </conditionalFormatting>
  <hyperlinks>
    <hyperlink ref="A54" r:id="rId1" xr:uid="{477AAC40-B08E-7346-85D1-6D7A6FF69893}"/>
  </hyperlink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9C99B-41DF-9443-A266-E9FC971539B1}">
  <sheetPr>
    <tabColor theme="3" tint="0.249977111117893"/>
  </sheetPr>
  <dimension ref="A1:CI108"/>
  <sheetViews>
    <sheetView showGridLines="0" tabSelected="1" zoomScale="75" zoomScaleNormal="60" workbookViewId="0">
      <pane xSplit="1" topLeftCell="AA1" activePane="topRight" state="frozen"/>
      <selection pane="topRight" activeCell="AF53" sqref="AF53"/>
    </sheetView>
  </sheetViews>
  <sheetFormatPr baseColWidth="10" defaultColWidth="11" defaultRowHeight="16" x14ac:dyDescent="0.2"/>
  <cols>
    <col min="1" max="1" width="63.1640625" style="956" bestFit="1" customWidth="1"/>
    <col min="2" max="2" width="18.33203125" style="956" customWidth="1"/>
    <col min="3" max="3" width="16.6640625" style="956" customWidth="1"/>
    <col min="4" max="4" width="17" style="956" customWidth="1"/>
    <col min="5" max="5" width="19.5" style="956" customWidth="1"/>
    <col min="6" max="6" width="19.1640625" style="956" customWidth="1"/>
    <col min="7" max="7" width="20.33203125" style="956" customWidth="1"/>
    <col min="8" max="8" width="19.83203125" style="956" customWidth="1"/>
    <col min="9" max="9" width="20" style="956" customWidth="1"/>
    <col min="10" max="10" width="19.33203125" style="956" customWidth="1"/>
    <col min="11" max="11" width="16.1640625" style="956" customWidth="1"/>
    <col min="12" max="12" width="18.83203125" style="956" customWidth="1"/>
    <col min="13" max="13" width="19.5" style="956" customWidth="1"/>
    <col min="14" max="14" width="14.6640625" style="956" customWidth="1"/>
    <col min="15" max="15" width="13.6640625" style="956" customWidth="1"/>
    <col min="16" max="16" width="18" style="956" customWidth="1"/>
    <col min="17" max="17" width="13.83203125" style="956" bestFit="1" customWidth="1"/>
    <col min="18" max="18" width="14" style="956" customWidth="1"/>
    <col min="19" max="19" width="13.6640625" style="956" customWidth="1"/>
    <col min="20" max="20" width="10.1640625" style="956" bestFit="1" customWidth="1"/>
    <col min="21" max="21" width="13.6640625" style="956" customWidth="1"/>
    <col min="22" max="22" width="10.1640625" style="956" bestFit="1" customWidth="1"/>
    <col min="23" max="23" width="13.6640625" style="956" customWidth="1"/>
    <col min="24" max="24" width="10.1640625" style="956" bestFit="1" customWidth="1"/>
    <col min="25" max="25" width="13.6640625" style="956" customWidth="1"/>
    <col min="26" max="26" width="9.1640625" style="956" bestFit="1" customWidth="1"/>
    <col min="27" max="27" width="10.1640625" style="956" bestFit="1" customWidth="1"/>
    <col min="28" max="28" width="15" style="956" bestFit="1" customWidth="1"/>
    <col min="29" max="29" width="14.33203125" style="956" bestFit="1" customWidth="1"/>
    <col min="30" max="30" width="11.1640625" style="746" bestFit="1" customWidth="1"/>
    <col min="31" max="31" width="10.1640625" style="747" bestFit="1" customWidth="1"/>
    <col min="32" max="32" width="13.1640625" style="747" bestFit="1" customWidth="1"/>
    <col min="33" max="33" width="14.1640625" style="956" bestFit="1" customWidth="1"/>
    <col min="34" max="34" width="8.83203125" style="746" bestFit="1" customWidth="1"/>
    <col min="35" max="35" width="10.1640625" style="747" customWidth="1"/>
    <col min="36" max="36" width="12.6640625" style="747" customWidth="1"/>
    <col min="37" max="37" width="12.6640625" style="956" bestFit="1" customWidth="1"/>
    <col min="38" max="38" width="8.83203125" style="746" bestFit="1" customWidth="1"/>
    <col min="39" max="39" width="10.1640625" style="747" customWidth="1"/>
    <col min="40" max="40" width="12.6640625" style="747" bestFit="1" customWidth="1"/>
    <col min="41" max="41" width="12.6640625" style="956" bestFit="1" customWidth="1"/>
    <col min="42" max="42" width="7.6640625" style="746" bestFit="1" customWidth="1"/>
    <col min="43" max="43" width="10.1640625" style="747" bestFit="1" customWidth="1"/>
    <col min="44" max="44" width="12.6640625" style="747" bestFit="1" customWidth="1"/>
    <col min="45" max="45" width="13.6640625" style="956" customWidth="1"/>
    <col min="46" max="46" width="8.83203125" style="746" bestFit="1" customWidth="1"/>
    <col min="47" max="47" width="10.1640625" style="747" bestFit="1" customWidth="1"/>
    <col min="48" max="48" width="16.33203125" style="747" customWidth="1"/>
    <col min="49" max="49" width="12.6640625" style="956" bestFit="1" customWidth="1"/>
    <col min="50" max="50" width="8.83203125" style="746" bestFit="1" customWidth="1"/>
    <col min="51" max="51" width="10.1640625" style="747" bestFit="1" customWidth="1"/>
    <col min="52" max="52" width="17.83203125" style="747" customWidth="1"/>
    <col min="53" max="53" width="12.6640625" style="956" bestFit="1" customWidth="1"/>
    <col min="54" max="54" width="8.83203125" style="746" bestFit="1" customWidth="1"/>
    <col min="55" max="55" width="10.1640625" style="747" bestFit="1" customWidth="1"/>
    <col min="56" max="56" width="12.6640625" style="747" bestFit="1" customWidth="1"/>
    <col min="57" max="57" width="12.6640625" style="956" bestFit="1" customWidth="1"/>
    <col min="58" max="58" width="7.6640625" style="746" bestFit="1" customWidth="1"/>
    <col min="59" max="59" width="10.1640625" style="747" bestFit="1" customWidth="1"/>
    <col min="60" max="60" width="12.6640625" style="747" bestFit="1" customWidth="1"/>
    <col min="61" max="61" width="12.6640625" style="956" bestFit="1" customWidth="1"/>
    <col min="62" max="62" width="8.83203125" style="746" bestFit="1" customWidth="1"/>
    <col min="63" max="63" width="10.1640625" style="747" bestFit="1" customWidth="1"/>
    <col min="64" max="64" width="13.5" style="747" customWidth="1"/>
    <col min="65" max="65" width="12.6640625" style="956" bestFit="1" customWidth="1"/>
    <col min="66" max="66" width="8.83203125" style="746" bestFit="1" customWidth="1"/>
    <col min="67" max="67" width="10.1640625" style="747" bestFit="1" customWidth="1"/>
    <col min="68" max="68" width="12.6640625" style="747" bestFit="1" customWidth="1"/>
    <col min="69" max="70" width="13.1640625" style="747" customWidth="1"/>
    <col min="71" max="72" width="12.6640625" style="956" bestFit="1" customWidth="1"/>
    <col min="73" max="73" width="12" style="956" bestFit="1" customWidth="1"/>
    <col min="74" max="74" width="11" style="956"/>
    <col min="75" max="75" width="10.1640625" style="956" bestFit="1" customWidth="1"/>
    <col min="76" max="76" width="11" style="956"/>
    <col min="77" max="77" width="19.6640625" style="212" customWidth="1"/>
    <col min="78" max="16384" width="11" style="212"/>
  </cols>
  <sheetData>
    <row r="1" spans="1:87" s="206" customFormat="1" ht="29" customHeight="1" thickBot="1" x14ac:dyDescent="0.25">
      <c r="A1" s="1900" t="s">
        <v>271</v>
      </c>
      <c r="B1" s="1901"/>
      <c r="C1" s="822"/>
      <c r="D1" s="944"/>
      <c r="E1" s="944"/>
      <c r="F1" s="944"/>
      <c r="G1" s="944"/>
      <c r="H1" s="944"/>
      <c r="I1" s="944"/>
      <c r="J1" s="944"/>
      <c r="K1" s="944"/>
      <c r="L1" s="944"/>
      <c r="M1" s="944"/>
      <c r="N1" s="944"/>
      <c r="O1" s="944"/>
      <c r="P1" s="945"/>
      <c r="Q1" s="222"/>
      <c r="R1" s="222"/>
      <c r="S1" s="222"/>
      <c r="T1" s="222"/>
      <c r="U1" s="222"/>
      <c r="V1" s="222"/>
      <c r="W1" s="845"/>
      <c r="X1" s="944"/>
      <c r="Y1" s="944"/>
      <c r="Z1" s="944"/>
      <c r="AA1" s="944"/>
      <c r="AB1" s="944"/>
      <c r="AC1" s="944"/>
      <c r="AD1" s="848"/>
      <c r="AE1" s="946"/>
      <c r="AF1" s="946"/>
      <c r="AG1" s="944"/>
      <c r="AH1" s="848"/>
      <c r="AI1" s="946"/>
      <c r="AJ1" s="946"/>
      <c r="AK1" s="944"/>
      <c r="AL1" s="848"/>
      <c r="AM1" s="946"/>
      <c r="AN1" s="946"/>
      <c r="AO1" s="944"/>
      <c r="AP1" s="848"/>
      <c r="AQ1" s="946"/>
      <c r="AR1" s="946"/>
      <c r="AS1" s="944"/>
      <c r="AT1" s="848"/>
      <c r="AU1" s="946"/>
      <c r="AV1" s="946"/>
      <c r="AW1" s="944"/>
      <c r="AX1" s="848"/>
      <c r="AY1" s="946"/>
      <c r="AZ1" s="946"/>
      <c r="BA1" s="944"/>
      <c r="BB1" s="848"/>
      <c r="BC1" s="946"/>
      <c r="BD1" s="946"/>
      <c r="BE1" s="944"/>
      <c r="BF1" s="848"/>
      <c r="BG1" s="946"/>
      <c r="BH1" s="946"/>
      <c r="BI1" s="944"/>
      <c r="BJ1" s="848"/>
      <c r="BK1" s="946"/>
      <c r="BL1" s="946"/>
      <c r="BM1" s="944"/>
      <c r="BN1" s="848"/>
      <c r="BO1" s="946"/>
      <c r="BP1" s="946"/>
      <c r="BQ1" s="946"/>
      <c r="BR1" s="946"/>
      <c r="BS1" s="944"/>
      <c r="BT1" s="851"/>
      <c r="BU1" s="851"/>
      <c r="BV1" s="851"/>
      <c r="BW1" s="851"/>
      <c r="BX1" s="851"/>
    </row>
    <row r="2" spans="1:87" s="206" customFormat="1" x14ac:dyDescent="0.2">
      <c r="A2" s="680" t="s">
        <v>272</v>
      </c>
      <c r="B2" s="681">
        <v>142</v>
      </c>
      <c r="C2" s="851"/>
      <c r="D2" s="944"/>
      <c r="E2" s="944"/>
      <c r="F2" s="944"/>
      <c r="G2" s="944"/>
      <c r="H2" s="944"/>
      <c r="I2" s="944"/>
      <c r="J2" s="944"/>
      <c r="K2" s="944"/>
      <c r="L2" s="944"/>
      <c r="M2" s="944"/>
      <c r="N2" s="944"/>
      <c r="O2" s="945"/>
      <c r="P2" s="1902"/>
      <c r="Q2" s="1902"/>
      <c r="R2" s="1902"/>
      <c r="S2" s="1902"/>
      <c r="T2" s="1902"/>
      <c r="U2" s="1902"/>
      <c r="V2" s="222"/>
      <c r="W2" s="845"/>
      <c r="X2" s="944"/>
      <c r="Y2" s="944"/>
      <c r="Z2" s="944"/>
      <c r="AA2" s="944"/>
      <c r="AB2" s="944"/>
      <c r="AC2" s="944"/>
      <c r="AD2" s="848"/>
      <c r="AE2" s="946"/>
      <c r="AF2" s="946"/>
      <c r="AG2" s="944"/>
      <c r="AH2" s="848"/>
      <c r="AI2" s="946"/>
      <c r="AJ2" s="946"/>
      <c r="AK2" s="944"/>
      <c r="AL2" s="848"/>
      <c r="AM2" s="946"/>
      <c r="AN2" s="946"/>
      <c r="AO2" s="944"/>
      <c r="AP2" s="848"/>
      <c r="AQ2" s="946"/>
      <c r="AR2" s="946"/>
      <c r="AS2" s="944"/>
      <c r="AT2" s="848"/>
      <c r="AU2" s="946"/>
      <c r="AV2" s="946"/>
      <c r="AW2" s="944"/>
      <c r="AX2" s="848"/>
      <c r="AY2" s="946"/>
      <c r="AZ2" s="946"/>
      <c r="BA2" s="944"/>
      <c r="BB2" s="848"/>
      <c r="BC2" s="946"/>
      <c r="BD2" s="946"/>
      <c r="BE2" s="944"/>
      <c r="BF2" s="848"/>
      <c r="BG2" s="946"/>
      <c r="BH2" s="946"/>
      <c r="BI2" s="944"/>
      <c r="BJ2" s="848"/>
      <c r="BK2" s="946"/>
      <c r="BL2" s="946"/>
      <c r="BM2" s="944"/>
      <c r="BN2" s="848"/>
      <c r="BO2" s="946"/>
      <c r="BP2" s="946"/>
      <c r="BQ2" s="946"/>
      <c r="BR2" s="946"/>
      <c r="BS2" s="944"/>
      <c r="BT2" s="851"/>
      <c r="BU2" s="851"/>
      <c r="BV2" s="851"/>
      <c r="BW2" s="851"/>
      <c r="BX2" s="851"/>
    </row>
    <row r="3" spans="1:87" s="206" customFormat="1" x14ac:dyDescent="0.2">
      <c r="A3" s="1720" t="s">
        <v>104</v>
      </c>
      <c r="B3" s="1721">
        <f>'PRELIMINARY ANALYSIS'!$K$23</f>
        <v>2.1181818181818177E-2</v>
      </c>
      <c r="C3" s="822"/>
      <c r="D3" s="944"/>
      <c r="E3" s="944"/>
      <c r="F3" s="944"/>
      <c r="G3" s="944"/>
      <c r="H3" s="944"/>
      <c r="I3" s="944"/>
      <c r="J3" s="944"/>
      <c r="K3" s="944"/>
      <c r="L3" s="944"/>
      <c r="M3" s="944"/>
      <c r="N3" s="944"/>
      <c r="O3" s="944"/>
      <c r="P3" s="945"/>
      <c r="Q3" s="222"/>
      <c r="R3" s="222"/>
      <c r="S3" s="222"/>
      <c r="T3" s="222"/>
      <c r="U3" s="222"/>
      <c r="V3" s="222"/>
      <c r="W3" s="845"/>
      <c r="X3" s="944"/>
      <c r="Y3" s="944"/>
      <c r="Z3" s="944"/>
      <c r="AA3" s="944"/>
      <c r="AB3" s="944"/>
      <c r="AC3" s="944"/>
      <c r="AD3" s="848"/>
      <c r="AE3" s="946"/>
      <c r="AF3" s="946"/>
      <c r="AG3" s="1658"/>
      <c r="AH3" s="848"/>
      <c r="AI3" s="946"/>
      <c r="AJ3" s="946"/>
      <c r="AK3" s="1658"/>
      <c r="AL3" s="848"/>
      <c r="AM3" s="946"/>
      <c r="AN3" s="946"/>
      <c r="AO3" s="1658"/>
      <c r="AP3" s="848"/>
      <c r="AQ3" s="946"/>
      <c r="AR3" s="946"/>
      <c r="AS3" s="944"/>
      <c r="AT3" s="848"/>
      <c r="AU3" s="946"/>
      <c r="AV3" s="946"/>
      <c r="AW3" s="944"/>
      <c r="AX3" s="848"/>
      <c r="AY3" s="946"/>
      <c r="AZ3" s="946"/>
      <c r="BA3" s="944"/>
      <c r="BB3" s="848"/>
      <c r="BC3" s="946"/>
      <c r="BD3" s="946"/>
      <c r="BE3" s="944"/>
      <c r="BF3" s="848"/>
      <c r="BG3" s="946"/>
      <c r="BH3" s="946"/>
      <c r="BI3" s="944"/>
      <c r="BJ3" s="848"/>
      <c r="BK3" s="946"/>
      <c r="BL3" s="946"/>
      <c r="BM3" s="944"/>
      <c r="BN3" s="848"/>
      <c r="BO3" s="946"/>
      <c r="BP3" s="946"/>
      <c r="BQ3" s="946"/>
      <c r="BR3" s="946"/>
      <c r="BS3" s="944"/>
      <c r="BT3" s="851"/>
      <c r="BU3" s="851"/>
      <c r="BV3" s="851"/>
      <c r="BW3" s="851"/>
      <c r="BX3" s="851"/>
    </row>
    <row r="4" spans="1:87" s="206" customFormat="1" ht="17" thickBot="1" x14ac:dyDescent="0.25">
      <c r="A4" s="559" t="s">
        <v>223</v>
      </c>
      <c r="B4" s="1721">
        <f>'PRELIMINARY ANALYSIS'!$K$25</f>
        <v>8.0202527216806044E-3</v>
      </c>
      <c r="C4" s="851"/>
      <c r="D4" s="944"/>
      <c r="E4" s="944"/>
      <c r="F4" s="944"/>
      <c r="G4" s="944"/>
      <c r="H4" s="944"/>
      <c r="I4" s="944"/>
      <c r="J4" s="944"/>
      <c r="K4" s="944"/>
      <c r="L4" s="944"/>
      <c r="M4" s="944"/>
      <c r="N4" s="944"/>
      <c r="O4" s="944"/>
      <c r="P4" s="945"/>
      <c r="Q4" s="222"/>
      <c r="R4" s="222"/>
      <c r="S4" s="222"/>
      <c r="T4" s="222"/>
      <c r="U4" s="222"/>
      <c r="V4" s="222"/>
      <c r="W4" s="845"/>
      <c r="X4" s="944"/>
      <c r="Y4" s="944"/>
      <c r="Z4" s="944"/>
      <c r="AA4" s="944"/>
      <c r="AB4" s="944"/>
      <c r="AC4" s="849"/>
      <c r="AD4" s="848"/>
      <c r="AE4" s="946"/>
      <c r="AF4" s="946"/>
      <c r="AG4" s="1489"/>
      <c r="AH4" s="848"/>
      <c r="AI4" s="946"/>
      <c r="AJ4" s="946"/>
      <c r="AK4" s="947"/>
      <c r="AL4" s="1268"/>
      <c r="AM4" s="946"/>
      <c r="AN4" s="946"/>
      <c r="AO4" s="944"/>
      <c r="AP4" s="848"/>
      <c r="AQ4" s="946"/>
      <c r="AR4" s="946"/>
      <c r="AS4" s="944"/>
      <c r="AT4" s="848"/>
      <c r="AU4" s="946"/>
      <c r="AV4" s="946"/>
      <c r="AW4" s="944"/>
      <c r="AX4" s="848"/>
      <c r="AY4" s="946"/>
      <c r="AZ4" s="946"/>
      <c r="BA4" s="944"/>
      <c r="BB4" s="848"/>
      <c r="BC4" s="946"/>
      <c r="BD4" s="946"/>
      <c r="BE4" s="944"/>
      <c r="BF4" s="848"/>
      <c r="BG4" s="946"/>
      <c r="BH4" s="946"/>
      <c r="BI4" s="944"/>
      <c r="BJ4" s="848"/>
      <c r="BK4" s="946"/>
      <c r="BL4" s="946"/>
      <c r="BM4" s="944"/>
      <c r="BN4" s="848"/>
      <c r="BO4" s="946"/>
      <c r="BP4" s="946"/>
      <c r="BQ4" s="946"/>
      <c r="BR4" s="946"/>
      <c r="BS4" s="944"/>
      <c r="BT4" s="851"/>
      <c r="BU4" s="851"/>
      <c r="BV4" s="851"/>
      <c r="BW4" s="851"/>
      <c r="BX4" s="851"/>
    </row>
    <row r="5" spans="1:87" s="206" customFormat="1" ht="17" thickBot="1" x14ac:dyDescent="0.25">
      <c r="A5" s="682" t="s">
        <v>122</v>
      </c>
      <c r="B5" s="683">
        <f>'PRELIMINARY ANALYSIS'!$C$52</f>
        <v>1.8682485821326367E-3</v>
      </c>
      <c r="C5" s="851"/>
      <c r="D5" s="944"/>
      <c r="E5" s="944"/>
      <c r="F5" s="944"/>
      <c r="G5" s="944"/>
      <c r="H5" s="944"/>
      <c r="I5" s="944"/>
      <c r="J5" s="944"/>
      <c r="K5" s="944"/>
      <c r="L5" s="944"/>
      <c r="M5" s="944"/>
      <c r="N5" s="944"/>
      <c r="O5" s="944"/>
      <c r="P5" s="1903" t="s">
        <v>224</v>
      </c>
      <c r="Q5" s="1904"/>
      <c r="R5" s="1904"/>
      <c r="S5" s="1904"/>
      <c r="T5" s="1904"/>
      <c r="U5" s="1905"/>
      <c r="V5" s="222"/>
      <c r="W5" s="845"/>
      <c r="X5" s="944"/>
      <c r="Y5" s="944"/>
      <c r="Z5" s="944"/>
      <c r="AA5" s="944"/>
      <c r="AB5" s="944"/>
      <c r="AC5" s="944"/>
      <c r="AD5" s="848"/>
      <c r="AE5" s="946"/>
      <c r="AF5" s="946"/>
      <c r="AG5" s="944"/>
      <c r="AH5" s="848"/>
      <c r="AI5" s="946"/>
      <c r="AJ5" s="946"/>
      <c r="AK5" s="944"/>
      <c r="AL5" s="848"/>
      <c r="AM5" s="946"/>
      <c r="AN5" s="946"/>
      <c r="AO5" s="944"/>
      <c r="AP5" s="848"/>
      <c r="AQ5" s="946"/>
      <c r="AR5" s="946"/>
      <c r="AS5" s="944"/>
      <c r="AT5" s="848"/>
      <c r="AU5" s="946"/>
      <c r="AV5" s="946"/>
      <c r="AW5" s="944"/>
      <c r="AX5" s="848"/>
      <c r="AY5" s="946"/>
      <c r="AZ5" s="684" t="s">
        <v>225</v>
      </c>
      <c r="BA5" s="685"/>
      <c r="BB5" s="685"/>
      <c r="BC5" s="685"/>
      <c r="BD5" s="946"/>
      <c r="BE5" s="944"/>
      <c r="BF5" s="848"/>
      <c r="BG5" s="946"/>
      <c r="BH5" s="946"/>
      <c r="BI5" s="944"/>
      <c r="BJ5" s="848"/>
      <c r="BK5" s="946"/>
      <c r="BL5" s="946"/>
      <c r="BM5" s="944"/>
      <c r="BN5" s="848"/>
      <c r="BO5" s="946"/>
      <c r="BP5" s="946"/>
      <c r="BQ5" s="946"/>
      <c r="BR5" s="946"/>
      <c r="BS5" s="944"/>
      <c r="BT5" s="944"/>
      <c r="BU5" s="944"/>
      <c r="BV5" s="944"/>
      <c r="BW5" s="944"/>
      <c r="BX5" s="851"/>
    </row>
    <row r="6" spans="1:87" s="210" customFormat="1" ht="20" thickBot="1" x14ac:dyDescent="0.3">
      <c r="A6" s="1113" t="s">
        <v>96</v>
      </c>
      <c r="B6" s="1906">
        <v>2013</v>
      </c>
      <c r="C6" s="1896"/>
      <c r="D6" s="1906">
        <v>2014</v>
      </c>
      <c r="E6" s="1896"/>
      <c r="F6" s="1906">
        <v>2015</v>
      </c>
      <c r="G6" s="1896"/>
      <c r="H6" s="1906">
        <v>2016</v>
      </c>
      <c r="I6" s="1896"/>
      <c r="J6" s="1906">
        <v>2017</v>
      </c>
      <c r="K6" s="1896"/>
      <c r="L6" s="1906">
        <v>2018</v>
      </c>
      <c r="M6" s="1907"/>
      <c r="N6" s="1896">
        <v>2019</v>
      </c>
      <c r="O6" s="1897"/>
      <c r="P6" s="1898">
        <v>2020</v>
      </c>
      <c r="Q6" s="1899"/>
      <c r="R6" s="1898">
        <v>2021</v>
      </c>
      <c r="S6" s="1899"/>
      <c r="T6" s="1898">
        <v>2022</v>
      </c>
      <c r="U6" s="1899"/>
      <c r="V6" s="1895">
        <v>2023</v>
      </c>
      <c r="W6" s="1897"/>
      <c r="X6" s="1895">
        <v>2024</v>
      </c>
      <c r="Y6" s="1896"/>
      <c r="Z6" s="1896"/>
      <c r="AA6" s="1896"/>
      <c r="AB6" s="1893">
        <v>2025</v>
      </c>
      <c r="AC6" s="1892"/>
      <c r="AD6" s="1892"/>
      <c r="AE6" s="1894"/>
      <c r="AF6" s="1892">
        <v>2026</v>
      </c>
      <c r="AG6" s="1892"/>
      <c r="AH6" s="1892"/>
      <c r="AI6" s="1892"/>
      <c r="AJ6" s="1893">
        <v>2027</v>
      </c>
      <c r="AK6" s="1892"/>
      <c r="AL6" s="1892"/>
      <c r="AM6" s="1894"/>
      <c r="AN6" s="1893">
        <v>2028</v>
      </c>
      <c r="AO6" s="1892"/>
      <c r="AP6" s="1892"/>
      <c r="AQ6" s="1894"/>
      <c r="AR6" s="1893">
        <v>2029</v>
      </c>
      <c r="AS6" s="1892"/>
      <c r="AT6" s="1892"/>
      <c r="AU6" s="1894"/>
      <c r="AV6" s="1893">
        <v>2030</v>
      </c>
      <c r="AW6" s="1892"/>
      <c r="AX6" s="1892"/>
      <c r="AY6" s="1894"/>
      <c r="AZ6" s="1893">
        <v>2031</v>
      </c>
      <c r="BA6" s="1892"/>
      <c r="BB6" s="1892"/>
      <c r="BC6" s="1894"/>
      <c r="BD6" s="1893">
        <v>2032</v>
      </c>
      <c r="BE6" s="1892"/>
      <c r="BF6" s="1892"/>
      <c r="BG6" s="1894"/>
      <c r="BH6" s="1893">
        <v>2033</v>
      </c>
      <c r="BI6" s="1892"/>
      <c r="BJ6" s="1892"/>
      <c r="BK6" s="1894"/>
      <c r="BL6" s="1893">
        <v>2034</v>
      </c>
      <c r="BM6" s="1892"/>
      <c r="BN6" s="1892"/>
      <c r="BO6" s="1894"/>
      <c r="BP6" s="1893">
        <v>2035</v>
      </c>
      <c r="BQ6" s="1892"/>
      <c r="BR6" s="1892"/>
      <c r="BS6" s="1894"/>
      <c r="BT6" s="1893">
        <v>2036</v>
      </c>
      <c r="BU6" s="1892"/>
      <c r="BV6" s="1892"/>
      <c r="BW6" s="1894"/>
      <c r="BX6" s="1190"/>
      <c r="BY6" s="208"/>
      <c r="BZ6" s="208"/>
      <c r="CA6" s="208"/>
      <c r="CB6" s="208"/>
      <c r="CC6" s="208"/>
      <c r="CD6" s="208"/>
      <c r="CE6" s="208"/>
      <c r="CF6" s="208"/>
      <c r="CG6" s="208"/>
      <c r="CH6" s="208"/>
      <c r="CI6" s="209"/>
    </row>
    <row r="7" spans="1:87" ht="17" thickBot="1" x14ac:dyDescent="0.25">
      <c r="A7" s="693" t="s">
        <v>226</v>
      </c>
      <c r="B7" s="1120">
        <v>365</v>
      </c>
      <c r="C7" s="1110"/>
      <c r="D7" s="1155">
        <v>365</v>
      </c>
      <c r="E7" s="1110"/>
      <c r="F7" s="1155">
        <v>365</v>
      </c>
      <c r="G7" s="1110"/>
      <c r="H7" s="1155">
        <v>366</v>
      </c>
      <c r="I7" s="1110"/>
      <c r="J7" s="1155">
        <v>365</v>
      </c>
      <c r="K7" s="1110"/>
      <c r="L7" s="1155">
        <v>365</v>
      </c>
      <c r="M7" s="1121"/>
      <c r="N7" s="1110">
        <v>365</v>
      </c>
      <c r="O7" s="948"/>
      <c r="P7" s="949">
        <v>366</v>
      </c>
      <c r="Q7" s="950"/>
      <c r="R7" s="951">
        <v>365</v>
      </c>
      <c r="S7" s="952"/>
      <c r="T7" s="951">
        <v>365</v>
      </c>
      <c r="U7" s="952"/>
      <c r="V7" s="953">
        <v>365</v>
      </c>
      <c r="W7" s="954"/>
      <c r="X7" s="953">
        <v>366</v>
      </c>
      <c r="Y7" s="955"/>
      <c r="Z7" s="955"/>
      <c r="AA7" s="955"/>
      <c r="AB7" s="693">
        <v>365</v>
      </c>
      <c r="AC7" s="694"/>
      <c r="AD7" s="694"/>
      <c r="AE7" s="695"/>
      <c r="AF7" s="694">
        <v>365</v>
      </c>
      <c r="AG7" s="694"/>
      <c r="AH7" s="694"/>
      <c r="AI7" s="694"/>
      <c r="AJ7" s="693">
        <v>365</v>
      </c>
      <c r="AK7" s="694"/>
      <c r="AL7" s="694"/>
      <c r="AM7" s="695"/>
      <c r="AN7" s="693">
        <v>366</v>
      </c>
      <c r="AO7" s="694"/>
      <c r="AP7" s="694"/>
      <c r="AQ7" s="695"/>
      <c r="AR7" s="693">
        <v>365</v>
      </c>
      <c r="AS7" s="694"/>
      <c r="AT7" s="694"/>
      <c r="AU7" s="695"/>
      <c r="AV7" s="693">
        <v>365</v>
      </c>
      <c r="AW7" s="694"/>
      <c r="AX7" s="694"/>
      <c r="AY7" s="695"/>
      <c r="AZ7" s="693">
        <v>365</v>
      </c>
      <c r="BA7" s="694"/>
      <c r="BB7" s="694"/>
      <c r="BC7" s="695"/>
      <c r="BD7" s="693">
        <v>366</v>
      </c>
      <c r="BE7" s="694"/>
      <c r="BF7" s="694"/>
      <c r="BG7" s="695"/>
      <c r="BH7" s="693">
        <v>365</v>
      </c>
      <c r="BI7" s="694"/>
      <c r="BJ7" s="694"/>
      <c r="BK7" s="695"/>
      <c r="BL7" s="693">
        <v>365</v>
      </c>
      <c r="BM7" s="694"/>
      <c r="BN7" s="694"/>
      <c r="BO7" s="695"/>
      <c r="BP7" s="693">
        <v>365</v>
      </c>
      <c r="BQ7" s="694"/>
      <c r="BR7" s="694"/>
      <c r="BS7" s="695"/>
      <c r="BT7" s="855">
        <v>366</v>
      </c>
      <c r="BU7" s="222"/>
      <c r="BV7" s="222"/>
      <c r="BW7" s="250"/>
      <c r="BX7" s="805"/>
      <c r="CI7" s="211"/>
    </row>
    <row r="8" spans="1:87" x14ac:dyDescent="0.2">
      <c r="A8" s="856" t="s">
        <v>227</v>
      </c>
      <c r="B8" s="1122">
        <f>$B$2*B7</f>
        <v>51830</v>
      </c>
      <c r="C8" s="698"/>
      <c r="D8" s="1122">
        <f t="shared" ref="D8" si="0">$B$2*D7</f>
        <v>51830</v>
      </c>
      <c r="E8" s="698"/>
      <c r="F8" s="1122">
        <f t="shared" ref="F8" si="1">$B$2*F7</f>
        <v>51830</v>
      </c>
      <c r="G8" s="698"/>
      <c r="H8" s="1122">
        <f t="shared" ref="H8" si="2">$B$2*H7</f>
        <v>51972</v>
      </c>
      <c r="I8" s="698"/>
      <c r="J8" s="1122">
        <f t="shared" ref="J8" si="3">$B$2*J7</f>
        <v>51830</v>
      </c>
      <c r="K8" s="698"/>
      <c r="L8" s="1122">
        <f t="shared" ref="L8" si="4">$B$2*L7</f>
        <v>51830</v>
      </c>
      <c r="M8" s="699"/>
      <c r="N8" s="957">
        <f t="shared" ref="N8" si="5">$B$2*N7</f>
        <v>51830</v>
      </c>
      <c r="O8" s="697"/>
      <c r="P8" s="958">
        <f>P7*$B$2</f>
        <v>51972</v>
      </c>
      <c r="Q8" s="959"/>
      <c r="R8" s="958">
        <f>R7*$B$2</f>
        <v>51830</v>
      </c>
      <c r="S8" s="959"/>
      <c r="T8" s="958">
        <f>T7*$B$2</f>
        <v>51830</v>
      </c>
      <c r="U8" s="959"/>
      <c r="V8" s="960">
        <f>V7*$B$2</f>
        <v>51830</v>
      </c>
      <c r="W8" s="961"/>
      <c r="X8" s="960">
        <f>X7*$B$2</f>
        <v>51972</v>
      </c>
      <c r="Y8" s="962"/>
      <c r="Z8" s="962"/>
      <c r="AA8" s="962"/>
      <c r="AB8" s="963">
        <f>AB7*$B$2</f>
        <v>51830</v>
      </c>
      <c r="AC8" s="964"/>
      <c r="AD8" s="964"/>
      <c r="AE8" s="965"/>
      <c r="AF8" s="964">
        <f>B2*AF7-'1-CAPEX'!S15*(31+28)-'1-CAPEX'!T15*(31+31)</f>
        <v>48728</v>
      </c>
      <c r="AG8" s="964"/>
      <c r="AH8" s="964"/>
      <c r="AI8" s="964"/>
      <c r="AJ8" s="963">
        <f>AJ7*$B$2-'1-CAPEX'!U15*(31+31)</f>
        <v>49908</v>
      </c>
      <c r="AK8" s="964"/>
      <c r="AL8" s="964"/>
      <c r="AM8" s="965"/>
      <c r="AN8" s="963">
        <f>AN7*$B$2-'1-CAPEX'!V15*(31+29)-'1-CAPEX'!W15*(31+31)</f>
        <v>48312</v>
      </c>
      <c r="AO8" s="964"/>
      <c r="AP8" s="964"/>
      <c r="AQ8" s="965"/>
      <c r="AR8" s="963">
        <f>AR7*$B$2</f>
        <v>51830</v>
      </c>
      <c r="AS8" s="964"/>
      <c r="AT8" s="964"/>
      <c r="AU8" s="965"/>
      <c r="AV8" s="963">
        <f>AV7*$B$2</f>
        <v>51830</v>
      </c>
      <c r="AW8" s="964"/>
      <c r="AX8" s="964"/>
      <c r="AY8" s="965"/>
      <c r="AZ8" s="963">
        <f t="shared" ref="AZ8" si="6">AZ7*$B$2</f>
        <v>51830</v>
      </c>
      <c r="BA8" s="964"/>
      <c r="BB8" s="964"/>
      <c r="BC8" s="965"/>
      <c r="BD8" s="963">
        <f t="shared" ref="BD8" si="7">BD7*$B$2</f>
        <v>51972</v>
      </c>
      <c r="BE8" s="964"/>
      <c r="BF8" s="964"/>
      <c r="BG8" s="965"/>
      <c r="BH8" s="963">
        <f t="shared" ref="BH8" si="8">BH7*$B$2</f>
        <v>51830</v>
      </c>
      <c r="BI8" s="964"/>
      <c r="BJ8" s="964"/>
      <c r="BK8" s="965"/>
      <c r="BL8" s="963">
        <f>BL7*$B$2</f>
        <v>51830</v>
      </c>
      <c r="BM8" s="964"/>
      <c r="BN8" s="964"/>
      <c r="BO8" s="965"/>
      <c r="BP8" s="741">
        <f>BP7*$B$2</f>
        <v>51830</v>
      </c>
      <c r="BQ8" s="964"/>
      <c r="BR8" s="964"/>
      <c r="BS8" s="965"/>
      <c r="BT8" s="741">
        <f>BT7*$B$2</f>
        <v>51972</v>
      </c>
      <c r="BU8" s="222"/>
      <c r="BV8" s="222"/>
      <c r="BW8" s="250"/>
      <c r="BX8" s="805"/>
      <c r="CI8" s="211"/>
    </row>
    <row r="9" spans="1:87" s="214" customFormat="1" x14ac:dyDescent="0.2">
      <c r="A9" s="741" t="s">
        <v>228</v>
      </c>
      <c r="B9" s="1123">
        <f>B10*B8</f>
        <v>33406</v>
      </c>
      <c r="C9" s="698"/>
      <c r="D9" s="1123">
        <f t="shared" ref="D9" si="9">D10*D8</f>
        <v>28091.86</v>
      </c>
      <c r="E9" s="698"/>
      <c r="F9" s="1123">
        <f t="shared" ref="F9" si="10">F10*F8</f>
        <v>38561.519999999997</v>
      </c>
      <c r="G9" s="698"/>
      <c r="H9" s="1157">
        <f t="shared" ref="H9" si="11">H10*H8</f>
        <v>40174.356</v>
      </c>
      <c r="I9" s="698"/>
      <c r="J9" s="1123">
        <f t="shared" ref="J9" si="12">J10*J8</f>
        <v>37576.75</v>
      </c>
      <c r="K9" s="698"/>
      <c r="L9" s="1123">
        <f t="shared" ref="L9" si="13">L10*L8</f>
        <v>38717.01</v>
      </c>
      <c r="M9" s="699"/>
      <c r="N9" s="962">
        <f t="shared" ref="N9" si="14">N10*N8</f>
        <v>40220.080000000002</v>
      </c>
      <c r="O9" s="697"/>
      <c r="P9" s="966">
        <f>P10*P8</f>
        <v>11122.008</v>
      </c>
      <c r="Q9" s="967"/>
      <c r="R9" s="966">
        <f>R10*R8</f>
        <v>11765.41</v>
      </c>
      <c r="S9" s="967"/>
      <c r="T9" s="966">
        <f>T10*T8</f>
        <v>23738.14</v>
      </c>
      <c r="U9" s="967"/>
      <c r="V9" s="960">
        <f>V10*V8</f>
        <v>32963.879999999997</v>
      </c>
      <c r="W9" s="961"/>
      <c r="X9" s="968">
        <f>X10*X8</f>
        <v>38615.195999999996</v>
      </c>
      <c r="Y9" s="962"/>
      <c r="Z9" s="962"/>
      <c r="AA9" s="962"/>
      <c r="AB9" s="969">
        <f>ROUNDDOWN(AB10*AB8,0)</f>
        <v>38581</v>
      </c>
      <c r="AC9" s="964"/>
      <c r="AD9" s="964"/>
      <c r="AE9" s="965"/>
      <c r="AF9" s="1158">
        <f>ROUNDDOWN(AF10*AF8,0)</f>
        <v>36158</v>
      </c>
      <c r="AG9" s="964"/>
      <c r="AH9" s="964"/>
      <c r="AI9" s="964"/>
      <c r="AJ9" s="969">
        <f>ROUNDDOWN(AJ10*AJ8,0)</f>
        <v>37011</v>
      </c>
      <c r="AK9" s="964"/>
      <c r="AL9" s="964"/>
      <c r="AM9" s="965"/>
      <c r="AN9" s="969">
        <f>ROUNDDOWN(AN10*AN8,0)</f>
        <v>35894</v>
      </c>
      <c r="AO9" s="964"/>
      <c r="AP9" s="964"/>
      <c r="AQ9" s="965"/>
      <c r="AR9" s="963">
        <f>ROUNDDOWN(AR10*AR8,0)</f>
        <v>39735</v>
      </c>
      <c r="AS9" s="964"/>
      <c r="AT9" s="964"/>
      <c r="AU9" s="965"/>
      <c r="AV9" s="963">
        <f>ROUNDDOWN(AV10*AV8,0)</f>
        <v>41399</v>
      </c>
      <c r="AW9" s="964"/>
      <c r="AX9" s="964"/>
      <c r="AY9" s="965"/>
      <c r="AZ9" s="963">
        <f t="shared" ref="AZ9" si="15">ROUNDDOWN(AZ10*AZ8,0)</f>
        <v>41476</v>
      </c>
      <c r="BA9" s="964"/>
      <c r="BB9" s="964"/>
      <c r="BC9" s="965"/>
      <c r="BD9" s="963">
        <f t="shared" ref="BD9" si="16">ROUNDDOWN(BD10*BD8,0)</f>
        <v>41590</v>
      </c>
      <c r="BE9" s="964"/>
      <c r="BF9" s="964"/>
      <c r="BG9" s="965"/>
      <c r="BH9" s="963">
        <f t="shared" ref="BH9" si="17">ROUNDDOWN(BH10*BH8,0)</f>
        <v>41476</v>
      </c>
      <c r="BI9" s="964"/>
      <c r="BJ9" s="964"/>
      <c r="BK9" s="965"/>
      <c r="BL9" s="963">
        <f>ROUNDDOWN(BL10*BL8,0)</f>
        <v>41476</v>
      </c>
      <c r="BM9" s="964"/>
      <c r="BN9" s="964"/>
      <c r="BO9" s="965"/>
      <c r="BP9" s="963">
        <f>ROUNDDOWN(BP10*BP8,0)</f>
        <v>41476</v>
      </c>
      <c r="BQ9" s="964"/>
      <c r="BR9" s="964"/>
      <c r="BS9" s="965"/>
      <c r="BT9" s="963">
        <f>ROUNDDOWN(BT10*BT8,0)</f>
        <v>41590</v>
      </c>
      <c r="BU9" s="222"/>
      <c r="BV9" s="222"/>
      <c r="BW9" s="250"/>
      <c r="BX9" s="805"/>
      <c r="BY9" s="212"/>
      <c r="BZ9" s="212"/>
      <c r="CA9" s="212"/>
      <c r="CB9" s="212"/>
      <c r="CC9" s="212"/>
      <c r="CD9" s="212"/>
      <c r="CE9" s="212"/>
      <c r="CF9" s="212"/>
      <c r="CG9" s="212"/>
      <c r="CH9" s="212"/>
      <c r="CI9" s="213"/>
    </row>
    <row r="10" spans="1:87" s="207" customFormat="1" x14ac:dyDescent="0.2">
      <c r="A10" s="741" t="s">
        <v>229</v>
      </c>
      <c r="B10" s="1124">
        <v>0.64453019486783714</v>
      </c>
      <c r="C10" s="1056"/>
      <c r="D10" s="1124">
        <v>0.54200000000000004</v>
      </c>
      <c r="E10" s="1056"/>
      <c r="F10" s="1124">
        <v>0.74399999999999999</v>
      </c>
      <c r="G10" s="1056"/>
      <c r="H10" s="1124">
        <v>0.77300000000000002</v>
      </c>
      <c r="I10" s="1056"/>
      <c r="J10" s="1124">
        <v>0.72499999999999998</v>
      </c>
      <c r="K10" s="1056"/>
      <c r="L10" s="1124">
        <v>0.747</v>
      </c>
      <c r="M10" s="1125"/>
      <c r="N10" s="970">
        <v>0.77600000000000002</v>
      </c>
      <c r="O10" s="971"/>
      <c r="P10" s="972">
        <v>0.214</v>
      </c>
      <c r="Q10" s="973"/>
      <c r="R10" s="972">
        <v>0.22700000000000001</v>
      </c>
      <c r="S10" s="973"/>
      <c r="T10" s="974">
        <v>0.45800000000000002</v>
      </c>
      <c r="U10" s="975"/>
      <c r="V10" s="976">
        <v>0.63600000000000001</v>
      </c>
      <c r="W10" s="977"/>
      <c r="X10" s="976">
        <v>0.74299999999999999</v>
      </c>
      <c r="Y10" s="978"/>
      <c r="Z10" s="978"/>
      <c r="AA10" s="978"/>
      <c r="AB10" s="979">
        <f>X10*(1+$B$5)</f>
        <v>0.7443881086965245</v>
      </c>
      <c r="AC10" s="980"/>
      <c r="AD10" s="980"/>
      <c r="AE10" s="1172"/>
      <c r="AF10" s="981">
        <f>AB10*(1+$B$5+AG10)</f>
        <v>0.74205687018167055</v>
      </c>
      <c r="AG10" s="990">
        <v>-5.0000000000000001E-3</v>
      </c>
      <c r="AH10" s="982"/>
      <c r="AI10" s="982"/>
      <c r="AJ10" s="1518">
        <f>AF10*(1+$B$5+AK10)</f>
        <v>0.74158807470179511</v>
      </c>
      <c r="AK10" s="990">
        <v>-2.5000000000000001E-3</v>
      </c>
      <c r="AL10" s="982"/>
      <c r="AM10" s="983"/>
      <c r="AN10" s="1519">
        <f>AJ10*(1+$B$5+AO10)</f>
        <v>0.74297354557088324</v>
      </c>
      <c r="AO10" s="990">
        <v>0</v>
      </c>
      <c r="AP10" s="982"/>
      <c r="AQ10" s="983"/>
      <c r="AR10" s="979">
        <f>AN10*(1+$B$5+AS10)</f>
        <v>0.76665081121108458</v>
      </c>
      <c r="AS10" s="982">
        <v>0.03</v>
      </c>
      <c r="AT10" s="982"/>
      <c r="AU10" s="983"/>
      <c r="AV10" s="1518">
        <f>AR10*(1+$B$5+AW10)</f>
        <v>0.7987491379505639</v>
      </c>
      <c r="AW10" s="982">
        <v>0.04</v>
      </c>
      <c r="AX10" s="982"/>
      <c r="AY10" s="983"/>
      <c r="AZ10" s="979">
        <f>AV10*(1+$B$5)</f>
        <v>0.80024139989501974</v>
      </c>
      <c r="BA10" s="982"/>
      <c r="BB10" s="982"/>
      <c r="BC10" s="983"/>
      <c r="BD10" s="979">
        <f>AZ10</f>
        <v>0.80024139989501974</v>
      </c>
      <c r="BE10" s="980"/>
      <c r="BF10" s="980"/>
      <c r="BG10" s="1172"/>
      <c r="BH10" s="979">
        <f>BD10</f>
        <v>0.80024139989501974</v>
      </c>
      <c r="BI10" s="980"/>
      <c r="BJ10" s="980"/>
      <c r="BK10" s="1172"/>
      <c r="BL10" s="979">
        <f>BH10</f>
        <v>0.80024139989501974</v>
      </c>
      <c r="BM10" s="980"/>
      <c r="BN10" s="980"/>
      <c r="BO10" s="1172"/>
      <c r="BP10" s="979">
        <f>BL10</f>
        <v>0.80024139989501974</v>
      </c>
      <c r="BQ10" s="980"/>
      <c r="BR10" s="980"/>
      <c r="BS10" s="1172"/>
      <c r="BT10" s="979">
        <f>BP10</f>
        <v>0.80024139989501974</v>
      </c>
      <c r="BU10" s="1055"/>
      <c r="BV10" s="222"/>
      <c r="BW10" s="908"/>
      <c r="BX10" s="805"/>
      <c r="BY10" s="212"/>
      <c r="BZ10" s="212"/>
      <c r="CA10" s="212"/>
      <c r="CB10" s="212"/>
      <c r="CC10" s="212"/>
      <c r="CD10" s="212"/>
      <c r="CE10" s="212"/>
      <c r="CF10" s="212"/>
      <c r="CG10" s="212"/>
      <c r="CH10" s="212"/>
    </row>
    <row r="11" spans="1:87" s="206" customFormat="1" x14ac:dyDescent="0.2">
      <c r="A11" s="857" t="s">
        <v>131</v>
      </c>
      <c r="B11" s="1126">
        <v>112.49476142010417</v>
      </c>
      <c r="C11" s="1057"/>
      <c r="D11" s="1126">
        <v>116</v>
      </c>
      <c r="E11" s="1057"/>
      <c r="F11" s="1126">
        <v>115</v>
      </c>
      <c r="G11" s="1057"/>
      <c r="H11" s="1126">
        <v>117.25</v>
      </c>
      <c r="I11" s="1057"/>
      <c r="J11" s="1126">
        <v>125.93</v>
      </c>
      <c r="K11" s="1057"/>
      <c r="L11" s="1126">
        <v>126.6</v>
      </c>
      <c r="M11" s="1127"/>
      <c r="N11" s="984">
        <v>125.6</v>
      </c>
      <c r="O11" s="985"/>
      <c r="P11" s="986">
        <v>108.9</v>
      </c>
      <c r="Q11" s="987"/>
      <c r="R11" s="986">
        <v>115.4</v>
      </c>
      <c r="S11" s="987"/>
      <c r="T11" s="988">
        <v>121.7</v>
      </c>
      <c r="U11" s="989"/>
      <c r="V11" s="721">
        <v>127.12</v>
      </c>
      <c r="W11" s="722"/>
      <c r="X11" s="721">
        <v>119.69</v>
      </c>
      <c r="Y11" s="723"/>
      <c r="Z11" s="723"/>
      <c r="AA11" s="723"/>
      <c r="AB11" s="725">
        <f>X11*(1+$B$4)</f>
        <v>120.64994404825795</v>
      </c>
      <c r="AC11" s="1490"/>
      <c r="AD11" s="726"/>
      <c r="AE11" s="728"/>
      <c r="AF11" s="727">
        <f>AB11*(1+$B$4+AG11)</f>
        <v>126.44358485231193</v>
      </c>
      <c r="AG11" s="990">
        <v>0.04</v>
      </c>
      <c r="AH11" s="991"/>
      <c r="AI11" s="991"/>
      <c r="AJ11" s="1659">
        <f>AF11*(1+$B$4+AK11)</f>
        <v>133.77987360047834</v>
      </c>
      <c r="AK11" s="990">
        <v>0.05</v>
      </c>
      <c r="AL11" s="991"/>
      <c r="AM11" s="1187"/>
      <c r="AN11" s="1659">
        <f>AJ11*(1+$B$4+AO11)</f>
        <v>146.89301061987172</v>
      </c>
      <c r="AO11" s="990">
        <v>0.09</v>
      </c>
      <c r="AP11" s="991"/>
      <c r="AQ11" s="1187"/>
      <c r="AR11" s="725">
        <f>AN11*(1+$B$4+AS11)</f>
        <v>161.29150064388006</v>
      </c>
      <c r="AS11" s="990">
        <v>0.09</v>
      </c>
      <c r="AT11" s="991"/>
      <c r="AU11" s="1187"/>
      <c r="AV11" s="725">
        <f>AR11*(1+$B$4)</f>
        <v>162.58509924090308</v>
      </c>
      <c r="AW11" s="991"/>
      <c r="AX11" s="991"/>
      <c r="AY11" s="1187"/>
      <c r="AZ11" s="725">
        <f>AV11*(1+$B$4)</f>
        <v>163.88907282559464</v>
      </c>
      <c r="BA11" s="726"/>
      <c r="BB11" s="726"/>
      <c r="BC11" s="728"/>
      <c r="BD11" s="725">
        <f>AZ11*(1+$B$4)</f>
        <v>165.20350460797783</v>
      </c>
      <c r="BE11" s="726"/>
      <c r="BF11" s="726"/>
      <c r="BG11" s="728"/>
      <c r="BH11" s="725">
        <f>BD11*(1+$B$4)</f>
        <v>166.52847846544114</v>
      </c>
      <c r="BI11" s="726"/>
      <c r="BJ11" s="726"/>
      <c r="BK11" s="728"/>
      <c r="BL11" s="725">
        <f>BH11*(1+$B$4)</f>
        <v>167.86407894809093</v>
      </c>
      <c r="BM11" s="726"/>
      <c r="BN11" s="726"/>
      <c r="BO11" s="728"/>
      <c r="BP11" s="725">
        <f>BL11*(1+$B$4)</f>
        <v>169.21039128414677</v>
      </c>
      <c r="BQ11" s="726"/>
      <c r="BR11" s="726"/>
      <c r="BS11" s="728"/>
      <c r="BT11" s="725">
        <f>BP11*(1+$B$4)</f>
        <v>170.5675013853801</v>
      </c>
      <c r="BU11" s="225"/>
      <c r="BV11" s="222"/>
      <c r="BW11" s="909"/>
      <c r="BX11" s="805"/>
      <c r="BY11" s="212"/>
      <c r="BZ11" s="212"/>
      <c r="CA11" s="212"/>
      <c r="CB11" s="212"/>
      <c r="CC11" s="212"/>
      <c r="CD11" s="212"/>
      <c r="CE11" s="212"/>
      <c r="CF11" s="212"/>
      <c r="CG11" s="212"/>
      <c r="CH11" s="212"/>
      <c r="CI11" s="215"/>
    </row>
    <row r="12" spans="1:87" s="206" customFormat="1" x14ac:dyDescent="0.2">
      <c r="A12" s="284" t="s">
        <v>230</v>
      </c>
      <c r="B12" s="1126">
        <v>72.506270499710581</v>
      </c>
      <c r="C12" s="1057"/>
      <c r="D12" s="1126">
        <v>62.872000000000007</v>
      </c>
      <c r="E12" s="1057"/>
      <c r="F12" s="1126">
        <v>85.56</v>
      </c>
      <c r="G12" s="1057"/>
      <c r="H12" s="1126">
        <v>90.634250000000009</v>
      </c>
      <c r="I12" s="1057"/>
      <c r="J12" s="1126">
        <v>91.299250000000001</v>
      </c>
      <c r="K12" s="1057"/>
      <c r="L12" s="1126">
        <v>94.5702</v>
      </c>
      <c r="M12" s="1127"/>
      <c r="N12" s="984">
        <v>97.465599999999995</v>
      </c>
      <c r="O12" s="985"/>
      <c r="P12" s="986">
        <v>23.304600000000001</v>
      </c>
      <c r="Q12" s="987"/>
      <c r="R12" s="986">
        <v>26.195800000000002</v>
      </c>
      <c r="S12" s="987"/>
      <c r="T12" s="988">
        <v>55.738600000000005</v>
      </c>
      <c r="U12" s="989"/>
      <c r="V12" s="721">
        <v>80.848320000000001</v>
      </c>
      <c r="W12" s="722"/>
      <c r="X12" s="721">
        <v>88.929670000000002</v>
      </c>
      <c r="Y12" s="723"/>
      <c r="Z12" s="723"/>
      <c r="AA12" s="723"/>
      <c r="AB12" s="725">
        <f>AB10*AB11</f>
        <v>89.810383664424236</v>
      </c>
      <c r="AC12" s="726"/>
      <c r="AD12" s="726"/>
      <c r="AE12" s="728"/>
      <c r="AF12" s="726">
        <f>AF10*AF11</f>
        <v>93.828330830057084</v>
      </c>
      <c r="AG12" s="713"/>
      <c r="AH12" s="726"/>
      <c r="AI12" s="726"/>
      <c r="AJ12" s="725">
        <f>AJ10*AJ11</f>
        <v>99.209558897228234</v>
      </c>
      <c r="AK12" s="726"/>
      <c r="AL12" s="726"/>
      <c r="AM12" s="728"/>
      <c r="AN12" s="725">
        <f>AN10*AN11</f>
        <v>109.1376209198275</v>
      </c>
      <c r="AO12" s="726"/>
      <c r="AP12" s="726"/>
      <c r="AQ12" s="728"/>
      <c r="AR12" s="725">
        <f>AR10*AR11</f>
        <v>123.65425981008381</v>
      </c>
      <c r="AS12" s="726"/>
      <c r="AT12" s="726"/>
      <c r="AU12" s="728"/>
      <c r="AV12" s="725">
        <f>AV10*AV11</f>
        <v>129.86470786227821</v>
      </c>
      <c r="AW12" s="726"/>
      <c r="AX12" s="726"/>
      <c r="AY12" s="728"/>
      <c r="AZ12" s="725">
        <f t="shared" ref="AZ12" si="18">AZ10*AZ11</f>
        <v>131.15082106545069</v>
      </c>
      <c r="BA12" s="726"/>
      <c r="BB12" s="726"/>
      <c r="BC12" s="728"/>
      <c r="BD12" s="725">
        <f t="shared" ref="BD12" si="19">BD10*BD11</f>
        <v>132.20268379505151</v>
      </c>
      <c r="BE12" s="726"/>
      <c r="BF12" s="726"/>
      <c r="BG12" s="728"/>
      <c r="BH12" s="725">
        <f t="shared" ref="BH12" si="20">BH10*BH11</f>
        <v>133.26298272957226</v>
      </c>
      <c r="BI12" s="726"/>
      <c r="BJ12" s="726"/>
      <c r="BK12" s="728"/>
      <c r="BL12" s="725">
        <f>BL10*BL11</f>
        <v>134.33178552950841</v>
      </c>
      <c r="BM12" s="726"/>
      <c r="BN12" s="726"/>
      <c r="BO12" s="728"/>
      <c r="BP12" s="725">
        <f>BP10*BP11</f>
        <v>135.40916039800965</v>
      </c>
      <c r="BQ12" s="726"/>
      <c r="BR12" s="726"/>
      <c r="BS12" s="728"/>
      <c r="BT12" s="725">
        <f>BT10*BT11</f>
        <v>136.49517608523229</v>
      </c>
      <c r="BU12" s="225"/>
      <c r="BV12" s="222"/>
      <c r="BW12" s="909"/>
      <c r="BX12" s="805"/>
      <c r="BY12" s="212"/>
      <c r="BZ12" s="212"/>
      <c r="CA12" s="212"/>
      <c r="CB12" s="212"/>
      <c r="CC12" s="212"/>
      <c r="CD12" s="212"/>
      <c r="CE12" s="212"/>
      <c r="CF12" s="212"/>
      <c r="CG12" s="212"/>
      <c r="CH12" s="212"/>
      <c r="CI12" s="215"/>
    </row>
    <row r="13" spans="1:87" x14ac:dyDescent="0.2">
      <c r="A13" s="855" t="s">
        <v>231</v>
      </c>
      <c r="B13" s="1128"/>
      <c r="C13" s="1058"/>
      <c r="D13" s="1128"/>
      <c r="E13" s="1058"/>
      <c r="F13" s="1128"/>
      <c r="G13" s="1058"/>
      <c r="H13" s="1128"/>
      <c r="I13" s="1058"/>
      <c r="J13" s="1128"/>
      <c r="K13" s="1058"/>
      <c r="L13" s="1128"/>
      <c r="M13" s="1129"/>
      <c r="N13" s="992"/>
      <c r="O13" s="993"/>
      <c r="P13" s="994"/>
      <c r="Q13" s="995"/>
      <c r="R13" s="994"/>
      <c r="S13" s="995"/>
      <c r="T13" s="996"/>
      <c r="U13" s="997"/>
      <c r="V13" s="737"/>
      <c r="W13" s="738"/>
      <c r="X13" s="737"/>
      <c r="Y13" s="739"/>
      <c r="Z13" s="739"/>
      <c r="AA13" s="739"/>
      <c r="AB13" s="741"/>
      <c r="AC13" s="742"/>
      <c r="AD13" s="742"/>
      <c r="AE13" s="743"/>
      <c r="AF13" s="742"/>
      <c r="AG13" s="998"/>
      <c r="AH13" s="742"/>
      <c r="AI13" s="742"/>
      <c r="AJ13" s="741"/>
      <c r="AK13" s="742"/>
      <c r="AL13" s="742"/>
      <c r="AM13" s="743"/>
      <c r="AN13" s="741"/>
      <c r="AO13" s="742"/>
      <c r="AP13" s="742"/>
      <c r="AQ13" s="743"/>
      <c r="AR13" s="741"/>
      <c r="AS13" s="742"/>
      <c r="AT13" s="742"/>
      <c r="AU13" s="743"/>
      <c r="AV13" s="741"/>
      <c r="AW13" s="742"/>
      <c r="AX13" s="742"/>
      <c r="AY13" s="743"/>
      <c r="AZ13" s="741"/>
      <c r="BA13" s="742"/>
      <c r="BB13" s="742"/>
      <c r="BC13" s="743"/>
      <c r="BD13" s="741"/>
      <c r="BE13" s="742"/>
      <c r="BF13" s="742"/>
      <c r="BG13" s="743"/>
      <c r="BH13" s="857"/>
      <c r="BI13" s="999"/>
      <c r="BJ13" s="999"/>
      <c r="BK13" s="1000"/>
      <c r="BL13" s="857"/>
      <c r="BM13" s="999"/>
      <c r="BN13" s="999"/>
      <c r="BO13" s="1000"/>
      <c r="BP13" s="741"/>
      <c r="BQ13" s="999"/>
      <c r="BR13" s="999"/>
      <c r="BS13" s="1000"/>
      <c r="BT13" s="741"/>
      <c r="BU13" s="222"/>
      <c r="BV13" s="222"/>
      <c r="BW13" s="250"/>
      <c r="BX13" s="805"/>
      <c r="CI13" s="211"/>
    </row>
    <row r="14" spans="1:87" x14ac:dyDescent="0.2">
      <c r="A14" s="678"/>
      <c r="B14" s="1130"/>
      <c r="C14" s="1146"/>
      <c r="D14" s="1130"/>
      <c r="E14" s="1146"/>
      <c r="F14" s="1130"/>
      <c r="G14" s="1156"/>
      <c r="H14" s="1130"/>
      <c r="I14" s="1146"/>
      <c r="J14" s="1130"/>
      <c r="K14" s="1146"/>
      <c r="L14" s="1130"/>
      <c r="M14" s="1131"/>
      <c r="N14" s="1001"/>
      <c r="O14" s="1002"/>
      <c r="P14" s="996"/>
      <c r="Q14" s="997"/>
      <c r="R14" s="996"/>
      <c r="S14" s="997"/>
      <c r="T14" s="996"/>
      <c r="U14" s="997"/>
      <c r="V14" s="737"/>
      <c r="W14" s="738"/>
      <c r="X14" s="737"/>
      <c r="Y14" s="739"/>
      <c r="Z14" s="739"/>
      <c r="AA14" s="739"/>
      <c r="AB14" s="1003"/>
      <c r="AC14" s="742"/>
      <c r="AD14" s="742"/>
      <c r="AE14" s="743"/>
      <c r="AF14" s="742"/>
      <c r="AG14" s="742"/>
      <c r="AH14" s="742"/>
      <c r="AI14" s="742"/>
      <c r="AJ14" s="745"/>
      <c r="AK14" s="746"/>
      <c r="AL14" s="747"/>
      <c r="AM14" s="910"/>
      <c r="AN14" s="741"/>
      <c r="AO14" s="742"/>
      <c r="AP14" s="742"/>
      <c r="AQ14" s="743"/>
      <c r="AR14" s="745"/>
      <c r="AS14" s="746"/>
      <c r="AT14" s="747"/>
      <c r="AU14" s="910"/>
      <c r="AV14" s="741"/>
      <c r="AW14" s="742"/>
      <c r="AX14" s="742"/>
      <c r="AY14" s="743"/>
      <c r="AZ14" s="745"/>
      <c r="BA14" s="746"/>
      <c r="BB14" s="747"/>
      <c r="BC14" s="910"/>
      <c r="BD14" s="741"/>
      <c r="BE14" s="742"/>
      <c r="BF14" s="742"/>
      <c r="BG14" s="743"/>
      <c r="BH14" s="284"/>
      <c r="BI14" s="746"/>
      <c r="BJ14" s="747"/>
      <c r="BK14" s="910"/>
      <c r="BL14" s="284"/>
      <c r="BM14" s="746"/>
      <c r="BN14" s="747"/>
      <c r="BO14" s="910"/>
      <c r="BP14" s="745"/>
      <c r="BQ14" s="746"/>
      <c r="BS14" s="910"/>
      <c r="BT14" s="741"/>
      <c r="BU14" s="712"/>
      <c r="BV14" s="222"/>
      <c r="BW14" s="250"/>
      <c r="BX14" s="805"/>
      <c r="CI14" s="211"/>
    </row>
    <row r="15" spans="1:87" ht="17" thickBot="1" x14ac:dyDescent="0.25">
      <c r="A15" s="518"/>
      <c r="B15" s="870" t="s">
        <v>232</v>
      </c>
      <c r="C15" s="754" t="s">
        <v>233</v>
      </c>
      <c r="D15" s="870" t="s">
        <v>232</v>
      </c>
      <c r="E15" s="754" t="s">
        <v>233</v>
      </c>
      <c r="F15" s="870" t="s">
        <v>232</v>
      </c>
      <c r="G15" s="754" t="s">
        <v>233</v>
      </c>
      <c r="H15" s="870" t="s">
        <v>232</v>
      </c>
      <c r="I15" s="754" t="s">
        <v>233</v>
      </c>
      <c r="J15" s="870" t="s">
        <v>232</v>
      </c>
      <c r="K15" s="754" t="s">
        <v>233</v>
      </c>
      <c r="L15" s="870" t="s">
        <v>232</v>
      </c>
      <c r="M15" s="871" t="s">
        <v>233</v>
      </c>
      <c r="N15" s="749" t="s">
        <v>232</v>
      </c>
      <c r="O15" s="750" t="s">
        <v>233</v>
      </c>
      <c r="P15" s="1004" t="s">
        <v>232</v>
      </c>
      <c r="Q15" s="1005" t="s">
        <v>233</v>
      </c>
      <c r="R15" s="1004" t="s">
        <v>232</v>
      </c>
      <c r="S15" s="1005" t="s">
        <v>233</v>
      </c>
      <c r="T15" s="1004" t="s">
        <v>232</v>
      </c>
      <c r="U15" s="1005" t="s">
        <v>233</v>
      </c>
      <c r="V15" s="751" t="s">
        <v>232</v>
      </c>
      <c r="W15" s="750" t="s">
        <v>233</v>
      </c>
      <c r="X15" s="751" t="s">
        <v>232</v>
      </c>
      <c r="Y15" s="750" t="s">
        <v>233</v>
      </c>
      <c r="Z15" s="750" t="s">
        <v>234</v>
      </c>
      <c r="AA15" s="754" t="s">
        <v>155</v>
      </c>
      <c r="AB15" s="755" t="s">
        <v>232</v>
      </c>
      <c r="AC15" s="756" t="s">
        <v>233</v>
      </c>
      <c r="AD15" s="757" t="s">
        <v>234</v>
      </c>
      <c r="AE15" s="911" t="s">
        <v>155</v>
      </c>
      <c r="AF15" s="900" t="s">
        <v>232</v>
      </c>
      <c r="AG15" s="756" t="s">
        <v>233</v>
      </c>
      <c r="AH15" s="757" t="s">
        <v>234</v>
      </c>
      <c r="AI15" s="758" t="s">
        <v>155</v>
      </c>
      <c r="AJ15" s="755" t="s">
        <v>232</v>
      </c>
      <c r="AK15" s="756" t="s">
        <v>233</v>
      </c>
      <c r="AL15" s="757" t="s">
        <v>234</v>
      </c>
      <c r="AM15" s="911" t="s">
        <v>155</v>
      </c>
      <c r="AN15" s="755" t="s">
        <v>232</v>
      </c>
      <c r="AO15" s="756" t="s">
        <v>233</v>
      </c>
      <c r="AP15" s="757" t="s">
        <v>234</v>
      </c>
      <c r="AQ15" s="911" t="s">
        <v>155</v>
      </c>
      <c r="AR15" s="755" t="s">
        <v>232</v>
      </c>
      <c r="AS15" s="756" t="s">
        <v>233</v>
      </c>
      <c r="AT15" s="757" t="s">
        <v>234</v>
      </c>
      <c r="AU15" s="911" t="s">
        <v>155</v>
      </c>
      <c r="AV15" s="755" t="s">
        <v>232</v>
      </c>
      <c r="AW15" s="756" t="s">
        <v>233</v>
      </c>
      <c r="AX15" s="757" t="s">
        <v>234</v>
      </c>
      <c r="AY15" s="911" t="s">
        <v>155</v>
      </c>
      <c r="AZ15" s="755" t="s">
        <v>232</v>
      </c>
      <c r="BA15" s="756" t="s">
        <v>233</v>
      </c>
      <c r="BB15" s="757" t="s">
        <v>234</v>
      </c>
      <c r="BC15" s="911" t="s">
        <v>155</v>
      </c>
      <c r="BD15" s="755" t="s">
        <v>232</v>
      </c>
      <c r="BE15" s="756" t="s">
        <v>233</v>
      </c>
      <c r="BF15" s="757" t="s">
        <v>234</v>
      </c>
      <c r="BG15" s="911" t="s">
        <v>155</v>
      </c>
      <c r="BH15" s="755" t="s">
        <v>232</v>
      </c>
      <c r="BI15" s="756" t="s">
        <v>233</v>
      </c>
      <c r="BJ15" s="757" t="s">
        <v>234</v>
      </c>
      <c r="BK15" s="911" t="s">
        <v>155</v>
      </c>
      <c r="BL15" s="755" t="s">
        <v>232</v>
      </c>
      <c r="BM15" s="756" t="s">
        <v>233</v>
      </c>
      <c r="BN15" s="757" t="s">
        <v>234</v>
      </c>
      <c r="BO15" s="911" t="s">
        <v>155</v>
      </c>
      <c r="BP15" s="755" t="s">
        <v>232</v>
      </c>
      <c r="BQ15" s="756" t="s">
        <v>233</v>
      </c>
      <c r="BR15" s="757" t="s">
        <v>234</v>
      </c>
      <c r="BS15" s="911" t="s">
        <v>155</v>
      </c>
      <c r="BT15" s="924" t="s">
        <v>232</v>
      </c>
      <c r="BU15" s="926" t="s">
        <v>233</v>
      </c>
      <c r="BV15" s="267" t="s">
        <v>234</v>
      </c>
      <c r="BW15" s="1191" t="s">
        <v>155</v>
      </c>
      <c r="BX15" s="805"/>
      <c r="BZ15" s="217"/>
      <c r="CI15" s="211"/>
    </row>
    <row r="16" spans="1:87" x14ac:dyDescent="0.2">
      <c r="A16" s="858" t="s">
        <v>235</v>
      </c>
      <c r="B16" s="764"/>
      <c r="C16" s="763"/>
      <c r="D16" s="764"/>
      <c r="E16" s="763"/>
      <c r="F16" s="764"/>
      <c r="G16" s="763"/>
      <c r="H16" s="764"/>
      <c r="I16" s="763"/>
      <c r="J16" s="764"/>
      <c r="K16" s="763"/>
      <c r="L16" s="764"/>
      <c r="M16" s="872"/>
      <c r="N16" s="759"/>
      <c r="O16" s="760"/>
      <c r="P16" s="761"/>
      <c r="Q16" s="760"/>
      <c r="R16" s="761"/>
      <c r="S16" s="760"/>
      <c r="T16" s="761"/>
      <c r="U16" s="760"/>
      <c r="V16" s="761"/>
      <c r="W16" s="760"/>
      <c r="X16" s="761"/>
      <c r="Y16" s="762"/>
      <c r="Z16" s="762"/>
      <c r="AA16" s="763"/>
      <c r="AB16" s="764"/>
      <c r="AC16" s="765"/>
      <c r="AD16" s="762"/>
      <c r="AE16" s="872"/>
      <c r="AF16" s="1159"/>
      <c r="AG16" s="765"/>
      <c r="AH16" s="762"/>
      <c r="AI16" s="763"/>
      <c r="AJ16" s="764"/>
      <c r="AK16" s="765"/>
      <c r="AL16" s="762"/>
      <c r="AM16" s="872"/>
      <c r="AN16" s="764"/>
      <c r="AO16" s="765"/>
      <c r="AP16" s="762"/>
      <c r="AQ16" s="872"/>
      <c r="AR16" s="764"/>
      <c r="AS16" s="765"/>
      <c r="AT16" s="762"/>
      <c r="AU16" s="872"/>
      <c r="AV16" s="764"/>
      <c r="AW16" s="765"/>
      <c r="AX16" s="762"/>
      <c r="AY16" s="872"/>
      <c r="AZ16" s="764"/>
      <c r="BA16" s="765"/>
      <c r="BB16" s="762"/>
      <c r="BC16" s="872"/>
      <c r="BD16" s="764"/>
      <c r="BE16" s="765"/>
      <c r="BF16" s="762"/>
      <c r="BG16" s="872"/>
      <c r="BH16" s="764"/>
      <c r="BI16" s="765"/>
      <c r="BJ16" s="762"/>
      <c r="BK16" s="872"/>
      <c r="BL16" s="764"/>
      <c r="BM16" s="765"/>
      <c r="BN16" s="762"/>
      <c r="BO16" s="872"/>
      <c r="BP16" s="764"/>
      <c r="BQ16" s="765"/>
      <c r="BR16" s="762"/>
      <c r="BS16" s="872"/>
      <c r="BT16" s="764"/>
      <c r="BU16" s="765"/>
      <c r="BV16" s="762"/>
      <c r="BW16" s="872"/>
      <c r="BX16" s="805"/>
      <c r="CI16" s="211"/>
    </row>
    <row r="17" spans="1:87" x14ac:dyDescent="0.2">
      <c r="A17" s="741" t="s">
        <v>138</v>
      </c>
      <c r="B17" s="1132">
        <v>3758000</v>
      </c>
      <c r="C17" s="1147">
        <f>B17/$B$21</f>
        <v>0.66031281045508172</v>
      </c>
      <c r="D17" s="1132">
        <v>3258000</v>
      </c>
      <c r="E17" s="1147">
        <f>D17/$D$21</f>
        <v>0.6585201245811737</v>
      </c>
      <c r="F17" s="1132">
        <v>4433000</v>
      </c>
      <c r="G17" s="1147">
        <f>F17/$F$21</f>
        <v>0.70170162247724577</v>
      </c>
      <c r="H17" s="1132">
        <v>4712000</v>
      </c>
      <c r="I17" s="1147">
        <f>H17/$H$21</f>
        <v>0.70890616020196007</v>
      </c>
      <c r="J17" s="1132">
        <v>4734000</v>
      </c>
      <c r="K17" s="1147">
        <f>J17/$J$21</f>
        <v>0.72250100728911026</v>
      </c>
      <c r="L17" s="1132">
        <v>4903000</v>
      </c>
      <c r="M17" s="874">
        <f>L17/$L$21</f>
        <v>0.73018246370681905</v>
      </c>
      <c r="N17" s="1111">
        <v>5038000</v>
      </c>
      <c r="O17" s="766">
        <f>N17/$N$21</f>
        <v>0.74406651996041884</v>
      </c>
      <c r="P17" s="1006">
        <v>1207877.4180000001</v>
      </c>
      <c r="Q17" s="766">
        <f>P17/$P$21</f>
        <v>0.75377509563371914</v>
      </c>
      <c r="R17" s="1006">
        <v>1357728.314</v>
      </c>
      <c r="S17" s="766">
        <f>R17/$R$21</f>
        <v>0.7056879509089935</v>
      </c>
      <c r="T17" s="1006">
        <v>2888931.6380000003</v>
      </c>
      <c r="U17" s="766">
        <f>T17/$T$21</f>
        <v>0.68502384621590273</v>
      </c>
      <c r="V17" s="1006">
        <v>4194000</v>
      </c>
      <c r="W17" s="766">
        <f>V17/$V$21</f>
        <v>0.7599980791655605</v>
      </c>
      <c r="X17" s="1006">
        <v>4623000</v>
      </c>
      <c r="Y17" s="746">
        <f>X17/X$21</f>
        <v>0.73457266318739067</v>
      </c>
      <c r="Z17" s="768">
        <f>X17/$X$9</f>
        <v>119.71970827235994</v>
      </c>
      <c r="AA17" s="769">
        <f>X17/$B$2</f>
        <v>32556.338028169015</v>
      </c>
      <c r="AB17" s="770">
        <f>AB9*AB11</f>
        <v>4654795.4913258404</v>
      </c>
      <c r="AC17" s="771">
        <f>Y17</f>
        <v>0.73457266318739067</v>
      </c>
      <c r="AD17" s="747">
        <f>AB17/$AB$9</f>
        <v>120.64994404825796</v>
      </c>
      <c r="AE17" s="1173">
        <f>AB17/$B$2</f>
        <v>32780.24993891437</v>
      </c>
      <c r="AF17" s="1496">
        <f>AF9*AF11</f>
        <v>4571947.1410898948</v>
      </c>
      <c r="AG17" s="1007">
        <f>AF17/$AF$21</f>
        <v>0.62484956644328504</v>
      </c>
      <c r="AH17" s="1008">
        <f>AF17/AF$9</f>
        <v>126.44358485231193</v>
      </c>
      <c r="AI17" s="1501">
        <f t="shared" ref="AI17:AI36" si="21">AF17/$B$2</f>
        <v>32196.810852745737</v>
      </c>
      <c r="AJ17" s="1520">
        <f>AJ9*AJ11</f>
        <v>4951326.9018273037</v>
      </c>
      <c r="AK17" s="1007">
        <f t="shared" ref="AK17:AK18" si="22">AJ17/AJ$21</f>
        <v>0.64005618878574067</v>
      </c>
      <c r="AL17" s="1008">
        <f>AJ17/AJ$9</f>
        <v>133.77987360047834</v>
      </c>
      <c r="AM17" s="1173">
        <f t="shared" ref="AM17:AM20" si="23">AJ17/$B$2</f>
        <v>34868.499308642982</v>
      </c>
      <c r="AN17" s="770">
        <f>AN9*AN11</f>
        <v>5272577.7231896752</v>
      </c>
      <c r="AO17" s="1007">
        <f>AN17/AN$21</f>
        <v>0.62910178886355317</v>
      </c>
      <c r="AP17" s="1008">
        <f t="shared" ref="AP17:AP18" si="24">AN17/AN$9</f>
        <v>146.89301061987172</v>
      </c>
      <c r="AQ17" s="1180">
        <f t="shared" ref="AQ17:AQ41" si="25">AN17/$B$2</f>
        <v>37130.829036547009</v>
      </c>
      <c r="AR17" s="770">
        <f>AR9*AR11</f>
        <v>6408917.7780845743</v>
      </c>
      <c r="AS17" s="1007">
        <f>AR17/AR$21</f>
        <v>0.66135316759644502</v>
      </c>
      <c r="AT17" s="1008">
        <f t="shared" ref="AT17:AT18" si="26">AR17/AR$9</f>
        <v>161.29150064388006</v>
      </c>
      <c r="AU17" s="1180">
        <f t="shared" ref="AU17:AU41" si="27">AR17/$B$2</f>
        <v>45133.223789327989</v>
      </c>
      <c r="AV17" s="770">
        <f t="shared" ref="AV17" si="28">AV9*AV11</f>
        <v>6730860.5234741466</v>
      </c>
      <c r="AW17" s="1007">
        <f>AV17/AV$21</f>
        <v>0.6650505948703187</v>
      </c>
      <c r="AX17" s="1008">
        <f t="shared" ref="AX17:AX18" si="29">AV17/AV$9</f>
        <v>162.58509924090308</v>
      </c>
      <c r="AY17" s="1180">
        <f t="shared" ref="AY17:AY41" si="30">AV17/$B$2</f>
        <v>47400.426221648922</v>
      </c>
      <c r="AZ17" s="770">
        <f t="shared" ref="AZ17" si="31">AZ9*AZ11</f>
        <v>6797463.1845143633</v>
      </c>
      <c r="BA17" s="1007">
        <f>AZ17/AZ$21</f>
        <v>0.66332638553414036</v>
      </c>
      <c r="BB17" s="1008">
        <f t="shared" ref="BB17:BB18" si="32">AZ17/AZ$9</f>
        <v>163.88907282559464</v>
      </c>
      <c r="BC17" s="1180">
        <f t="shared" ref="BC17:BC41" si="33">AZ17/$B$2</f>
        <v>47869.459045875796</v>
      </c>
      <c r="BD17" s="770">
        <f>BD9*BD11</f>
        <v>6870813.7566457978</v>
      </c>
      <c r="BE17" s="1007">
        <f>BD17/BD$21</f>
        <v>0.66170740993259036</v>
      </c>
      <c r="BF17" s="1008">
        <f t="shared" ref="BF17:BF18" si="34">BD17/BD$9</f>
        <v>165.20350460797783</v>
      </c>
      <c r="BG17" s="1180">
        <f t="shared" ref="BG17:BG41" si="35">BD17/$B$2</f>
        <v>48386.012370745055</v>
      </c>
      <c r="BH17" s="770">
        <f>BH9*BH11</f>
        <v>6906935.1728326371</v>
      </c>
      <c r="BI17" s="1007">
        <f>BH17/BH$21</f>
        <v>0.65930506267193245</v>
      </c>
      <c r="BJ17" s="1008">
        <f t="shared" ref="BJ17:BJ18" si="36">BH17/BH$9</f>
        <v>166.52847846544114</v>
      </c>
      <c r="BK17" s="1180">
        <f t="shared" ref="BK17:BK41" si="37">BH17/$B$2</f>
        <v>48640.388541074906</v>
      </c>
      <c r="BL17" s="770">
        <f>BL9*BL11</f>
        <v>6962330.5384510197</v>
      </c>
      <c r="BM17" s="1007">
        <f>BL17/BL$21</f>
        <v>0.65726301769305839</v>
      </c>
      <c r="BN17" s="1008">
        <f t="shared" ref="BN17:BN18" si="38">BL17/BL$9</f>
        <v>167.86407894809093</v>
      </c>
      <c r="BO17" s="1180">
        <f t="shared" ref="BO17:BO41" si="39">BL17/$B$2</f>
        <v>49030.496749655067</v>
      </c>
      <c r="BP17" s="770">
        <f>BP9*BP11</f>
        <v>7018170.1889012717</v>
      </c>
      <c r="BQ17" s="1007">
        <f>BP17/$BP$21</f>
        <v>0.65520021814356277</v>
      </c>
      <c r="BR17" s="1008">
        <f t="shared" ref="BR17:BR18" si="40">BP17/BP$9</f>
        <v>169.21039128414677</v>
      </c>
      <c r="BS17" s="1180">
        <f t="shared" ref="BS17:BS29" si="41">BP17/$B$2</f>
        <v>49423.733724656842</v>
      </c>
      <c r="BT17" s="770">
        <f>BT9*BT11</f>
        <v>7093902.3826179579</v>
      </c>
      <c r="BU17" s="1053">
        <f>BT17/$BP$21</f>
        <v>0.6622704014688594</v>
      </c>
      <c r="BV17" s="1054">
        <f t="shared" ref="BV17:BV18" si="42">BT17/BT$9</f>
        <v>170.5675013853801</v>
      </c>
      <c r="BW17" s="1192">
        <f t="shared" ref="BW17:BW29" si="43">BT17/$B$2</f>
        <v>49957.059032520832</v>
      </c>
      <c r="BX17" s="805"/>
      <c r="BY17" s="218"/>
      <c r="BZ17" s="218"/>
      <c r="CA17" s="218"/>
      <c r="CB17" s="218"/>
      <c r="CC17" s="218"/>
      <c r="CD17" s="218"/>
      <c r="CE17" s="218"/>
      <c r="CI17" s="211"/>
    </row>
    <row r="18" spans="1:87" x14ac:dyDescent="0.2">
      <c r="A18" s="741" t="s">
        <v>273</v>
      </c>
      <c r="B18" s="1132">
        <v>1391000</v>
      </c>
      <c r="C18" s="1147">
        <f>B18/$B$21</f>
        <v>0.24441062249681178</v>
      </c>
      <c r="D18" s="1132">
        <v>1208000</v>
      </c>
      <c r="E18" s="1147">
        <f>D18/$D$21</f>
        <v>0.24416584115839712</v>
      </c>
      <c r="F18" s="1132">
        <v>1297000</v>
      </c>
      <c r="G18" s="1147">
        <f>F18/$F$21</f>
        <v>0.20530273051048675</v>
      </c>
      <c r="H18" s="1132">
        <v>1239000</v>
      </c>
      <c r="I18" s="1147">
        <f>H18/$H$21</f>
        <v>0.18640380570675477</v>
      </c>
      <c r="J18" s="1132">
        <v>1293000.0000000002</v>
      </c>
      <c r="K18" s="1147">
        <f>J18/$J$21</f>
        <v>0.19733709387934512</v>
      </c>
      <c r="L18" s="1132">
        <v>1279999.9999999998</v>
      </c>
      <c r="M18" s="874">
        <f>L18/$L$21</f>
        <v>0.19062483245864331</v>
      </c>
      <c r="N18" s="1111">
        <v>1194000</v>
      </c>
      <c r="O18" s="766">
        <f>N18/$N$21</f>
        <v>0.17634287908549823</v>
      </c>
      <c r="P18" s="1006">
        <v>200000</v>
      </c>
      <c r="Q18" s="766">
        <f>P18/$P$21</f>
        <v>0.12480986636571413</v>
      </c>
      <c r="R18" s="1006">
        <v>250000</v>
      </c>
      <c r="S18" s="766">
        <f>R18/$R$21</f>
        <v>0.12993909452141569</v>
      </c>
      <c r="T18" s="1006">
        <v>840000</v>
      </c>
      <c r="U18" s="766">
        <f>T18/$T$21</f>
        <v>0.19918090938964553</v>
      </c>
      <c r="V18" s="1006">
        <v>899000</v>
      </c>
      <c r="W18" s="766">
        <f>V18/$V$21</f>
        <v>0.16290850576295635</v>
      </c>
      <c r="X18" s="1006">
        <v>1129000</v>
      </c>
      <c r="Y18" s="746">
        <f>X18/X$21</f>
        <v>0.17939271830814713</v>
      </c>
      <c r="Z18" s="768">
        <f>X18/$X$9</f>
        <v>29.237194600799128</v>
      </c>
      <c r="AA18" s="769">
        <f>X18/$B$2</f>
        <v>7950.7042253521131</v>
      </c>
      <c r="AB18" s="772">
        <f>AD18*$AB$9</f>
        <v>1128000.2048934312</v>
      </c>
      <c r="AC18" s="771">
        <f t="shared" ref="AC18:AC19" si="44">Y18</f>
        <v>0.17939271830814713</v>
      </c>
      <c r="AD18" s="773">
        <f>Z18</f>
        <v>29.237194600799128</v>
      </c>
      <c r="AE18" s="1173">
        <f>AB18/$B$2</f>
        <v>7943.6634147424729</v>
      </c>
      <c r="AF18" s="1496">
        <f>'1-F&amp;B'!F93</f>
        <v>2161878.650723781</v>
      </c>
      <c r="AG18" s="1007">
        <f>AF18/$AF$21</f>
        <v>0.29546468844032242</v>
      </c>
      <c r="AH18" s="1008">
        <f t="shared" ref="AH18" si="45">AF18/AF$9</f>
        <v>59.789774067254299</v>
      </c>
      <c r="AI18" s="1501">
        <f t="shared" si="21"/>
        <v>15224.497540308317</v>
      </c>
      <c r="AJ18" s="1520">
        <f>'1-F&amp;B'!H93</f>
        <v>2187636.7646404919</v>
      </c>
      <c r="AK18" s="1007">
        <f t="shared" si="22"/>
        <v>0.28279499168326155</v>
      </c>
      <c r="AL18" s="1008">
        <f t="shared" ref="AL18" si="46">AJ18/AJ$9</f>
        <v>59.107745390302668</v>
      </c>
      <c r="AM18" s="1173">
        <f t="shared" si="23"/>
        <v>15405.892708735859</v>
      </c>
      <c r="AN18" s="770">
        <f>'1-F&amp;B'!J93</f>
        <v>2529748.7590051051</v>
      </c>
      <c r="AO18" s="1007">
        <f>AN18/AN$21</f>
        <v>0.30183897767232853</v>
      </c>
      <c r="AP18" s="1008">
        <f t="shared" si="24"/>
        <v>70.47831835418468</v>
      </c>
      <c r="AQ18" s="1180">
        <f t="shared" si="25"/>
        <v>17815.132105669756</v>
      </c>
      <c r="AR18" s="770">
        <f>'1-F&amp;B'!L93</f>
        <v>2640965.303176885</v>
      </c>
      <c r="AS18" s="1007">
        <f>AR18/AR$21</f>
        <v>0.2725281910685311</v>
      </c>
      <c r="AT18" s="1008">
        <f t="shared" si="26"/>
        <v>66.464459624433999</v>
      </c>
      <c r="AU18" s="1180">
        <f t="shared" si="27"/>
        <v>18598.347205471022</v>
      </c>
      <c r="AV18" s="770">
        <f>'1-F&amp;B'!N93</f>
        <v>2722401.90966288</v>
      </c>
      <c r="AW18" s="1007">
        <f>AV18/AV$21</f>
        <v>0.26899012439539882</v>
      </c>
      <c r="AX18" s="1008">
        <f t="shared" si="29"/>
        <v>65.760088641341099</v>
      </c>
      <c r="AY18" s="1180">
        <f t="shared" si="30"/>
        <v>19171.844434245635</v>
      </c>
      <c r="AZ18" s="770">
        <f>'1-F&amp;B'!P93</f>
        <v>2781272.1327282269</v>
      </c>
      <c r="BA18" s="1007">
        <f>AZ18/AZ$21</f>
        <v>0.2714087801449786</v>
      </c>
      <c r="BB18" s="1008">
        <f t="shared" si="32"/>
        <v>67.057385782819622</v>
      </c>
      <c r="BC18" s="1180">
        <f t="shared" si="33"/>
        <v>19586.423469917092</v>
      </c>
      <c r="BD18" s="770">
        <f>'1-F&amp;B'!R93</f>
        <v>2842006.0470747761</v>
      </c>
      <c r="BE18" s="1007">
        <f>BD18/BD$21</f>
        <v>0.27370505547521518</v>
      </c>
      <c r="BF18" s="1008">
        <f t="shared" si="34"/>
        <v>68.33387946801578</v>
      </c>
      <c r="BG18" s="1180">
        <f t="shared" si="35"/>
        <v>20014.127092075887</v>
      </c>
      <c r="BH18" s="770">
        <f>'1-F&amp;B'!T93</f>
        <v>2900344.8057462312</v>
      </c>
      <c r="BI18" s="1007">
        <f>BH18/BH$21</f>
        <v>0.2768539107539511</v>
      </c>
      <c r="BJ18" s="1008">
        <f t="shared" si="36"/>
        <v>69.928267088104718</v>
      </c>
      <c r="BK18" s="1180">
        <f t="shared" si="37"/>
        <v>20424.963420748107</v>
      </c>
      <c r="BL18" s="770">
        <f>'1-F&amp;B'!V93</f>
        <v>2961779.3820861289</v>
      </c>
      <c r="BM18" s="1007">
        <f>BL18/BL$21</f>
        <v>0.27960006260261611</v>
      </c>
      <c r="BN18" s="1008">
        <f t="shared" si="38"/>
        <v>71.409474927334571</v>
      </c>
      <c r="BO18" s="1180">
        <f t="shared" si="39"/>
        <v>20857.601282296684</v>
      </c>
      <c r="BP18" s="770">
        <f>'1-F&amp;B'!X93</f>
        <v>3024515.2544521354</v>
      </c>
      <c r="BQ18" s="1007">
        <f>BP18/$BP$21</f>
        <v>0.28236178393471123</v>
      </c>
      <c r="BR18" s="1008">
        <f t="shared" si="40"/>
        <v>72.922057441704496</v>
      </c>
      <c r="BS18" s="1180">
        <f t="shared" si="41"/>
        <v>21299.403200367149</v>
      </c>
      <c r="BT18" s="770">
        <f>'1-F&amp;B'!Z93</f>
        <v>3090560.8054222022</v>
      </c>
      <c r="BU18" s="1007">
        <f>BT18/$BP$21</f>
        <v>0.28852764458474689</v>
      </c>
      <c r="BV18" s="1008">
        <f t="shared" si="42"/>
        <v>74.310190079879831</v>
      </c>
      <c r="BW18" s="1180">
        <f t="shared" si="43"/>
        <v>21764.51271424086</v>
      </c>
      <c r="BX18" s="805"/>
      <c r="BZ18" s="219"/>
      <c r="CA18" s="220"/>
      <c r="CB18" s="216"/>
      <c r="CC18" s="216"/>
      <c r="CD18" s="216"/>
      <c r="CE18" s="216"/>
      <c r="CI18" s="211"/>
    </row>
    <row r="19" spans="1:87" x14ac:dyDescent="0.2">
      <c r="A19" s="741" t="s">
        <v>144</v>
      </c>
      <c r="B19" s="1132">
        <v>235242</v>
      </c>
      <c r="C19" s="1147">
        <f>B19/$B$21</f>
        <v>4.133403569906182E-2</v>
      </c>
      <c r="D19" s="1132">
        <v>198457</v>
      </c>
      <c r="E19" s="1147">
        <f>D19/$D$21</f>
        <v>4.0112930744016576E-2</v>
      </c>
      <c r="F19" s="1132">
        <v>247500</v>
      </c>
      <c r="G19" s="1147">
        <f>F19/$F$21</f>
        <v>3.9176889592402057E-2</v>
      </c>
      <c r="H19" s="1132">
        <v>274860</v>
      </c>
      <c r="I19" s="1147">
        <f>H19/$H$21</f>
        <v>4.1351856365261189E-2</v>
      </c>
      <c r="J19" s="1132">
        <v>253240.00000000003</v>
      </c>
      <c r="K19" s="1147">
        <f>J19/$J$21</f>
        <v>3.8649377922664617E-2</v>
      </c>
      <c r="L19" s="1132">
        <v>258760</v>
      </c>
      <c r="M19" s="874">
        <f>L19/$L$21</f>
        <v>3.8536001286717622E-2</v>
      </c>
      <c r="N19" s="1111">
        <v>276900</v>
      </c>
      <c r="O19" s="766">
        <f>N19/$N$21</f>
        <v>4.0895597335657001E-2</v>
      </c>
      <c r="P19" s="1006">
        <v>124560</v>
      </c>
      <c r="Q19" s="766">
        <f>P19/$P$21</f>
        <v>7.7731584772566753E-2</v>
      </c>
      <c r="R19" s="1006">
        <v>174250</v>
      </c>
      <c r="S19" s="766">
        <f>R19/$R$21</f>
        <v>9.0567548881426735E-2</v>
      </c>
      <c r="T19" s="1006">
        <v>303340</v>
      </c>
      <c r="U19" s="766">
        <f>T19/$T$21</f>
        <v>7.1928020302684609E-2</v>
      </c>
      <c r="V19" s="1006">
        <v>297435</v>
      </c>
      <c r="W19" s="766">
        <f>V19/$V$21</f>
        <v>5.3898433160850856E-2</v>
      </c>
      <c r="X19" s="1006">
        <v>309455</v>
      </c>
      <c r="Y19" s="746">
        <f>X19/X$21</f>
        <v>4.9170924396853555E-2</v>
      </c>
      <c r="Z19" s="768">
        <f>X19/$X$9</f>
        <v>8.0138140435697913</v>
      </c>
      <c r="AA19" s="769">
        <f>X19/$B$2</f>
        <v>2179.2605633802818</v>
      </c>
      <c r="AB19" s="772">
        <f>AD19*$AB$9</f>
        <v>309180.95961496612</v>
      </c>
      <c r="AC19" s="1010">
        <f t="shared" si="44"/>
        <v>4.9170924396853555E-2</v>
      </c>
      <c r="AD19" s="773">
        <f>Z19</f>
        <v>8.0138140435697913</v>
      </c>
      <c r="AE19" s="1174">
        <f>AB19/$B$2</f>
        <v>2177.3307015138457</v>
      </c>
      <c r="AF19" s="1193">
        <f>AH19*AF$9</f>
        <v>333228.01141550596</v>
      </c>
      <c r="AG19" s="1007">
        <f t="shared" ref="AG19:AG20" si="47">AF19/$AF$21</f>
        <v>4.5542385341336325E-2</v>
      </c>
      <c r="AH19" s="1497">
        <f>ASSUMPTIONS!$F$11</f>
        <v>9.2158861501052591</v>
      </c>
      <c r="AI19" s="1501">
        <f t="shared" si="21"/>
        <v>2346.676136728915</v>
      </c>
      <c r="AJ19" s="1516">
        <f>AL19*AJ$9</f>
        <v>341089.16230154573</v>
      </c>
      <c r="AK19" s="1007">
        <f>AJ19/AJ$21</f>
        <v>4.4092469268849521E-2</v>
      </c>
      <c r="AL19" s="1497">
        <f>ASSUMPTIONS!$F$11</f>
        <v>9.2158861501052591</v>
      </c>
      <c r="AM19" s="1173">
        <f t="shared" si="23"/>
        <v>2402.0363542362375</v>
      </c>
      <c r="AN19" s="1516">
        <f>AP19*AN$9</f>
        <v>330795.01747187815</v>
      </c>
      <c r="AO19" s="1007">
        <f>AN19/AN$21</f>
        <v>3.9469069621000365E-2</v>
      </c>
      <c r="AP19" s="1497">
        <f>ASSUMPTIONS!$F$11</f>
        <v>9.2158861501052591</v>
      </c>
      <c r="AQ19" s="1173">
        <f t="shared" si="25"/>
        <v>2329.5423765625223</v>
      </c>
      <c r="AR19" s="1516">
        <f t="shared" ref="AR19:AR20" si="48">AT19*AR$9</f>
        <v>366193.23617443244</v>
      </c>
      <c r="AS19" s="1007">
        <f t="shared" ref="AS19" si="49">AR19/AR$21</f>
        <v>3.778844807847339E-2</v>
      </c>
      <c r="AT19" s="1497">
        <f>ASSUMPTIONS!$F$11</f>
        <v>9.2158861501052591</v>
      </c>
      <c r="AU19" s="1173">
        <f t="shared" si="27"/>
        <v>2578.8256068622004</v>
      </c>
      <c r="AV19" s="1516">
        <f t="shared" ref="AV19:AV20" si="50">AX19*AV$9</f>
        <v>381528.47072820761</v>
      </c>
      <c r="AW19" s="1007">
        <f t="shared" ref="AW19" si="51">AV19/AV$21</f>
        <v>3.7697369531405955E-2</v>
      </c>
      <c r="AX19" s="1497">
        <f>ASSUMPTIONS!$F$11</f>
        <v>9.2158861501052591</v>
      </c>
      <c r="AY19" s="1173">
        <f t="shared" si="30"/>
        <v>2686.8202163958281</v>
      </c>
      <c r="AZ19" s="1516">
        <f t="shared" ref="AZ19:AZ20" si="52">BB19*AZ$9</f>
        <v>382238.09396176576</v>
      </c>
      <c r="BA19" s="1007">
        <f t="shared" ref="BA19" si="53">AZ19/AZ$21</f>
        <v>3.7300476133322623E-2</v>
      </c>
      <c r="BB19" s="1497">
        <f>ASSUMPTIONS!$F$11</f>
        <v>9.2158861501052591</v>
      </c>
      <c r="BC19" s="1173">
        <f t="shared" si="33"/>
        <v>2691.8175631110266</v>
      </c>
      <c r="BD19" s="1516">
        <f t="shared" ref="BD19:BD20" si="54">BF19*BD$9</f>
        <v>383288.70498287771</v>
      </c>
      <c r="BE19" s="1007">
        <f t="shared" ref="BE19" si="55">BD19/BD$21</f>
        <v>3.6913382492040028E-2</v>
      </c>
      <c r="BF19" s="1497">
        <f>ASSUMPTIONS!$F$11</f>
        <v>9.2158861501052591</v>
      </c>
      <c r="BG19" s="1173">
        <f t="shared" si="35"/>
        <v>2699.2162322737868</v>
      </c>
      <c r="BH19" s="1516">
        <f t="shared" ref="BH19:BH20" si="56">BJ19*BH$9</f>
        <v>382238.09396176576</v>
      </c>
      <c r="BI19" s="1007">
        <f t="shared" ref="BI19" si="57">BH19/BH$21</f>
        <v>3.6486734591966392E-2</v>
      </c>
      <c r="BJ19" s="1497">
        <f>ASSUMPTIONS!$F$11</f>
        <v>9.2158861501052591</v>
      </c>
      <c r="BK19" s="1173">
        <f t="shared" si="37"/>
        <v>2691.8175631110266</v>
      </c>
      <c r="BL19" s="1516">
        <f t="shared" ref="BL19:BL20" si="58">BN19*BL$9</f>
        <v>382238.09396176576</v>
      </c>
      <c r="BM19" s="1007">
        <f t="shared" ref="BM19" si="59">BL19/BL$21</f>
        <v>3.6084320002774083E-2</v>
      </c>
      <c r="BN19" s="1497">
        <f>ASSUMPTIONS!$F$11</f>
        <v>9.2158861501052591</v>
      </c>
      <c r="BO19" s="1173">
        <f t="shared" si="39"/>
        <v>2691.8175631110266</v>
      </c>
      <c r="BP19" s="1515">
        <f t="shared" ref="BP19:BP20" si="60">BR19*BP$9</f>
        <v>382238.09396176576</v>
      </c>
      <c r="BQ19" s="1007">
        <f t="shared" ref="BQ19" si="61">BP19/BP$21</f>
        <v>3.568486881987918E-2</v>
      </c>
      <c r="BR19" s="1497">
        <f>ASSUMPTIONS!$F$11</f>
        <v>9.2158861501052591</v>
      </c>
      <c r="BS19" s="1173">
        <f t="shared" si="41"/>
        <v>2691.8175631110266</v>
      </c>
      <c r="BT19" s="1515">
        <f t="shared" ref="BT19:BT20" si="62">BV19*BT$9</f>
        <v>383288.70498287771</v>
      </c>
      <c r="BU19" s="1007">
        <f t="shared" ref="BU19" si="63">BT19/BT$21</f>
        <v>3.5309533242916497E-2</v>
      </c>
      <c r="BV19" s="1497">
        <f>ASSUMPTIONS!$F$11</f>
        <v>9.2158861501052591</v>
      </c>
      <c r="BW19" s="1173">
        <f t="shared" si="43"/>
        <v>2699.2162322737868</v>
      </c>
      <c r="BX19" s="805"/>
      <c r="BZ19" s="221"/>
      <c r="CA19" s="220"/>
      <c r="CB19" s="216"/>
      <c r="CC19" s="216"/>
      <c r="CD19" s="216"/>
      <c r="CE19" s="216"/>
      <c r="CI19" s="211"/>
    </row>
    <row r="20" spans="1:87" x14ac:dyDescent="0.2">
      <c r="A20" s="741" t="s">
        <v>146</v>
      </c>
      <c r="B20" s="1132">
        <v>307000</v>
      </c>
      <c r="C20" s="1147">
        <f>B20/$B$21</f>
        <v>5.3942531349044726E-2</v>
      </c>
      <c r="D20" s="1132">
        <v>283000</v>
      </c>
      <c r="E20" s="1147">
        <f>D20/$D$21</f>
        <v>5.7201103516412576E-2</v>
      </c>
      <c r="F20" s="1132">
        <v>340000</v>
      </c>
      <c r="G20" s="1147">
        <f>F20/$F$21</f>
        <v>5.381875741986545E-2</v>
      </c>
      <c r="H20" s="1132">
        <v>421000.00000000006</v>
      </c>
      <c r="I20" s="1147">
        <f>H20/$H$21</f>
        <v>6.3338177726024028E-2</v>
      </c>
      <c r="J20" s="1132">
        <v>272000</v>
      </c>
      <c r="K20" s="1147">
        <f>J20/$J$21</f>
        <v>4.1512520908880017E-2</v>
      </c>
      <c r="L20" s="1132">
        <v>273000</v>
      </c>
      <c r="M20" s="874">
        <f>L20/$L$21</f>
        <v>4.0656702547820028E-2</v>
      </c>
      <c r="N20" s="1111">
        <v>262000</v>
      </c>
      <c r="O20" s="766">
        <f>N20/$N$21</f>
        <v>3.8695003618425913E-2</v>
      </c>
      <c r="P20" s="1006">
        <v>70000</v>
      </c>
      <c r="Q20" s="766">
        <f>P20/$P$21</f>
        <v>4.3683453227999942E-2</v>
      </c>
      <c r="R20" s="1006">
        <v>142000</v>
      </c>
      <c r="S20" s="766">
        <f>R20/$R$21</f>
        <v>7.3805405688164114E-2</v>
      </c>
      <c r="T20" s="1006">
        <v>185000</v>
      </c>
      <c r="U20" s="766">
        <f>T20/$T$21</f>
        <v>4.3867224091767167E-2</v>
      </c>
      <c r="V20" s="1006">
        <v>128000</v>
      </c>
      <c r="W20" s="766">
        <f>V20/$V$21</f>
        <v>2.3194981910632271E-2</v>
      </c>
      <c r="X20" s="1006">
        <v>232000</v>
      </c>
      <c r="Y20" s="746">
        <f>X20/X$21</f>
        <v>3.6863694107608619E-2</v>
      </c>
      <c r="Z20" s="768">
        <f>X20/$X$9</f>
        <v>6.0079974733263048</v>
      </c>
      <c r="AA20" s="769">
        <f>X20/$B$2</f>
        <v>1633.8028169014085</v>
      </c>
      <c r="AB20" s="772">
        <f>AD20*$AB$9</f>
        <v>231794.55051840216</v>
      </c>
      <c r="AC20" s="771">
        <f>Y20</f>
        <v>3.6863694107608619E-2</v>
      </c>
      <c r="AD20" s="773">
        <f>Z20</f>
        <v>6.0079974733263048</v>
      </c>
      <c r="AE20" s="1173">
        <f>AB20/$B$2</f>
        <v>1632.3559895662124</v>
      </c>
      <c r="AF20" s="1193">
        <f>AH20*AF$9</f>
        <v>249822.74853661237</v>
      </c>
      <c r="AG20" s="1007">
        <f t="shared" si="47"/>
        <v>3.4143359775056233E-2</v>
      </c>
      <c r="AH20" s="1497">
        <f>ASSUMPTIONS!$F$12</f>
        <v>6.9091970943252496</v>
      </c>
      <c r="AI20" s="1501">
        <f t="shared" si="21"/>
        <v>1759.3151305395238</v>
      </c>
      <c r="AJ20" s="1516">
        <f>AL20*AJ$9</f>
        <v>255716.29365807181</v>
      </c>
      <c r="AK20" s="1007">
        <f>AJ20/AJ$21</f>
        <v>3.305635026214826E-2</v>
      </c>
      <c r="AL20" s="1497">
        <f>ASSUMPTIONS!$F$12</f>
        <v>6.9091970943252496</v>
      </c>
      <c r="AM20" s="1173">
        <f t="shared" si="23"/>
        <v>1800.8189694230409</v>
      </c>
      <c r="AN20" s="1516">
        <f>AP20*AN$9</f>
        <v>247998.7205037105</v>
      </c>
      <c r="AO20" s="1007">
        <f>AN20/AN$21</f>
        <v>2.9590163843118012E-2</v>
      </c>
      <c r="AP20" s="1497">
        <f>ASSUMPTIONS!$F$12</f>
        <v>6.9091970943252496</v>
      </c>
      <c r="AQ20" s="1173">
        <f t="shared" si="25"/>
        <v>1746.4698627021867</v>
      </c>
      <c r="AR20" s="1516">
        <f t="shared" si="48"/>
        <v>274536.94654301379</v>
      </c>
      <c r="AS20" s="1007">
        <f t="shared" ref="AS20" si="64">AR20/AR$21</f>
        <v>2.8330193256550475E-2</v>
      </c>
      <c r="AT20" s="1497">
        <f>ASSUMPTIONS!$F$12</f>
        <v>6.9091970943252496</v>
      </c>
      <c r="AU20" s="1173">
        <f t="shared" si="27"/>
        <v>1933.3587784719282</v>
      </c>
      <c r="AV20" s="1516">
        <f t="shared" si="50"/>
        <v>286033.85050797102</v>
      </c>
      <c r="AW20" s="1007">
        <f t="shared" ref="AW20" si="65">AV20/AV$21</f>
        <v>2.8261911202876615E-2</v>
      </c>
      <c r="AX20" s="1497">
        <f>ASSUMPTIONS!$F$12</f>
        <v>6.9091970943252496</v>
      </c>
      <c r="AY20" s="1173">
        <f t="shared" si="30"/>
        <v>2014.3228909012043</v>
      </c>
      <c r="AZ20" s="1516">
        <f t="shared" si="52"/>
        <v>286565.85868423403</v>
      </c>
      <c r="BA20" s="1007">
        <f t="shared" ref="BA20" si="66">AZ20/AZ$21</f>
        <v>2.796435818755828E-2</v>
      </c>
      <c r="BB20" s="1497">
        <f>ASSUMPTIONS!$F$12</f>
        <v>6.9091970943252496</v>
      </c>
      <c r="BC20" s="1173">
        <f t="shared" si="33"/>
        <v>2018.0694273537608</v>
      </c>
      <c r="BD20" s="1516">
        <f t="shared" si="54"/>
        <v>287353.50715298712</v>
      </c>
      <c r="BE20" s="1007">
        <f t="shared" ref="BE20" si="67">BD20/BD$21</f>
        <v>2.767415210015442E-2</v>
      </c>
      <c r="BF20" s="1497">
        <f>ASSUMPTIONS!$F$12</f>
        <v>6.9091970943252496</v>
      </c>
      <c r="BG20" s="1173">
        <f t="shared" si="35"/>
        <v>2023.6162475562473</v>
      </c>
      <c r="BH20" s="1516">
        <f t="shared" si="56"/>
        <v>286565.85868423403</v>
      </c>
      <c r="BI20" s="1007">
        <f t="shared" ref="BI20" si="68">BH20/BH$21</f>
        <v>2.7354291982149916E-2</v>
      </c>
      <c r="BJ20" s="1497">
        <f>ASSUMPTIONS!$F$12</f>
        <v>6.9091970943252496</v>
      </c>
      <c r="BK20" s="1173">
        <f t="shared" si="37"/>
        <v>2018.0694273537608</v>
      </c>
      <c r="BL20" s="1516">
        <f t="shared" si="58"/>
        <v>286565.85868423403</v>
      </c>
      <c r="BM20" s="1007">
        <f t="shared" ref="BM20" si="69">BL20/BL$21</f>
        <v>2.7052599701551393E-2</v>
      </c>
      <c r="BN20" s="1497">
        <f>ASSUMPTIONS!$F$12</f>
        <v>6.9091970943252496</v>
      </c>
      <c r="BO20" s="1173">
        <f t="shared" si="39"/>
        <v>2018.0694273537608</v>
      </c>
      <c r="BP20" s="1515">
        <f t="shared" si="60"/>
        <v>286565.85868423403</v>
      </c>
      <c r="BQ20" s="1007">
        <f t="shared" ref="BQ20" si="70">BP20/BP$21</f>
        <v>2.6753129101846695E-2</v>
      </c>
      <c r="BR20" s="1497">
        <f>ASSUMPTIONS!$F$12</f>
        <v>6.9091970943252496</v>
      </c>
      <c r="BS20" s="1173">
        <f t="shared" si="41"/>
        <v>2018.0694273537608</v>
      </c>
      <c r="BT20" s="1515">
        <f t="shared" si="62"/>
        <v>287353.50715298712</v>
      </c>
      <c r="BU20" s="1007">
        <f t="shared" ref="BU20" si="71">BT20/BT$21</f>
        <v>2.6471738095544189E-2</v>
      </c>
      <c r="BV20" s="1497">
        <f>ASSUMPTIONS!$F$12</f>
        <v>6.9091970943252496</v>
      </c>
      <c r="BW20" s="1173">
        <f t="shared" si="43"/>
        <v>2023.6162475562473</v>
      </c>
      <c r="BX20" s="805"/>
      <c r="CI20" s="211"/>
    </row>
    <row r="21" spans="1:87" ht="17" thickBot="1" x14ac:dyDescent="0.25">
      <c r="A21" s="859" t="s">
        <v>237</v>
      </c>
      <c r="B21" s="1133">
        <f>SUM(B17:B20)</f>
        <v>5691242</v>
      </c>
      <c r="C21" s="1148">
        <f>B21/$B$21</f>
        <v>1</v>
      </c>
      <c r="D21" s="1133">
        <f>SUM(D17:D20)</f>
        <v>4947457</v>
      </c>
      <c r="E21" s="1148">
        <f>D21/$D$21</f>
        <v>1</v>
      </c>
      <c r="F21" s="1133">
        <f>SUM(F17:F20)</f>
        <v>6317500</v>
      </c>
      <c r="G21" s="1148">
        <f>F21/$F$21</f>
        <v>1</v>
      </c>
      <c r="H21" s="1133">
        <f>SUM(H17:H20)</f>
        <v>6646860</v>
      </c>
      <c r="I21" s="1148">
        <f>H21/$H$21</f>
        <v>1</v>
      </c>
      <c r="J21" s="1133">
        <f>SUM(J17:J20)</f>
        <v>6552240</v>
      </c>
      <c r="K21" s="1148">
        <f>J21/$J$21</f>
        <v>1</v>
      </c>
      <c r="L21" s="1133">
        <f>SUM(L17:L20)</f>
        <v>6714760</v>
      </c>
      <c r="M21" s="876">
        <f>L21/$L$21</f>
        <v>1</v>
      </c>
      <c r="N21" s="1012">
        <f>SUM(N17:N20)</f>
        <v>6770900</v>
      </c>
      <c r="O21" s="775">
        <f>N21/$N$21</f>
        <v>1</v>
      </c>
      <c r="P21" s="1013">
        <f>SUM(P17:P20)</f>
        <v>1602437.4180000001</v>
      </c>
      <c r="Q21" s="775">
        <f>P21/$P$21</f>
        <v>1</v>
      </c>
      <c r="R21" s="1013">
        <f>SUM(R17:R20)</f>
        <v>1923978.314</v>
      </c>
      <c r="S21" s="775">
        <f>R21/$R$21</f>
        <v>1</v>
      </c>
      <c r="T21" s="1013">
        <f>SUM(T17:T20)</f>
        <v>4217271.6380000003</v>
      </c>
      <c r="U21" s="775">
        <f>T21/$T$21</f>
        <v>1</v>
      </c>
      <c r="V21" s="1013">
        <f>SUM(V17:V20)</f>
        <v>5518435</v>
      </c>
      <c r="W21" s="775">
        <f>V21/$V$21</f>
        <v>1</v>
      </c>
      <c r="X21" s="1013">
        <f>SUM(X17:X20)</f>
        <v>6293455</v>
      </c>
      <c r="Y21" s="777">
        <f>X21/X$21</f>
        <v>1</v>
      </c>
      <c r="Z21" s="778">
        <f>X21/$X$9</f>
        <v>162.97871439005516</v>
      </c>
      <c r="AA21" s="891">
        <f>X21/$B$2</f>
        <v>44320.105633802814</v>
      </c>
      <c r="AB21" s="779">
        <f>SUM(AB17:AB20)</f>
        <v>6323771.206352639</v>
      </c>
      <c r="AC21" s="777">
        <f>AB21/$AB$21</f>
        <v>1</v>
      </c>
      <c r="AD21" s="778">
        <f>AB21/$AB$9</f>
        <v>163.90895016595317</v>
      </c>
      <c r="AE21" s="1175">
        <f>AB21/$B$2</f>
        <v>44533.600044736893</v>
      </c>
      <c r="AF21" s="1160">
        <f>SUM(AF17:AF20)</f>
        <v>7316876.5517657939</v>
      </c>
      <c r="AG21" s="1499">
        <f>SUM(AG17:AG20)</f>
        <v>1</v>
      </c>
      <c r="AH21" s="1500">
        <f>AF21/AF$9</f>
        <v>202.35844216399673</v>
      </c>
      <c r="AI21" s="1502">
        <f>AF21/$B$2</f>
        <v>51527.299660322489</v>
      </c>
      <c r="AJ21" s="779">
        <f>SUM(AJ17:AJ20)</f>
        <v>7735769.1224274132</v>
      </c>
      <c r="AK21" s="1499">
        <f>SUM(AK17:AK20)</f>
        <v>1</v>
      </c>
      <c r="AL21" s="1500">
        <f>AJ21/AJ$9</f>
        <v>209.01270223521152</v>
      </c>
      <c r="AM21" s="1175">
        <f>AJ21/$B$2</f>
        <v>54477.247341038121</v>
      </c>
      <c r="AN21" s="779">
        <f>SUM(AN17:AN20)</f>
        <v>8381120.2201703684</v>
      </c>
      <c r="AO21" s="1499">
        <f>SUM(AO17:AO20)</f>
        <v>1.0000000000000002</v>
      </c>
      <c r="AP21" s="1500">
        <f>AN21/AN$9</f>
        <v>233.49641221848688</v>
      </c>
      <c r="AQ21" s="1175">
        <f>AN21/$B$2</f>
        <v>59021.973381481468</v>
      </c>
      <c r="AR21" s="779">
        <f t="shared" ref="AR21:AS21" si="72">SUM(AR17:AR20)</f>
        <v>9690613.263978906</v>
      </c>
      <c r="AS21" s="1499">
        <f t="shared" si="72"/>
        <v>1</v>
      </c>
      <c r="AT21" s="1500">
        <f t="shared" ref="AT21" si="73">AR21/AR$9</f>
        <v>243.88104351274458</v>
      </c>
      <c r="AU21" s="1175">
        <f t="shared" si="27"/>
        <v>68243.755380133138</v>
      </c>
      <c r="AV21" s="779">
        <f t="shared" ref="AV21:AW21" si="74">SUM(AV17:AV20)</f>
        <v>10120824.754373204</v>
      </c>
      <c r="AW21" s="1499">
        <f t="shared" si="74"/>
        <v>1</v>
      </c>
      <c r="AX21" s="1500">
        <f t="shared" ref="AX21" si="75">AV21/AV$9</f>
        <v>244.47027112667465</v>
      </c>
      <c r="AY21" s="1175">
        <f t="shared" si="30"/>
        <v>71273.41376319158</v>
      </c>
      <c r="AZ21" s="779">
        <f t="shared" ref="AZ21:BA21" si="76">SUM(AZ17:AZ20)</f>
        <v>10247539.269888591</v>
      </c>
      <c r="BA21" s="1499">
        <f t="shared" si="76"/>
        <v>0.99999999999999989</v>
      </c>
      <c r="BB21" s="1500">
        <f t="shared" ref="BB21" si="77">AZ21/AZ$9</f>
        <v>247.0715418528448</v>
      </c>
      <c r="BC21" s="1175">
        <f t="shared" si="33"/>
        <v>72165.769506257682</v>
      </c>
      <c r="BD21" s="779">
        <f t="shared" ref="BD21:BE21" si="78">SUM(BD17:BD20)</f>
        <v>10383462.015856439</v>
      </c>
      <c r="BE21" s="1499">
        <f t="shared" si="78"/>
        <v>1</v>
      </c>
      <c r="BF21" s="1500">
        <f t="shared" ref="BF21" si="79">BD21/BD$9</f>
        <v>249.66246732042413</v>
      </c>
      <c r="BG21" s="1175">
        <f t="shared" si="35"/>
        <v>73122.971942650984</v>
      </c>
      <c r="BH21" s="779">
        <f t="shared" ref="BH21:BI21" si="80">SUM(BH17:BH20)</f>
        <v>10476083.93122487</v>
      </c>
      <c r="BI21" s="1499">
        <f t="shared" si="80"/>
        <v>0.99999999999999978</v>
      </c>
      <c r="BJ21" s="1500">
        <f t="shared" ref="BJ21" si="81">BH21/BH$9</f>
        <v>252.58182879797641</v>
      </c>
      <c r="BK21" s="1175">
        <f t="shared" si="37"/>
        <v>73775.238952287807</v>
      </c>
      <c r="BL21" s="779">
        <f t="shared" ref="BL21:BM21" si="82">SUM(BL17:BL20)</f>
        <v>10592913.873183148</v>
      </c>
      <c r="BM21" s="1499">
        <f t="shared" si="82"/>
        <v>1</v>
      </c>
      <c r="BN21" s="1500">
        <f t="shared" ref="BN21" si="83">BL21/BL$9</f>
        <v>255.39863711985601</v>
      </c>
      <c r="BO21" s="1175">
        <f t="shared" si="39"/>
        <v>74597.985022416542</v>
      </c>
      <c r="BP21" s="779">
        <f t="shared" ref="BP21:BQ21" si="84">SUM(BP17:BP20)</f>
        <v>10711489.395999407</v>
      </c>
      <c r="BQ21" s="1499">
        <f t="shared" si="84"/>
        <v>0.99999999999999989</v>
      </c>
      <c r="BR21" s="1500">
        <f t="shared" ref="BR21" si="85">BP21/BP$9</f>
        <v>258.25753197028178</v>
      </c>
      <c r="BS21" s="1175">
        <f t="shared" si="41"/>
        <v>75433.023915488782</v>
      </c>
      <c r="BT21" s="779">
        <f t="shared" ref="BT21:BU21" si="86">SUM(BT17:BT20)</f>
        <v>10855105.400176024</v>
      </c>
      <c r="BU21" s="1499">
        <f t="shared" si="86"/>
        <v>1.012579317392067</v>
      </c>
      <c r="BV21" s="1500">
        <f t="shared" ref="BV21" si="87">BT21/BT$9</f>
        <v>261.00277470969041</v>
      </c>
      <c r="BW21" s="1175">
        <f t="shared" si="43"/>
        <v>76444.404226591723</v>
      </c>
      <c r="BX21" s="805"/>
      <c r="CI21" s="211"/>
    </row>
    <row r="22" spans="1:87" ht="17" thickTop="1" x14ac:dyDescent="0.2">
      <c r="A22" s="858" t="s">
        <v>148</v>
      </c>
      <c r="B22" s="1134"/>
      <c r="C22" s="1149"/>
      <c r="D22" s="1134"/>
      <c r="E22" s="1149"/>
      <c r="F22" s="1134"/>
      <c r="G22" s="1149"/>
      <c r="H22" s="1134"/>
      <c r="I22" s="1149"/>
      <c r="J22" s="1134"/>
      <c r="K22" s="1149"/>
      <c r="L22" s="1134"/>
      <c r="M22" s="878"/>
      <c r="N22" s="1059"/>
      <c r="O22" s="782"/>
      <c r="P22" s="1060"/>
      <c r="Q22" s="782"/>
      <c r="R22" s="1060"/>
      <c r="S22" s="782"/>
      <c r="T22" s="1060"/>
      <c r="U22" s="782"/>
      <c r="V22" s="1060"/>
      <c r="W22" s="782"/>
      <c r="X22" s="1060"/>
      <c r="Y22" s="784"/>
      <c r="Z22" s="785"/>
      <c r="AA22" s="892"/>
      <c r="AB22" s="786"/>
      <c r="AC22" s="787"/>
      <c r="AD22" s="788"/>
      <c r="AE22" s="1176"/>
      <c r="AF22" s="903"/>
      <c r="AG22" s="787"/>
      <c r="AH22" s="788"/>
      <c r="AI22" s="1061">
        <f t="shared" si="21"/>
        <v>0</v>
      </c>
      <c r="AJ22" s="786"/>
      <c r="AK22" s="787"/>
      <c r="AL22" s="788"/>
      <c r="AM22" s="1176">
        <f t="shared" ref="AM22:AM41" si="88">AJ22/$B$2</f>
        <v>0</v>
      </c>
      <c r="AN22" s="786"/>
      <c r="AO22" s="787"/>
      <c r="AP22" s="788"/>
      <c r="AQ22" s="1176">
        <f t="shared" si="25"/>
        <v>0</v>
      </c>
      <c r="AR22" s="786"/>
      <c r="AS22" s="787"/>
      <c r="AT22" s="788"/>
      <c r="AU22" s="1176">
        <f t="shared" si="27"/>
        <v>0</v>
      </c>
      <c r="AV22" s="786"/>
      <c r="AW22" s="787"/>
      <c r="AX22" s="788"/>
      <c r="AY22" s="1176">
        <f t="shared" si="30"/>
        <v>0</v>
      </c>
      <c r="AZ22" s="786"/>
      <c r="BA22" s="787"/>
      <c r="BB22" s="788"/>
      <c r="BC22" s="1176">
        <f t="shared" si="33"/>
        <v>0</v>
      </c>
      <c r="BD22" s="786"/>
      <c r="BE22" s="787"/>
      <c r="BF22" s="788"/>
      <c r="BG22" s="1176">
        <f t="shared" si="35"/>
        <v>0</v>
      </c>
      <c r="BH22" s="786"/>
      <c r="BI22" s="787"/>
      <c r="BJ22" s="788"/>
      <c r="BK22" s="1176">
        <f t="shared" si="37"/>
        <v>0</v>
      </c>
      <c r="BL22" s="786"/>
      <c r="BM22" s="787"/>
      <c r="BN22" s="788"/>
      <c r="BO22" s="1176">
        <f t="shared" si="39"/>
        <v>0</v>
      </c>
      <c r="BP22" s="786"/>
      <c r="BQ22" s="787"/>
      <c r="BR22" s="788"/>
      <c r="BS22" s="1176">
        <f t="shared" si="41"/>
        <v>0</v>
      </c>
      <c r="BT22" s="786"/>
      <c r="BU22" s="787"/>
      <c r="BV22" s="788"/>
      <c r="BW22" s="1176">
        <f t="shared" si="43"/>
        <v>0</v>
      </c>
      <c r="BX22" s="805"/>
      <c r="CI22" s="211"/>
    </row>
    <row r="23" spans="1:87" x14ac:dyDescent="0.2">
      <c r="A23" s="741" t="s">
        <v>138</v>
      </c>
      <c r="B23" s="772">
        <v>1294630.9999999998</v>
      </c>
      <c r="C23" s="713">
        <f>B23/B17</f>
        <v>0.34449999999999992</v>
      </c>
      <c r="D23" s="772">
        <v>1161570.4988438997</v>
      </c>
      <c r="E23" s="713">
        <f>D23/D17</f>
        <v>0.35652869823324118</v>
      </c>
      <c r="F23" s="772">
        <v>1365913.6919999998</v>
      </c>
      <c r="G23" s="713">
        <f>F23/F17</f>
        <v>0.30812399999999995</v>
      </c>
      <c r="H23" s="772">
        <v>1406202.16</v>
      </c>
      <c r="I23" s="713">
        <f>H23/H17</f>
        <v>0.29842999999999997</v>
      </c>
      <c r="J23" s="772">
        <v>1434000</v>
      </c>
      <c r="K23" s="713">
        <f>J23/J17</f>
        <v>0.30291508238276299</v>
      </c>
      <c r="L23" s="772">
        <v>1391000</v>
      </c>
      <c r="M23" s="923">
        <f>L23/L17</f>
        <v>0.28370385478278604</v>
      </c>
      <c r="N23" s="901">
        <v>1431000</v>
      </c>
      <c r="O23" s="771">
        <f>N23/N17</f>
        <v>0.28404128622469232</v>
      </c>
      <c r="P23" s="1014">
        <v>338205.67704000004</v>
      </c>
      <c r="Q23" s="771">
        <f>P23/P17</f>
        <v>0.28000000000000003</v>
      </c>
      <c r="R23" s="1014">
        <v>380163.92792000005</v>
      </c>
      <c r="S23" s="771">
        <f>R23/R17</f>
        <v>0.28000000000000003</v>
      </c>
      <c r="T23" s="1014">
        <v>808900.85864000011</v>
      </c>
      <c r="U23" s="771">
        <f>T23/T17</f>
        <v>0.28000000000000003</v>
      </c>
      <c r="V23" s="1014">
        <v>1413000</v>
      </c>
      <c r="W23" s="771">
        <f>V23/V17</f>
        <v>0.33690987124463517</v>
      </c>
      <c r="X23" s="1014">
        <v>1581000</v>
      </c>
      <c r="Y23" s="771">
        <f>X23/X17</f>
        <v>0.34198572355613238</v>
      </c>
      <c r="Z23" s="768">
        <f>X23/$X$9</f>
        <v>40.942431057452104</v>
      </c>
      <c r="AA23" s="769">
        <f>X23/$B$2</f>
        <v>11133.802816901409</v>
      </c>
      <c r="AB23" s="772">
        <f>AC23*AB17</f>
        <v>1591873.6041068903</v>
      </c>
      <c r="AC23" s="793">
        <f>Y23</f>
        <v>0.34198572355613238</v>
      </c>
      <c r="AD23" s="747">
        <f>AB23/$AB$9</f>
        <v>41.260558412350385</v>
      </c>
      <c r="AE23" s="1173">
        <f t="shared" ref="AE23:AE42" si="89">AB23/$B$2</f>
        <v>11210.377493710495</v>
      </c>
      <c r="AF23" s="901">
        <f>AG23*AF17</f>
        <v>1403522.5011678722</v>
      </c>
      <c r="AG23" s="1011">
        <f>ASSUMPTIONS!F14</f>
        <v>0.30698572355613241</v>
      </c>
      <c r="AH23" s="747">
        <f>AF23/$AF$9</f>
        <v>38.816375384918196</v>
      </c>
      <c r="AI23" s="1009">
        <f t="shared" si="21"/>
        <v>9883.9612758300864</v>
      </c>
      <c r="AJ23" s="772">
        <f>AK23*AJ17</f>
        <v>1519986.6715203982</v>
      </c>
      <c r="AK23" s="1011">
        <f>AG23</f>
        <v>0.30698572355613241</v>
      </c>
      <c r="AL23" s="747">
        <f t="shared" ref="AL23:AL28" si="90">AJ23/$AJ$9</f>
        <v>41.068511294490776</v>
      </c>
      <c r="AM23" s="1180">
        <f t="shared" si="88"/>
        <v>10704.13148958027</v>
      </c>
      <c r="AN23" s="772">
        <f>AO23*AN17</f>
        <v>1618606.0873593276</v>
      </c>
      <c r="AO23" s="1011">
        <f>AK23</f>
        <v>0.30698572355613241</v>
      </c>
      <c r="AP23" s="747">
        <f>AN23/$AN$9</f>
        <v>45.094057150479955</v>
      </c>
      <c r="AQ23" s="1180">
        <f t="shared" si="25"/>
        <v>11398.634418023434</v>
      </c>
      <c r="AR23" s="772">
        <f>AS23*AR17</f>
        <v>1967446.2613170533</v>
      </c>
      <c r="AS23" s="1011">
        <f>AO23</f>
        <v>0.30698572355613241</v>
      </c>
      <c r="AT23" s="747">
        <f>AP23*(1+Inflation)</f>
        <v>46.049231270121943</v>
      </c>
      <c r="AU23" s="1180">
        <f t="shared" si="27"/>
        <v>13855.255361387699</v>
      </c>
      <c r="AV23" s="772">
        <f>AW23*AV17</f>
        <v>2066278.0879541191</v>
      </c>
      <c r="AW23" s="1011">
        <f>AS23</f>
        <v>0.30698572355613241</v>
      </c>
      <c r="AX23" s="747">
        <f>AT23*(1+Inflation)</f>
        <v>47.024637714298166</v>
      </c>
      <c r="AY23" s="1180">
        <f t="shared" si="30"/>
        <v>14551.254140521965</v>
      </c>
      <c r="AZ23" s="772">
        <f>BA23*AZ17</f>
        <v>2086724.1540443138</v>
      </c>
      <c r="BA23" s="1011">
        <f>AW23</f>
        <v>0.30698572355613241</v>
      </c>
      <c r="BB23" s="747">
        <f>AX23*(1+Inflation)</f>
        <v>48.020705040428297</v>
      </c>
      <c r="BC23" s="1180">
        <f t="shared" si="33"/>
        <v>14695.240521438829</v>
      </c>
      <c r="BD23" s="772">
        <f>BE23*BD17</f>
        <v>2109241.7325033383</v>
      </c>
      <c r="BE23" s="1011">
        <f>BA23</f>
        <v>0.30698572355613241</v>
      </c>
      <c r="BF23" s="747">
        <f>BB23*(1+Inflation)</f>
        <v>49.037870883557368</v>
      </c>
      <c r="BG23" s="1180">
        <f t="shared" si="35"/>
        <v>14853.815017629142</v>
      </c>
      <c r="BH23" s="772">
        <f>BI23*BH17</f>
        <v>2120330.4915873273</v>
      </c>
      <c r="BI23" s="1011">
        <f>BE23</f>
        <v>0.30698572355613241</v>
      </c>
      <c r="BJ23" s="747">
        <f>BF23*(1+Inflation)</f>
        <v>50.076582148636355</v>
      </c>
      <c r="BK23" s="1180">
        <f t="shared" si="37"/>
        <v>14931.904870333292</v>
      </c>
      <c r="BL23" s="772">
        <f>BM23*BL17</f>
        <v>2137336.077983343</v>
      </c>
      <c r="BM23" s="1011">
        <f>BI23</f>
        <v>0.30698572355613241</v>
      </c>
      <c r="BN23" s="747">
        <f>BJ23*(1+Inflation)</f>
        <v>51.137295206875656</v>
      </c>
      <c r="BO23" s="1180">
        <f t="shared" si="39"/>
        <v>15051.662521009459</v>
      </c>
      <c r="BP23" s="772">
        <f>BQ23*BP17</f>
        <v>2154478.0534799355</v>
      </c>
      <c r="BQ23" s="1011">
        <f>BM23</f>
        <v>0.30698572355613241</v>
      </c>
      <c r="BR23" s="747">
        <f>BN23*(1+Inflation)</f>
        <v>52.220476096257656</v>
      </c>
      <c r="BS23" s="1180">
        <f t="shared" si="41"/>
        <v>15172.380658309405</v>
      </c>
      <c r="BT23" s="772">
        <f>BU23*BT17</f>
        <v>2177726.7557645454</v>
      </c>
      <c r="BU23" s="1011">
        <f>BQ23</f>
        <v>0.30698572355613241</v>
      </c>
      <c r="BV23" s="747">
        <f>BR23*(1+Inflation)</f>
        <v>53.326600726296569</v>
      </c>
      <c r="BW23" s="1180">
        <f t="shared" si="43"/>
        <v>15336.103913834826</v>
      </c>
      <c r="BX23" s="805"/>
      <c r="CI23" s="211"/>
    </row>
    <row r="24" spans="1:87" x14ac:dyDescent="0.2">
      <c r="A24" s="741" t="s">
        <v>142</v>
      </c>
      <c r="B24" s="772">
        <v>1210091.5956999997</v>
      </c>
      <c r="C24" s="713">
        <f>B24/B18</f>
        <v>0.86994363457943902</v>
      </c>
      <c r="D24" s="772">
        <v>1102489.5385612026</v>
      </c>
      <c r="E24" s="713">
        <f>D24/D18</f>
        <v>0.91265690278245248</v>
      </c>
      <c r="F24" s="772">
        <v>1280953.8603575998</v>
      </c>
      <c r="G24" s="713">
        <f>F24/F18</f>
        <v>0.98762826550316096</v>
      </c>
      <c r="H24" s="772">
        <v>1267033.1446291199</v>
      </c>
      <c r="I24" s="713">
        <f>H24/H18</f>
        <v>1.0226256211695883</v>
      </c>
      <c r="J24" s="772">
        <v>1197000</v>
      </c>
      <c r="K24" s="713">
        <f>J24/J18</f>
        <v>0.92575406032482577</v>
      </c>
      <c r="L24" s="772">
        <v>1099000</v>
      </c>
      <c r="M24" s="923">
        <f>L24/L18</f>
        <v>0.85859375000000016</v>
      </c>
      <c r="N24" s="901">
        <v>1090000</v>
      </c>
      <c r="O24" s="771">
        <f>N24/N18</f>
        <v>0.91289782244556117</v>
      </c>
      <c r="P24" s="1014">
        <v>187134.00000000003</v>
      </c>
      <c r="Q24" s="771">
        <f>P24/P18</f>
        <v>0.93567000000000011</v>
      </c>
      <c r="R24" s="1014">
        <v>231175</v>
      </c>
      <c r="S24" s="771">
        <f>R24/R18</f>
        <v>0.92469999999999997</v>
      </c>
      <c r="T24" s="1014">
        <v>770985.6</v>
      </c>
      <c r="U24" s="771">
        <f>T24/T18</f>
        <v>0.91783999999999999</v>
      </c>
      <c r="V24" s="1014">
        <v>839000</v>
      </c>
      <c r="W24" s="771">
        <f>V24/V18</f>
        <v>0.93325917686318127</v>
      </c>
      <c r="X24" s="1014">
        <v>1133000</v>
      </c>
      <c r="Y24" s="771">
        <f>X24/X18</f>
        <v>1.0035429583702391</v>
      </c>
      <c r="Z24" s="768">
        <f>X24/$X$9</f>
        <v>29.34078076413234</v>
      </c>
      <c r="AA24" s="769">
        <f t="shared" ref="AA24:AA27" si="91">X24/$B$2</f>
        <v>7978.8732394366198</v>
      </c>
      <c r="AB24" s="772">
        <f>AC24*AB18</f>
        <v>1131996.6626609897</v>
      </c>
      <c r="AC24" s="793">
        <f>Y24</f>
        <v>1.0035429583702391</v>
      </c>
      <c r="AD24" s="747">
        <f>AB24/$AB$9</f>
        <v>29.340780764132337</v>
      </c>
      <c r="AE24" s="1173">
        <f t="shared" si="89"/>
        <v>7971.8074835280959</v>
      </c>
      <c r="AF24" s="901">
        <f>AG24*AF18</f>
        <v>1648299.1675653916</v>
      </c>
      <c r="AG24" s="1011">
        <f>'1-F&amp;B'!G94</f>
        <v>0.76243833899444502</v>
      </c>
      <c r="AH24" s="747">
        <f>AF24/$AF$9</f>
        <v>45.586016028690516</v>
      </c>
      <c r="AI24" s="1009">
        <f>AF24/$B$2</f>
        <v>11607.740616657687</v>
      </c>
      <c r="AJ24" s="772">
        <f>AK24*AJ18</f>
        <v>1663830.6648453944</v>
      </c>
      <c r="AK24" s="1011">
        <f>'1-F&amp;B'!I94</f>
        <v>0.76056075292683345</v>
      </c>
      <c r="AL24" s="747">
        <f t="shared" si="90"/>
        <v>44.955031337856163</v>
      </c>
      <c r="AM24" s="1180">
        <f t="shared" si="88"/>
        <v>11717.117358066158</v>
      </c>
      <c r="AN24" s="772">
        <f>AO24*AN18</f>
        <v>1917987.5441331537</v>
      </c>
      <c r="AO24" s="1011">
        <f>'1-F&amp;B'!K94</f>
        <v>0.75817313371761719</v>
      </c>
      <c r="AP24" s="747">
        <f t="shared" ref="AP24:AP26" si="92">AN24/$AN$9</f>
        <v>53.434767485740061</v>
      </c>
      <c r="AQ24" s="1180">
        <f t="shared" si="25"/>
        <v>13506.954536148971</v>
      </c>
      <c r="AR24" s="772">
        <f>AS24*AR18</f>
        <v>1997112.0939977607</v>
      </c>
      <c r="AS24" s="1011">
        <f>'1-F&amp;B'!M94</f>
        <v>0.75620535097351838</v>
      </c>
      <c r="AT24" s="747">
        <f t="shared" ref="AT24:AT28" si="93">AR24/$AR$9</f>
        <v>50.260780017560357</v>
      </c>
      <c r="AU24" s="1180">
        <f t="shared" si="27"/>
        <v>14064.169676040568</v>
      </c>
      <c r="AV24" s="772">
        <f>AW24*AV18</f>
        <v>2056445.993880752</v>
      </c>
      <c r="AW24" s="1011">
        <f>'1-F&amp;B'!O94</f>
        <v>0.75537927981229103</v>
      </c>
      <c r="AX24" s="747">
        <f t="shared" ref="AX24:AX28" si="94">AV24/$AV$9</f>
        <v>49.673808398288656</v>
      </c>
      <c r="AY24" s="1180">
        <f t="shared" si="30"/>
        <v>14482.014041413746</v>
      </c>
      <c r="AZ24" s="772">
        <f>BA24*AZ18</f>
        <v>2100810.0659562806</v>
      </c>
      <c r="BA24" s="1011">
        <f>'1-F&amp;B'!Q94</f>
        <v>0.75534142856259723</v>
      </c>
      <c r="BB24" s="747">
        <f t="shared" ref="BB24:BB28" si="95">AZ24/$AZ$9</f>
        <v>50.651221572868181</v>
      </c>
      <c r="BC24" s="1180">
        <f t="shared" si="33"/>
        <v>14794.437084199159</v>
      </c>
      <c r="BD24" s="772">
        <f>BE24*BD18</f>
        <v>2146525.8139708177</v>
      </c>
      <c r="BE24" s="1011">
        <f>'1-F&amp;B'!S94</f>
        <v>0.75528544922703345</v>
      </c>
      <c r="BF24" s="747">
        <f t="shared" ref="BF24:BF28" si="96">BD24/$BD$9</f>
        <v>51.611584851426251</v>
      </c>
      <c r="BG24" s="1180">
        <f t="shared" si="35"/>
        <v>15116.378971625478</v>
      </c>
      <c r="BH24" s="772">
        <f>BI24*BH18</f>
        <v>2190750.5888964674</v>
      </c>
      <c r="BI24" s="1011">
        <f>'1-F&amp;B'!U94</f>
        <v>0.75534142856259745</v>
      </c>
      <c r="BJ24" s="747">
        <f t="shared" ref="BJ24:BJ28" si="97">BH24/$BH$9</f>
        <v>52.819717159235879</v>
      </c>
      <c r="BK24" s="1180">
        <f t="shared" si="37"/>
        <v>15427.821048566671</v>
      </c>
      <c r="BL24" s="772">
        <f>BM24*BL18</f>
        <v>2237154.6695521837</v>
      </c>
      <c r="BM24" s="1011">
        <f>'1-F&amp;B'!W94</f>
        <v>0.75534142856259745</v>
      </c>
      <c r="BN24" s="747">
        <f t="shared" ref="BN24:BN28" si="98">BL24/$BL$9</f>
        <v>53.938534804517886</v>
      </c>
      <c r="BO24" s="1180">
        <f t="shared" si="39"/>
        <v>15754.61034895904</v>
      </c>
      <c r="BP24" s="772">
        <f>BQ24*BP18</f>
        <v>2284541.6730072433</v>
      </c>
      <c r="BQ24" s="1011">
        <f>'1-F&amp;B'!Y94</f>
        <v>0.75534142856259723</v>
      </c>
      <c r="BR24" s="747">
        <f t="shared" ref="BR24:BR28" si="99">BP24/$BL$9</f>
        <v>55.081051041740842</v>
      </c>
      <c r="BS24" s="1180">
        <f t="shared" si="41"/>
        <v>16088.32164089608</v>
      </c>
      <c r="BT24" s="772">
        <f>BU24*BT18</f>
        <v>2334255.6062867697</v>
      </c>
      <c r="BU24" s="1011">
        <f>'1-F&amp;B'!AA94</f>
        <v>0.75528544922703322</v>
      </c>
      <c r="BV24" s="747">
        <f t="shared" ref="BV24:BV28" si="100">BT24/$BL$9</f>
        <v>56.279670322277212</v>
      </c>
      <c r="BW24" s="1180">
        <f t="shared" si="43"/>
        <v>16438.419762582886</v>
      </c>
      <c r="BX24" s="805"/>
      <c r="CI24" s="211"/>
    </row>
    <row r="25" spans="1:87" x14ac:dyDescent="0.2">
      <c r="A25" s="741" t="s">
        <v>144</v>
      </c>
      <c r="B25" s="772">
        <v>176099.80877999999</v>
      </c>
      <c r="C25" s="713">
        <f>B25/B19</f>
        <v>0.74858999999999998</v>
      </c>
      <c r="D25" s="772">
        <v>148562.92562999998</v>
      </c>
      <c r="E25" s="713">
        <f>D25/D19</f>
        <v>0.74858999999999987</v>
      </c>
      <c r="F25" s="772">
        <v>185276.02499999999</v>
      </c>
      <c r="G25" s="713">
        <f>F25/F19</f>
        <v>0.74858999999999998</v>
      </c>
      <c r="H25" s="772">
        <v>205757.44739999998</v>
      </c>
      <c r="I25" s="713">
        <f>H25/H19</f>
        <v>0.74858999999999987</v>
      </c>
      <c r="J25" s="772">
        <v>189572.93160000001</v>
      </c>
      <c r="K25" s="713">
        <f>J25/J19</f>
        <v>0.74858999999999998</v>
      </c>
      <c r="L25" s="772">
        <v>180200</v>
      </c>
      <c r="M25" s="923">
        <f>L25/L19</f>
        <v>0.69639820683258613</v>
      </c>
      <c r="N25" s="901">
        <v>215400</v>
      </c>
      <c r="O25" s="771">
        <f>N25/N19</f>
        <v>0.77789815817984831</v>
      </c>
      <c r="P25" s="1014">
        <v>119378.304</v>
      </c>
      <c r="Q25" s="771">
        <f>P25/P19</f>
        <v>0.95840000000000003</v>
      </c>
      <c r="R25" s="1014">
        <v>167001.19999999998</v>
      </c>
      <c r="S25" s="771">
        <f>R25/R19</f>
        <v>0.95839999999999992</v>
      </c>
      <c r="T25" s="1014">
        <v>238380</v>
      </c>
      <c r="U25" s="771">
        <f>T25/T19</f>
        <v>0.78585086042065011</v>
      </c>
      <c r="V25" s="1014">
        <v>239975</v>
      </c>
      <c r="W25" s="771">
        <f>V25/V19</f>
        <v>0.80681493435540541</v>
      </c>
      <c r="X25" s="1014">
        <v>253390</v>
      </c>
      <c r="Y25" s="771">
        <f>X25/X19</f>
        <v>0.81882664684687601</v>
      </c>
      <c r="Z25" s="768">
        <f t="shared" ref="Z25:Z28" si="101">X25/$X$9</f>
        <v>6.5619244817506566</v>
      </c>
      <c r="AA25" s="769">
        <f t="shared" si="91"/>
        <v>1784.4366197183099</v>
      </c>
      <c r="AB25" s="772">
        <f>AC25*AB19</f>
        <v>253165.60843042209</v>
      </c>
      <c r="AC25" s="793">
        <f>Y25</f>
        <v>0.81882664684687601</v>
      </c>
      <c r="AD25" s="747">
        <f>AB25/$AB$9</f>
        <v>6.5619244817506566</v>
      </c>
      <c r="AE25" s="1173">
        <f t="shared" si="89"/>
        <v>1782.8563973973387</v>
      </c>
      <c r="AF25" s="901">
        <f>AG25*AF19</f>
        <v>216207.21328217525</v>
      </c>
      <c r="AG25" s="1011">
        <f>ASSUMPTIONS!F16</f>
        <v>0.64882664684687597</v>
      </c>
      <c r="AH25" s="747">
        <f t="shared" ref="AH25:AH28" si="102">AF25/$AF$9</f>
        <v>5.9795125084953602</v>
      </c>
      <c r="AI25" s="1009">
        <f t="shared" si="21"/>
        <v>1522.5860090294032</v>
      </c>
      <c r="AJ25" s="772">
        <f>AK25*AJ19</f>
        <v>221307.73745192177</v>
      </c>
      <c r="AK25" s="1011">
        <f>AG25</f>
        <v>0.64882664684687597</v>
      </c>
      <c r="AL25" s="747">
        <f t="shared" si="90"/>
        <v>5.9795125084953602</v>
      </c>
      <c r="AM25" s="1180">
        <f t="shared" si="88"/>
        <v>1558.5051933233929</v>
      </c>
      <c r="AN25" s="772">
        <f>AO25*AN19</f>
        <v>214628.62197993245</v>
      </c>
      <c r="AO25" s="1011">
        <f>AK25</f>
        <v>0.64882664684687597</v>
      </c>
      <c r="AP25" s="747">
        <f>AN25/$AN$9</f>
        <v>5.9795125084953602</v>
      </c>
      <c r="AQ25" s="1180">
        <f t="shared" si="25"/>
        <v>1511.4691688727637</v>
      </c>
      <c r="AR25" s="772">
        <f>AS25*AR19</f>
        <v>237595.92952506311</v>
      </c>
      <c r="AS25" s="1011">
        <f>AO25</f>
        <v>0.64882664684687597</v>
      </c>
      <c r="AT25" s="747">
        <f t="shared" si="93"/>
        <v>5.9795125084953593</v>
      </c>
      <c r="AU25" s="1180">
        <f t="shared" si="27"/>
        <v>1673.2107713032613</v>
      </c>
      <c r="AV25" s="772">
        <f>AW25*AV19</f>
        <v>247545.83833919943</v>
      </c>
      <c r="AW25" s="1011">
        <f>AS25</f>
        <v>0.64882664684687597</v>
      </c>
      <c r="AX25" s="747">
        <f t="shared" si="94"/>
        <v>5.9795125084953602</v>
      </c>
      <c r="AY25" s="1180">
        <f t="shared" si="30"/>
        <v>1743.2805516845031</v>
      </c>
      <c r="AZ25" s="772">
        <f>BA25*AZ19</f>
        <v>248006.26080235359</v>
      </c>
      <c r="BA25" s="1011">
        <f>AW25</f>
        <v>0.64882664684687597</v>
      </c>
      <c r="BB25" s="747">
        <f t="shared" si="95"/>
        <v>5.9795125084953611</v>
      </c>
      <c r="BC25" s="1180">
        <f t="shared" si="33"/>
        <v>1746.5229633968563</v>
      </c>
      <c r="BD25" s="772">
        <f>BE25*BD19</f>
        <v>248687.92522832201</v>
      </c>
      <c r="BE25" s="1011">
        <f>BA25</f>
        <v>0.64882664684687597</v>
      </c>
      <c r="BF25" s="747">
        <f t="shared" si="96"/>
        <v>5.9795125084953593</v>
      </c>
      <c r="BG25" s="1180">
        <f t="shared" si="35"/>
        <v>1751.3234171008592</v>
      </c>
      <c r="BH25" s="772">
        <f>BI25*BH19</f>
        <v>248006.26080235359</v>
      </c>
      <c r="BI25" s="1011">
        <f>BE25</f>
        <v>0.64882664684687597</v>
      </c>
      <c r="BJ25" s="747">
        <f t="shared" si="97"/>
        <v>5.9795125084953611</v>
      </c>
      <c r="BK25" s="1180">
        <f t="shared" si="37"/>
        <v>1746.5229633968563</v>
      </c>
      <c r="BL25" s="772">
        <f>BM25*BL19</f>
        <v>248006.26080235359</v>
      </c>
      <c r="BM25" s="1011">
        <f>BI25</f>
        <v>0.64882664684687597</v>
      </c>
      <c r="BN25" s="747">
        <f t="shared" si="98"/>
        <v>5.9795125084953611</v>
      </c>
      <c r="BO25" s="1180">
        <f t="shared" si="39"/>
        <v>1746.5229633968563</v>
      </c>
      <c r="BP25" s="772">
        <f>BQ25*BP19</f>
        <v>248006.26080235359</v>
      </c>
      <c r="BQ25" s="1011">
        <f>BM25</f>
        <v>0.64882664684687597</v>
      </c>
      <c r="BR25" s="747">
        <f t="shared" si="99"/>
        <v>5.9795125084953611</v>
      </c>
      <c r="BS25" s="1180">
        <f t="shared" si="41"/>
        <v>1746.5229633968563</v>
      </c>
      <c r="BT25" s="772">
        <f>BU25*BT19</f>
        <v>248687.92522832201</v>
      </c>
      <c r="BU25" s="1011">
        <f>BQ25</f>
        <v>0.64882664684687597</v>
      </c>
      <c r="BV25" s="747">
        <f t="shared" si="100"/>
        <v>5.9959476619809529</v>
      </c>
      <c r="BW25" s="1180">
        <f t="shared" si="43"/>
        <v>1751.3234171008592</v>
      </c>
      <c r="BX25" s="805"/>
      <c r="CI25" s="211"/>
    </row>
    <row r="26" spans="1:87" x14ac:dyDescent="0.2">
      <c r="A26" s="741" t="s">
        <v>146</v>
      </c>
      <c r="B26" s="772">
        <v>96477.404300000286</v>
      </c>
      <c r="C26" s="713">
        <f>B26/B20</f>
        <v>0.31425864592833969</v>
      </c>
      <c r="D26" s="772">
        <v>180000</v>
      </c>
      <c r="E26" s="713">
        <f>D26/D20</f>
        <v>0.63604240282685509</v>
      </c>
      <c r="F26" s="772">
        <v>162132.44764239952</v>
      </c>
      <c r="G26" s="713">
        <f>F26/F20</f>
        <v>0.47686014012470446</v>
      </c>
      <c r="H26" s="772">
        <v>137616.69137088006</v>
      </c>
      <c r="I26" s="713">
        <f>H26/H20</f>
        <v>0.32688050206859864</v>
      </c>
      <c r="J26" s="772">
        <v>135000</v>
      </c>
      <c r="K26" s="713">
        <f>J26/J20</f>
        <v>0.49632352941176472</v>
      </c>
      <c r="L26" s="772">
        <v>115000</v>
      </c>
      <c r="M26" s="923">
        <f>L26/L20</f>
        <v>0.42124542124542125</v>
      </c>
      <c r="N26" s="901">
        <v>128000</v>
      </c>
      <c r="O26" s="771">
        <f>N26/N20</f>
        <v>0.48854961832061067</v>
      </c>
      <c r="P26" s="1014">
        <v>128000</v>
      </c>
      <c r="Q26" s="771">
        <f>P26/P20</f>
        <v>1.8285714285714285</v>
      </c>
      <c r="R26" s="1014">
        <v>128000</v>
      </c>
      <c r="S26" s="771">
        <f>R26/R20</f>
        <v>0.90140845070422537</v>
      </c>
      <c r="T26" s="1014">
        <v>128000</v>
      </c>
      <c r="U26" s="771">
        <f>T26/T20</f>
        <v>0.69189189189189193</v>
      </c>
      <c r="V26" s="1014">
        <v>110000</v>
      </c>
      <c r="W26" s="771">
        <f>V26/V20</f>
        <v>0.859375</v>
      </c>
      <c r="X26" s="1014">
        <v>125000</v>
      </c>
      <c r="Y26" s="771">
        <f>X26/X20</f>
        <v>0.53879310344827591</v>
      </c>
      <c r="Z26" s="768">
        <f t="shared" si="101"/>
        <v>3.2370676041628794</v>
      </c>
      <c r="AA26" s="769">
        <f t="shared" si="91"/>
        <v>880.28169014084506</v>
      </c>
      <c r="AB26" s="772">
        <f>AC26*AB20</f>
        <v>124889.30523620808</v>
      </c>
      <c r="AC26" s="793">
        <f>Y26</f>
        <v>0.53879310344827591</v>
      </c>
      <c r="AD26" s="747">
        <f t="shared" ref="AD26:AD28" si="103">AB26/$AB$9</f>
        <v>3.2370676041628803</v>
      </c>
      <c r="AE26" s="1173">
        <f t="shared" si="89"/>
        <v>879.50214955076115</v>
      </c>
      <c r="AF26" s="901">
        <f>AG26*AF20</f>
        <v>92132.906744795502</v>
      </c>
      <c r="AG26" s="1011">
        <f>ASSUMPTIONS!F17</f>
        <v>0.36879310344827587</v>
      </c>
      <c r="AH26" s="747">
        <f t="shared" si="102"/>
        <v>2.5480642387520192</v>
      </c>
      <c r="AI26" s="1009">
        <f t="shared" si="21"/>
        <v>648.82328693517957</v>
      </c>
      <c r="AJ26" s="772">
        <f>AK26*AJ20</f>
        <v>94306.405540450971</v>
      </c>
      <c r="AK26" s="1011">
        <f>AG26</f>
        <v>0.36879310344827587</v>
      </c>
      <c r="AL26" s="747">
        <f>AJ26/$AJ$9</f>
        <v>2.5480642387520187</v>
      </c>
      <c r="AM26" s="1180">
        <f t="shared" si="88"/>
        <v>664.12961648204907</v>
      </c>
      <c r="AN26" s="772">
        <f>AO26*AN20</f>
        <v>91460.217785764966</v>
      </c>
      <c r="AO26" s="1011">
        <f>AK26</f>
        <v>0.36879310344827587</v>
      </c>
      <c r="AP26" s="747">
        <f t="shared" si="92"/>
        <v>2.5480642387520187</v>
      </c>
      <c r="AQ26" s="1180">
        <f t="shared" si="25"/>
        <v>644.08604074482366</v>
      </c>
      <c r="AR26" s="772">
        <f>AS26*AR20</f>
        <v>101247.33252681147</v>
      </c>
      <c r="AS26" s="1011">
        <f>AO26</f>
        <v>0.36879310344827587</v>
      </c>
      <c r="AT26" s="747">
        <f t="shared" si="93"/>
        <v>2.5480642387520187</v>
      </c>
      <c r="AU26" s="1180">
        <f t="shared" si="27"/>
        <v>713.0093839916301</v>
      </c>
      <c r="AV26" s="772">
        <f>AW26*AV20</f>
        <v>105487.31142009483</v>
      </c>
      <c r="AW26" s="1011">
        <f>AS26</f>
        <v>0.36879310344827587</v>
      </c>
      <c r="AX26" s="747">
        <f t="shared" si="94"/>
        <v>2.5480642387520192</v>
      </c>
      <c r="AY26" s="1180">
        <f t="shared" si="30"/>
        <v>742.86839028235795</v>
      </c>
      <c r="AZ26" s="772">
        <f>BA26*AZ20</f>
        <v>105683.51236647872</v>
      </c>
      <c r="BA26" s="1011">
        <f>AW26</f>
        <v>0.36879310344827587</v>
      </c>
      <c r="BB26" s="747">
        <f t="shared" si="95"/>
        <v>2.5480642387520187</v>
      </c>
      <c r="BC26" s="1180">
        <f t="shared" si="33"/>
        <v>744.25008708787834</v>
      </c>
      <c r="BD26" s="772">
        <f>BE26*BD20</f>
        <v>105973.99168969646</v>
      </c>
      <c r="BE26" s="1011">
        <f>BA26</f>
        <v>0.36879310344827587</v>
      </c>
      <c r="BF26" s="747">
        <f t="shared" si="96"/>
        <v>2.5480642387520187</v>
      </c>
      <c r="BG26" s="1180">
        <f t="shared" si="35"/>
        <v>746.29571612462291</v>
      </c>
      <c r="BH26" s="772">
        <f>BI26*BH20</f>
        <v>105683.51236647872</v>
      </c>
      <c r="BI26" s="1011">
        <f>BE26</f>
        <v>0.36879310344827587</v>
      </c>
      <c r="BJ26" s="747">
        <f t="shared" si="97"/>
        <v>2.5480642387520187</v>
      </c>
      <c r="BK26" s="1180">
        <f t="shared" si="37"/>
        <v>744.25008708787834</v>
      </c>
      <c r="BL26" s="772">
        <f>BM26*BL20</f>
        <v>105683.51236647872</v>
      </c>
      <c r="BM26" s="1011">
        <f>BI26</f>
        <v>0.36879310344827587</v>
      </c>
      <c r="BN26" s="747">
        <f t="shared" si="98"/>
        <v>2.5480642387520187</v>
      </c>
      <c r="BO26" s="1180">
        <f t="shared" si="39"/>
        <v>744.25008708787834</v>
      </c>
      <c r="BP26" s="772">
        <f>BQ26*BP20</f>
        <v>105683.51236647872</v>
      </c>
      <c r="BQ26" s="1011">
        <f>BM26</f>
        <v>0.36879310344827587</v>
      </c>
      <c r="BR26" s="747">
        <f t="shared" si="99"/>
        <v>2.5480642387520187</v>
      </c>
      <c r="BS26" s="1180">
        <f t="shared" si="41"/>
        <v>744.25008708787834</v>
      </c>
      <c r="BT26" s="772">
        <f>BU26*BT20</f>
        <v>105973.99168969646</v>
      </c>
      <c r="BU26" s="1011">
        <f>BQ26</f>
        <v>0.36879310344827587</v>
      </c>
      <c r="BV26" s="747">
        <f t="shared" si="100"/>
        <v>2.5550677907632475</v>
      </c>
      <c r="BW26" s="1180">
        <f t="shared" si="43"/>
        <v>746.29571612462291</v>
      </c>
      <c r="BX26" s="805"/>
      <c r="CI26" s="211"/>
    </row>
    <row r="27" spans="1:87" ht="17" thickBot="1" x14ac:dyDescent="0.25">
      <c r="A27" s="859" t="s">
        <v>238</v>
      </c>
      <c r="B27" s="1017">
        <f>SUM(B23:B26)</f>
        <v>2777299.8087799996</v>
      </c>
      <c r="C27" s="1148">
        <f>B27/B21</f>
        <v>0.48799538111013369</v>
      </c>
      <c r="D27" s="1017">
        <f t="shared" ref="D27" si="104">SUM(D23:D26)</f>
        <v>2592622.9630351025</v>
      </c>
      <c r="E27" s="1148">
        <f t="shared" ref="E27" si="105">D27/D21</f>
        <v>0.52403142928480273</v>
      </c>
      <c r="F27" s="1017">
        <f t="shared" ref="F27" si="106">SUM(F23:F26)</f>
        <v>2994276.024999999</v>
      </c>
      <c r="G27" s="1148">
        <f t="shared" ref="G27" si="107">F27/F21</f>
        <v>0.47396533834586452</v>
      </c>
      <c r="H27" s="1017">
        <f t="shared" ref="H27" si="108">SUM(H23:H26)</f>
        <v>3016609.4434000002</v>
      </c>
      <c r="I27" s="1148">
        <f t="shared" ref="I27" si="109">H27/H21</f>
        <v>0.45383977447998003</v>
      </c>
      <c r="J27" s="1017">
        <f t="shared" ref="J27" si="110">SUM(J23:J26)</f>
        <v>2955572.9315999998</v>
      </c>
      <c r="K27" s="1148">
        <f t="shared" ref="K27" si="111">J27/J21</f>
        <v>0.45107824676751762</v>
      </c>
      <c r="L27" s="1017">
        <f t="shared" ref="L27" si="112">SUM(L23:L26)</f>
        <v>2785200</v>
      </c>
      <c r="M27" s="876">
        <f t="shared" ref="M27" si="113">L27/L21</f>
        <v>0.41478772137797926</v>
      </c>
      <c r="N27" s="1015">
        <f t="shared" ref="N27" si="114">SUM(N23:N26)</f>
        <v>2864400</v>
      </c>
      <c r="O27" s="777">
        <f t="shared" ref="O27" si="115">N27/N21</f>
        <v>0.42304568078098925</v>
      </c>
      <c r="P27" s="1016">
        <f>SUM(P23:P26)</f>
        <v>772717.9810400001</v>
      </c>
      <c r="Q27" s="777">
        <f>P27/$X$21</f>
        <v>0.12278120381253224</v>
      </c>
      <c r="R27" s="1016">
        <f>SUM(R23:R26)</f>
        <v>906340.12792</v>
      </c>
      <c r="S27" s="777">
        <f>R27/$X$21</f>
        <v>0.14401312600471441</v>
      </c>
      <c r="T27" s="1016">
        <f>SUM(T23:T26)</f>
        <v>1946266.4586400001</v>
      </c>
      <c r="U27" s="777">
        <f>T27/$X$21</f>
        <v>0.3092524628586365</v>
      </c>
      <c r="V27" s="1016">
        <f>SUM(V23:V26)</f>
        <v>2601975</v>
      </c>
      <c r="W27" s="777">
        <f>V27/$X$21</f>
        <v>0.4134414244639868</v>
      </c>
      <c r="X27" s="1016">
        <f>SUM(X23:X26)</f>
        <v>3092390</v>
      </c>
      <c r="Y27" s="777">
        <f>X27/$X$21</f>
        <v>0.49136603026477504</v>
      </c>
      <c r="Z27" s="778">
        <f t="shared" si="101"/>
        <v>80.082203907497984</v>
      </c>
      <c r="AA27" s="891">
        <f t="shared" si="91"/>
        <v>21777.394366197183</v>
      </c>
      <c r="AB27" s="1017">
        <f>SUM(AB23:AB26)</f>
        <v>3101925.1804345101</v>
      </c>
      <c r="AC27" s="777">
        <f>AB27/AB21</f>
        <v>0.49051824919257431</v>
      </c>
      <c r="AD27" s="778">
        <f t="shared" si="103"/>
        <v>80.400331262396264</v>
      </c>
      <c r="AE27" s="1175">
        <f t="shared" si="89"/>
        <v>21844.543524186691</v>
      </c>
      <c r="AF27" s="1015">
        <f>SUM(AF23:AF26)</f>
        <v>3360161.7887602346</v>
      </c>
      <c r="AG27" s="777">
        <f>AF27/AF21</f>
        <v>0.45923445133829971</v>
      </c>
      <c r="AH27" s="778">
        <f t="shared" si="102"/>
        <v>92.929968160856092</v>
      </c>
      <c r="AI27" s="891">
        <f t="shared" si="21"/>
        <v>23663.111188452356</v>
      </c>
      <c r="AJ27" s="1018">
        <f>SUM(AJ23:AJ26)</f>
        <v>3499431.4793581655</v>
      </c>
      <c r="AK27" s="777">
        <f t="shared" ref="AK27:AK28" si="116">AJ27/$AJ$21</f>
        <v>0.45237020701828756</v>
      </c>
      <c r="AL27" s="778">
        <f t="shared" si="90"/>
        <v>94.551119379594326</v>
      </c>
      <c r="AM27" s="913">
        <f t="shared" si="88"/>
        <v>24643.883657451868</v>
      </c>
      <c r="AN27" s="879">
        <f>SUM(AN23:AN26)</f>
        <v>3842682.4712581788</v>
      </c>
      <c r="AO27" s="777">
        <f t="shared" ref="AO27" si="117">AN27/$AJ$21</f>
        <v>0.4967421351960386</v>
      </c>
      <c r="AP27" s="778">
        <f t="shared" ref="AP27:AP28" si="118">AN27/$AN$9</f>
        <v>107.0564013834674</v>
      </c>
      <c r="AQ27" s="913">
        <f t="shared" si="25"/>
        <v>27061.144163789992</v>
      </c>
      <c r="AR27" s="879">
        <f>SUM(AR23:AR26)</f>
        <v>4303401.6173666883</v>
      </c>
      <c r="AS27" s="777">
        <f t="shared" ref="AS27" si="119">AR27/$AJ$21</f>
        <v>0.55629912801951886</v>
      </c>
      <c r="AT27" s="778">
        <f t="shared" si="93"/>
        <v>108.30254479342364</v>
      </c>
      <c r="AU27" s="913">
        <f t="shared" si="27"/>
        <v>30305.645192723157</v>
      </c>
      <c r="AV27" s="879">
        <f>SUM(AV23:AV26)</f>
        <v>4475757.2315941658</v>
      </c>
      <c r="AW27" s="777">
        <f>AV27/$AJ$21</f>
        <v>0.57857947422682576</v>
      </c>
      <c r="AX27" s="778">
        <f t="shared" si="94"/>
        <v>108.11268947545027</v>
      </c>
      <c r="AY27" s="913">
        <f t="shared" si="30"/>
        <v>31519.417123902575</v>
      </c>
      <c r="AZ27" s="879">
        <f>SUM(AZ23:AZ26)</f>
        <v>4541223.993169426</v>
      </c>
      <c r="BA27" s="777">
        <f t="shared" ref="BA27" si="120">AZ27/$AJ$21</f>
        <v>0.587042338169528</v>
      </c>
      <c r="BB27" s="778">
        <f t="shared" si="95"/>
        <v>109.49040392442438</v>
      </c>
      <c r="BC27" s="913">
        <f t="shared" si="33"/>
        <v>31980.450656122717</v>
      </c>
      <c r="BD27" s="879">
        <f>SUM(BD23:BD26)</f>
        <v>4610429.4633921748</v>
      </c>
      <c r="BE27" s="777">
        <f t="shared" ref="BE27" si="121">BD27/$AJ$21</f>
        <v>0.59598850358986211</v>
      </c>
      <c r="BF27" s="778">
        <f t="shared" si="96"/>
        <v>110.85427899476255</v>
      </c>
      <c r="BG27" s="913">
        <f t="shared" si="35"/>
        <v>32467.813122480104</v>
      </c>
      <c r="BH27" s="879">
        <f>SUM(BH23:BH26)</f>
        <v>4664770.8536526263</v>
      </c>
      <c r="BI27" s="777">
        <f t="shared" ref="BI27" si="122">BH27/$AJ$21</f>
        <v>0.60301319491666316</v>
      </c>
      <c r="BJ27" s="778">
        <f t="shared" si="97"/>
        <v>112.4691593608985</v>
      </c>
      <c r="BK27" s="913">
        <f t="shared" si="37"/>
        <v>32850.498969384695</v>
      </c>
      <c r="BL27" s="879">
        <f>SUM(BL23:BL26)</f>
        <v>4728180.5207043588</v>
      </c>
      <c r="BM27" s="777">
        <f t="shared" ref="BM27" si="123">BL27/$AJ$21</f>
        <v>0.61121013901468391</v>
      </c>
      <c r="BN27" s="778">
        <f t="shared" si="98"/>
        <v>113.99798728672869</v>
      </c>
      <c r="BO27" s="913">
        <f t="shared" si="39"/>
        <v>33297.045920453231</v>
      </c>
      <c r="BP27" s="879">
        <f>SUM(BP23:BP26)</f>
        <v>4792709.4996560104</v>
      </c>
      <c r="BQ27" s="777">
        <f>BP27/$AJ$21</f>
        <v>0.61955177614609347</v>
      </c>
      <c r="BR27" s="778">
        <f t="shared" si="99"/>
        <v>115.55380219056829</v>
      </c>
      <c r="BS27" s="913">
        <f t="shared" si="41"/>
        <v>33751.475349690212</v>
      </c>
      <c r="BT27" s="879">
        <f>SUM(BT23:BT26)</f>
        <v>4866644.2789693344</v>
      </c>
      <c r="BU27" s="777">
        <f>BT27/$AJ$21</f>
        <v>0.62910929759525014</v>
      </c>
      <c r="BV27" s="778">
        <f t="shared" si="100"/>
        <v>117.33639403436528</v>
      </c>
      <c r="BW27" s="913">
        <f t="shared" si="43"/>
        <v>34272.142809643199</v>
      </c>
      <c r="BX27" s="805"/>
      <c r="CI27" s="211"/>
    </row>
    <row r="28" spans="1:87" ht="18" thickTop="1" thickBot="1" x14ac:dyDescent="0.25">
      <c r="A28" s="860" t="s">
        <v>239</v>
      </c>
      <c r="B28" s="802">
        <f>B21-B27</f>
        <v>2913942.1912200004</v>
      </c>
      <c r="C28" s="1150">
        <f>B28/$B$21</f>
        <v>0.51200461888986626</v>
      </c>
      <c r="D28" s="802">
        <f t="shared" ref="D28" si="124">D21-D27</f>
        <v>2354834.0369648975</v>
      </c>
      <c r="E28" s="1150">
        <f>D28/$D$21</f>
        <v>0.47596857071519721</v>
      </c>
      <c r="F28" s="802">
        <f>F21-F27</f>
        <v>3323223.975000001</v>
      </c>
      <c r="G28" s="1150">
        <f>F28/$F$21</f>
        <v>0.52603466165413548</v>
      </c>
      <c r="H28" s="802">
        <f>H21-H27</f>
        <v>3630250.5565999998</v>
      </c>
      <c r="I28" s="1150">
        <f>H28/$H$21</f>
        <v>0.54616022552001997</v>
      </c>
      <c r="J28" s="802">
        <f>J21-J27</f>
        <v>3596667.0684000002</v>
      </c>
      <c r="K28" s="1150">
        <f>J28/$J$21</f>
        <v>0.54892175323248238</v>
      </c>
      <c r="L28" s="802">
        <f>L21-L27</f>
        <v>3929560</v>
      </c>
      <c r="M28" s="880">
        <f>L28/$L$21</f>
        <v>0.58521227862202074</v>
      </c>
      <c r="N28" s="1062">
        <f>N21-N27</f>
        <v>3906500</v>
      </c>
      <c r="O28" s="797">
        <f>N28/$N$21</f>
        <v>0.57695431921901075</v>
      </c>
      <c r="P28" s="1063">
        <f>P21-P27</f>
        <v>829719.43695999996</v>
      </c>
      <c r="Q28" s="797">
        <f>P28/$P$21</f>
        <v>0.51778586024006579</v>
      </c>
      <c r="R28" s="1063">
        <f>R21-R27</f>
        <v>1017638.18608</v>
      </c>
      <c r="S28" s="797">
        <f>R28/$R$21</f>
        <v>0.52892393779860447</v>
      </c>
      <c r="T28" s="1063">
        <f>T21-T27</f>
        <v>2271005.1793600004</v>
      </c>
      <c r="U28" s="797">
        <f>T28/$T$21</f>
        <v>0.53850104387323805</v>
      </c>
      <c r="V28" s="1063">
        <f>V21-V27</f>
        <v>2916460</v>
      </c>
      <c r="W28" s="797">
        <f>V28/$V$21</f>
        <v>0.52849403861783273</v>
      </c>
      <c r="X28" s="1063">
        <f>X21-X27</f>
        <v>3201065</v>
      </c>
      <c r="Y28" s="799">
        <f>X28/$X$21</f>
        <v>0.5086339697352249</v>
      </c>
      <c r="Z28" s="800">
        <f t="shared" si="101"/>
        <v>82.89651048255719</v>
      </c>
      <c r="AA28" s="893">
        <f t="shared" ref="AA28:AA42" si="125">X28/$B$2</f>
        <v>22542.711267605635</v>
      </c>
      <c r="AB28" s="802">
        <f>AB21-AB27</f>
        <v>3221846.0259181289</v>
      </c>
      <c r="AC28" s="799">
        <f>AB28/$AB$21</f>
        <v>0.50948175080742564</v>
      </c>
      <c r="AD28" s="800">
        <f t="shared" si="103"/>
        <v>83.508618903556908</v>
      </c>
      <c r="AE28" s="1177">
        <f t="shared" si="89"/>
        <v>22689.056520550203</v>
      </c>
      <c r="AF28" s="1161">
        <f>AF21-AF27</f>
        <v>3956714.7630055593</v>
      </c>
      <c r="AG28" s="799">
        <f>AF28/$AF$21</f>
        <v>0.54076554866170035</v>
      </c>
      <c r="AH28" s="800">
        <f t="shared" si="102"/>
        <v>109.42847400314064</v>
      </c>
      <c r="AI28" s="893">
        <f t="shared" si="21"/>
        <v>27864.188471870137</v>
      </c>
      <c r="AJ28" s="803">
        <f>AJ21-AJ27</f>
        <v>4236337.6430692477</v>
      </c>
      <c r="AK28" s="799">
        <f t="shared" si="116"/>
        <v>0.54762979298171244</v>
      </c>
      <c r="AL28" s="800">
        <f t="shared" si="90"/>
        <v>114.46158285561718</v>
      </c>
      <c r="AM28" s="915">
        <f t="shared" si="88"/>
        <v>29833.363683586253</v>
      </c>
      <c r="AN28" s="803">
        <f>AN21-AN27</f>
        <v>4538437.7489121892</v>
      </c>
      <c r="AO28" s="799">
        <f t="shared" ref="AO28" si="126">AN28/$AN$21</f>
        <v>0.54150729612370763</v>
      </c>
      <c r="AP28" s="800">
        <f t="shared" si="118"/>
        <v>126.44001083501948</v>
      </c>
      <c r="AQ28" s="915">
        <f t="shared" si="25"/>
        <v>31960.829217691473</v>
      </c>
      <c r="AR28" s="803">
        <f>AR21-AR27</f>
        <v>5387211.6466122176</v>
      </c>
      <c r="AS28" s="799">
        <f t="shared" ref="AS28" si="127">AR28/$AR$21</f>
        <v>0.55592061099343282</v>
      </c>
      <c r="AT28" s="800">
        <f t="shared" si="93"/>
        <v>135.57849871932095</v>
      </c>
      <c r="AU28" s="915">
        <f t="shared" si="27"/>
        <v>37938.110187409984</v>
      </c>
      <c r="AV28" s="803">
        <f>AV21-AV27</f>
        <v>5645067.5227790382</v>
      </c>
      <c r="AW28" s="799">
        <f t="shared" ref="AW28" si="128">AV28/$AV$21</f>
        <v>0.55776753967998571</v>
      </c>
      <c r="AX28" s="800">
        <f t="shared" si="94"/>
        <v>136.35758165122439</v>
      </c>
      <c r="AY28" s="915">
        <f t="shared" si="30"/>
        <v>39753.996639288998</v>
      </c>
      <c r="AZ28" s="803">
        <f>AZ21-AZ27</f>
        <v>5706315.276719165</v>
      </c>
      <c r="BA28" s="799">
        <f t="shared" ref="BA28" si="129">AZ28/$AZ$21</f>
        <v>0.55684736856648342</v>
      </c>
      <c r="BB28" s="800">
        <f t="shared" si="95"/>
        <v>137.58113792842042</v>
      </c>
      <c r="BC28" s="915">
        <f t="shared" si="33"/>
        <v>40185.318850134965</v>
      </c>
      <c r="BD28" s="803">
        <f>BD21-BD27</f>
        <v>5773032.5524642644</v>
      </c>
      <c r="BE28" s="799">
        <f t="shared" ref="BE28" si="130">BD28/$BD$21</f>
        <v>0.55598340357467935</v>
      </c>
      <c r="BF28" s="800">
        <f t="shared" si="96"/>
        <v>138.80818832566158</v>
      </c>
      <c r="BG28" s="915">
        <f t="shared" si="35"/>
        <v>40655.158820170873</v>
      </c>
      <c r="BH28" s="803">
        <f>BH21-BH27</f>
        <v>5811313.0775722433</v>
      </c>
      <c r="BI28" s="799">
        <f t="shared" ref="BI28" si="131">BH28/$BH$21</f>
        <v>0.55472188994697957</v>
      </c>
      <c r="BJ28" s="800">
        <f t="shared" si="97"/>
        <v>140.1126694370779</v>
      </c>
      <c r="BK28" s="915">
        <f t="shared" si="37"/>
        <v>40924.73998290312</v>
      </c>
      <c r="BL28" s="803">
        <f>BL21-BL27</f>
        <v>5864733.3524787892</v>
      </c>
      <c r="BM28" s="799">
        <f t="shared" ref="BM28" si="132">BL28/$BL$21</f>
        <v>0.5536468456829291</v>
      </c>
      <c r="BN28" s="800">
        <f t="shared" si="98"/>
        <v>141.40064983312732</v>
      </c>
      <c r="BO28" s="915">
        <f t="shared" si="39"/>
        <v>41300.939101963304</v>
      </c>
      <c r="BP28" s="803">
        <f>BP21-BP27</f>
        <v>5918779.896343397</v>
      </c>
      <c r="BQ28" s="799">
        <f>BP28/$BP$21</f>
        <v>0.55256367042233911</v>
      </c>
      <c r="BR28" s="800">
        <f t="shared" si="99"/>
        <v>142.70372977971348</v>
      </c>
      <c r="BS28" s="915">
        <f t="shared" si="41"/>
        <v>41681.54856579857</v>
      </c>
      <c r="BT28" s="803">
        <f>BT21-BT27</f>
        <v>5988461.1212066896</v>
      </c>
      <c r="BU28" s="799">
        <f>BT28/$BP$21</f>
        <v>0.55906894922038541</v>
      </c>
      <c r="BV28" s="800">
        <f t="shared" si="100"/>
        <v>144.38376702687555</v>
      </c>
      <c r="BW28" s="915">
        <f t="shared" si="43"/>
        <v>42172.261416948517</v>
      </c>
      <c r="BX28" s="805"/>
      <c r="CI28" s="211"/>
    </row>
    <row r="29" spans="1:87" x14ac:dyDescent="0.2">
      <c r="A29" s="858" t="s">
        <v>153</v>
      </c>
      <c r="B29" s="1134"/>
      <c r="C29" s="1149"/>
      <c r="D29" s="1134"/>
      <c r="E29" s="1149"/>
      <c r="F29" s="1134"/>
      <c r="G29" s="1149"/>
      <c r="H29" s="1134"/>
      <c r="I29" s="1149"/>
      <c r="J29" s="1134"/>
      <c r="K29" s="1149"/>
      <c r="L29" s="1134"/>
      <c r="M29" s="878"/>
      <c r="N29" s="1059"/>
      <c r="O29" s="782"/>
      <c r="P29" s="1060"/>
      <c r="Q29" s="782"/>
      <c r="R29" s="1060"/>
      <c r="S29" s="782"/>
      <c r="T29" s="1060"/>
      <c r="U29" s="782"/>
      <c r="V29" s="1060"/>
      <c r="W29" s="782"/>
      <c r="X29" s="783"/>
      <c r="Y29" s="784"/>
      <c r="Z29" s="785"/>
      <c r="AA29" s="892">
        <f t="shared" si="125"/>
        <v>0</v>
      </c>
      <c r="AB29" s="877"/>
      <c r="AC29" s="784"/>
      <c r="AD29" s="785"/>
      <c r="AE29" s="914">
        <f t="shared" si="89"/>
        <v>0</v>
      </c>
      <c r="AF29" s="1162"/>
      <c r="AG29" s="784"/>
      <c r="AH29" s="785"/>
      <c r="AI29" s="892">
        <f t="shared" si="21"/>
        <v>0</v>
      </c>
      <c r="AJ29" s="877"/>
      <c r="AK29" s="784"/>
      <c r="AL29" s="785"/>
      <c r="AM29" s="914">
        <f t="shared" si="88"/>
        <v>0</v>
      </c>
      <c r="AN29" s="877"/>
      <c r="AO29" s="784"/>
      <c r="AP29" s="785"/>
      <c r="AQ29" s="914">
        <f t="shared" si="25"/>
        <v>0</v>
      </c>
      <c r="AR29" s="877"/>
      <c r="AS29" s="784"/>
      <c r="AT29" s="785"/>
      <c r="AU29" s="914">
        <f t="shared" si="27"/>
        <v>0</v>
      </c>
      <c r="AV29" s="877"/>
      <c r="AW29" s="784"/>
      <c r="AX29" s="785"/>
      <c r="AY29" s="914">
        <f t="shared" si="30"/>
        <v>0</v>
      </c>
      <c r="AZ29" s="877"/>
      <c r="BA29" s="784"/>
      <c r="BB29" s="785"/>
      <c r="BC29" s="914">
        <f t="shared" si="33"/>
        <v>0</v>
      </c>
      <c r="BD29" s="877"/>
      <c r="BE29" s="784"/>
      <c r="BF29" s="785"/>
      <c r="BG29" s="914">
        <f t="shared" si="35"/>
        <v>0</v>
      </c>
      <c r="BH29" s="877"/>
      <c r="BI29" s="784"/>
      <c r="BJ29" s="785"/>
      <c r="BK29" s="914">
        <f t="shared" si="37"/>
        <v>0</v>
      </c>
      <c r="BL29" s="877"/>
      <c r="BM29" s="784"/>
      <c r="BN29" s="785"/>
      <c r="BO29" s="914">
        <f t="shared" si="39"/>
        <v>0</v>
      </c>
      <c r="BP29" s="877"/>
      <c r="BQ29" s="784"/>
      <c r="BR29" s="785"/>
      <c r="BS29" s="914">
        <f t="shared" si="41"/>
        <v>0</v>
      </c>
      <c r="BT29" s="877"/>
      <c r="BU29" s="784"/>
      <c r="BV29" s="785"/>
      <c r="BW29" s="914">
        <f t="shared" si="43"/>
        <v>0</v>
      </c>
      <c r="BX29" s="805"/>
      <c r="CI29" s="211"/>
    </row>
    <row r="30" spans="1:87" x14ac:dyDescent="0.2">
      <c r="A30" s="741" t="s">
        <v>154</v>
      </c>
      <c r="B30" s="1135">
        <v>598000</v>
      </c>
      <c r="C30" s="1147">
        <f>B30/B$21</f>
        <v>0.10507372555937702</v>
      </c>
      <c r="D30" s="1135">
        <v>598700</v>
      </c>
      <c r="E30" s="1147">
        <f t="shared" ref="E30:E41" si="133">D30/$D$21</f>
        <v>0.12101166316352016</v>
      </c>
      <c r="F30" s="1135">
        <v>658400</v>
      </c>
      <c r="G30" s="1147">
        <f t="shared" ref="G30:G41" si="134">F30/$F$21</f>
        <v>0.10421844083893946</v>
      </c>
      <c r="H30" s="1135">
        <v>684200</v>
      </c>
      <c r="I30" s="1147">
        <f t="shared" ref="I30:I41" si="135">H30/$H$21</f>
        <v>0.10293582232813689</v>
      </c>
      <c r="J30" s="1135">
        <v>603000</v>
      </c>
      <c r="K30" s="1147">
        <f t="shared" ref="K30:K41" si="136">J30/$J$21</f>
        <v>9.2029595985495039E-2</v>
      </c>
      <c r="L30" s="1135">
        <v>854000</v>
      </c>
      <c r="M30" s="874">
        <f t="shared" ref="M30:M41" si="137">L30/$L$21</f>
        <v>0.1271825054060011</v>
      </c>
      <c r="N30" s="1019">
        <v>407000</v>
      </c>
      <c r="O30" s="766">
        <f t="shared" ref="O30:O41" si="138">N30/$N$21</f>
        <v>6.0110177376715063E-2</v>
      </c>
      <c r="P30" s="1020">
        <v>407000</v>
      </c>
      <c r="Q30" s="766">
        <f t="shared" ref="Q30:Q41" si="139">P30/$P$21</f>
        <v>0.25398807805422824</v>
      </c>
      <c r="R30" s="1020">
        <v>407000</v>
      </c>
      <c r="S30" s="766">
        <f t="shared" ref="S30:S41" si="140">R30/$R$21</f>
        <v>0.21154084588086475</v>
      </c>
      <c r="T30" s="1020">
        <v>407000</v>
      </c>
      <c r="U30" s="766">
        <f t="shared" ref="U30:U41" si="141">T30/$T$21</f>
        <v>9.6507893001887765E-2</v>
      </c>
      <c r="V30" s="1020">
        <v>666000</v>
      </c>
      <c r="W30" s="766">
        <f t="shared" ref="W30:W41" si="142">V30/$V$21</f>
        <v>0.12068639025375853</v>
      </c>
      <c r="X30" s="1014">
        <v>380000</v>
      </c>
      <c r="Y30" s="746">
        <f>X30/X$21</f>
        <v>6.0380188624531358E-2</v>
      </c>
      <c r="Z30" s="768">
        <f t="shared" ref="Z30:Z41" si="143">X30/$X$9</f>
        <v>9.8406855166551548</v>
      </c>
      <c r="AA30" s="769">
        <f>X30/$B$2</f>
        <v>2676.0563380281692</v>
      </c>
      <c r="AB30" s="772">
        <f>AE30*$B$2</f>
        <v>388049.09090909088</v>
      </c>
      <c r="AC30" s="746">
        <f>AB30/AB$21</f>
        <v>6.1363556372702154E-2</v>
      </c>
      <c r="AD30" s="768">
        <f t="shared" ref="AD30:AD41" si="144">AB30/$AB$9</f>
        <v>10.058036103498896</v>
      </c>
      <c r="AE30" s="916">
        <f>AA30*(1+Inflation)</f>
        <v>2732.7400768245839</v>
      </c>
      <c r="AF30" s="901">
        <f>AI30*$B$2</f>
        <v>342000</v>
      </c>
      <c r="AG30" s="746">
        <f>AF30/AF21</f>
        <v>4.6741255996380668E-2</v>
      </c>
      <c r="AH30" s="768">
        <f>AF30/$AF$9</f>
        <v>9.4584877482161627</v>
      </c>
      <c r="AI30" s="1185">
        <f>ASSUMPTIONS!F19</f>
        <v>2408.4507042253522</v>
      </c>
      <c r="AJ30" s="772">
        <f>AM30*$B$2</f>
        <v>349244.18181818182</v>
      </c>
      <c r="AK30" s="746">
        <f>AJ30/AJ21</f>
        <v>4.5146665611523862E-2</v>
      </c>
      <c r="AL30" s="768">
        <f t="shared" ref="AL30:AL41" si="145">AJ30/$AJ$9</f>
        <v>9.4362265763741</v>
      </c>
      <c r="AM30" s="916">
        <f>AI30*(1+Inflation)</f>
        <v>2459.4660691421254</v>
      </c>
      <c r="AN30" s="772">
        <f>AQ30*$B$2</f>
        <v>356641.8085785124</v>
      </c>
      <c r="AO30" s="746">
        <f>AN30/AN21</f>
        <v>4.255299998205523E-2</v>
      </c>
      <c r="AP30" s="768">
        <f t="shared" ref="AP30:AP41" si="146">AN30/$AN$9</f>
        <v>9.9359728249432333</v>
      </c>
      <c r="AQ30" s="916">
        <f>AM30*(1+Inflation)</f>
        <v>2511.562032243045</v>
      </c>
      <c r="AR30" s="772">
        <f>AU30*$B$2</f>
        <v>364196.13052385725</v>
      </c>
      <c r="AS30" s="746">
        <f>AR30/AR21</f>
        <v>3.7582361467010043E-2</v>
      </c>
      <c r="AT30" s="768">
        <f t="shared" ref="AT30:AT31" si="147">AR30/$AN$9</f>
        <v>10.146434794780667</v>
      </c>
      <c r="AU30" s="916">
        <f>AQ30*(1+Inflation)</f>
        <v>2564.761482562375</v>
      </c>
      <c r="AV30" s="772">
        <f t="shared" ref="AV30:AV31" si="148">AY30*$B$2</f>
        <v>371910.4667431353</v>
      </c>
      <c r="AW30" s="746">
        <f t="shared" ref="AW30" si="149">AV30/AV21</f>
        <v>3.6747051329234108E-2</v>
      </c>
      <c r="AX30" s="768">
        <f t="shared" ref="AX30:AX34" si="150">AV30/$AN$9</f>
        <v>10.361354731797384</v>
      </c>
      <c r="AY30" s="916">
        <f>AU30*(1+Inflation)</f>
        <v>2619.0877939657416</v>
      </c>
      <c r="AZ30" s="772">
        <f t="shared" ref="AZ30:AZ31" si="151">BC30*$B$2</f>
        <v>379788.20662960358</v>
      </c>
      <c r="BA30" s="746">
        <f t="shared" ref="BA30" si="152">AZ30/AZ21</f>
        <v>3.706140534104365E-2</v>
      </c>
      <c r="BB30" s="768">
        <f t="shared" ref="BB30:BB34" si="153">AZ30/$AN$9</f>
        <v>10.580827063843639</v>
      </c>
      <c r="BC30" s="916">
        <f>AY30*(1+Inflation)</f>
        <v>2674.5648354197433</v>
      </c>
      <c r="BD30" s="772">
        <f t="shared" ref="BD30:BD31" si="154">BG30*$B$2</f>
        <v>387832.81137003057</v>
      </c>
      <c r="BE30" s="746">
        <f t="shared" ref="BE30" si="155">BD30/BD21</f>
        <v>3.7351011712449714E-2</v>
      </c>
      <c r="BF30" s="768">
        <f t="shared" ref="BF30:BF34" si="156">BD30/$AN$9</f>
        <v>10.804948218923235</v>
      </c>
      <c r="BG30" s="916">
        <f>BC30*(1+Inflation)</f>
        <v>2731.2169814790886</v>
      </c>
      <c r="BH30" s="772">
        <f t="shared" ref="BH30:BH31" si="157">BK30*$B$2</f>
        <v>396047.81546541397</v>
      </c>
      <c r="BI30" s="746">
        <f t="shared" ref="BI30" si="158">BH30/BH21</f>
        <v>3.7804948687453654E-2</v>
      </c>
      <c r="BJ30" s="768">
        <f t="shared" ref="BJ30:BJ34" si="159">BH30/$AN$9</f>
        <v>11.033816667560426</v>
      </c>
      <c r="BK30" s="916">
        <f>BG30*(1+Inflation)</f>
        <v>2789.0691229958729</v>
      </c>
      <c r="BL30" s="772">
        <f t="shared" ref="BL30:BL31" si="160">BO30*$B$2</f>
        <v>404436.82828390866</v>
      </c>
      <c r="BM30" s="746">
        <f t="shared" ref="BM30" si="161">BL30/BL21</f>
        <v>3.8179941149882705E-2</v>
      </c>
      <c r="BN30" s="768">
        <f t="shared" ref="BN30:BN34" si="162">BL30/$AN$9</f>
        <v>11.267532966064207</v>
      </c>
      <c r="BO30" s="916">
        <f>BK30*(1+Inflation)</f>
        <v>2848.1466780556948</v>
      </c>
      <c r="BP30" s="772">
        <f t="shared" ref="BP30:BP31" si="163">BS30*$B$2</f>
        <v>413003.5356466496</v>
      </c>
      <c r="BQ30" s="746">
        <f t="shared" ref="BQ30" si="164">BP30/BP21</f>
        <v>3.8557059656045653E-2</v>
      </c>
      <c r="BR30" s="768">
        <f t="shared" ref="BR30:BR34" si="165">BP30/$AN$9</f>
        <v>11.506199800709021</v>
      </c>
      <c r="BS30" s="916">
        <f>BO30*(1+Inflation)</f>
        <v>2908.4756031454199</v>
      </c>
      <c r="BT30" s="772">
        <f>BW30*$B$2</f>
        <v>421751.70144716499</v>
      </c>
      <c r="BU30" s="746">
        <f t="shared" ref="BU30" si="166">BT30/BT21</f>
        <v>3.8852842593341007E-2</v>
      </c>
      <c r="BV30" s="768">
        <f t="shared" ref="BV30:BV34" si="167">BT30/$AN$9</f>
        <v>11.749922032851313</v>
      </c>
      <c r="BW30" s="916">
        <f>BS30*(1+Inflation)</f>
        <v>2970.0824045575</v>
      </c>
      <c r="BX30" s="805"/>
      <c r="CI30" s="211"/>
    </row>
    <row r="31" spans="1:87" x14ac:dyDescent="0.2">
      <c r="A31" s="741" t="s">
        <v>157</v>
      </c>
      <c r="B31" s="1135">
        <v>424700</v>
      </c>
      <c r="C31" s="1147">
        <f>B31/B$21</f>
        <v>7.462343017569803E-2</v>
      </c>
      <c r="D31" s="1135">
        <v>403250</v>
      </c>
      <c r="E31" s="1147">
        <f t="shared" si="133"/>
        <v>8.1506519409870568E-2</v>
      </c>
      <c r="F31" s="1135">
        <v>472140</v>
      </c>
      <c r="G31" s="1147">
        <f t="shared" si="134"/>
        <v>7.4735259200633161E-2</v>
      </c>
      <c r="H31" s="1135">
        <v>462370</v>
      </c>
      <c r="I31" s="1147">
        <f t="shared" si="135"/>
        <v>6.9562169204707189E-2</v>
      </c>
      <c r="J31" s="1135">
        <v>433000</v>
      </c>
      <c r="K31" s="1147">
        <f t="shared" si="136"/>
        <v>6.6084270417445024E-2</v>
      </c>
      <c r="L31" s="1135">
        <v>456000</v>
      </c>
      <c r="M31" s="874">
        <f t="shared" si="137"/>
        <v>6.7910096563391698E-2</v>
      </c>
      <c r="N31" s="1019">
        <v>450000</v>
      </c>
      <c r="O31" s="766">
        <f t="shared" si="138"/>
        <v>6.6460884077449087E-2</v>
      </c>
      <c r="P31" s="1020">
        <v>450000</v>
      </c>
      <c r="Q31" s="766">
        <f t="shared" si="139"/>
        <v>0.28082219932285679</v>
      </c>
      <c r="R31" s="1020">
        <v>450000</v>
      </c>
      <c r="S31" s="766">
        <f t="shared" si="140"/>
        <v>0.23389037013854824</v>
      </c>
      <c r="T31" s="1020">
        <v>450000</v>
      </c>
      <c r="U31" s="766">
        <f t="shared" si="141"/>
        <v>0.10670405860159582</v>
      </c>
      <c r="V31" s="1020">
        <v>366000</v>
      </c>
      <c r="W31" s="766">
        <f t="shared" si="142"/>
        <v>6.6323151400714153E-2</v>
      </c>
      <c r="X31" s="1014">
        <v>230000</v>
      </c>
      <c r="Y31" s="746">
        <f>X31/X$21</f>
        <v>3.6545903641163717E-2</v>
      </c>
      <c r="Z31" s="768">
        <f t="shared" si="143"/>
        <v>5.9562043916596981</v>
      </c>
      <c r="AA31" s="769">
        <f t="shared" si="125"/>
        <v>1619.7183098591549</v>
      </c>
      <c r="AB31" s="772">
        <f>AE31*$B$2</f>
        <v>234871.81818181818</v>
      </c>
      <c r="AC31" s="746">
        <f>AB31/AB$21</f>
        <v>3.7141099909793411E-2</v>
      </c>
      <c r="AD31" s="768">
        <f t="shared" si="144"/>
        <v>6.087758694223016</v>
      </c>
      <c r="AE31" s="916">
        <f>AA31*(1+Inflation)</f>
        <v>1654.0268886043534</v>
      </c>
      <c r="AF31" s="901">
        <f>AI31*$B$2</f>
        <v>230000</v>
      </c>
      <c r="AG31" s="746">
        <f>AF31/AF21</f>
        <v>3.1434178009261848E-2</v>
      </c>
      <c r="AH31" s="768">
        <f t="shared" ref="AH31:AH36" si="168">AF31/$AF$9</f>
        <v>6.3609712926599924</v>
      </c>
      <c r="AI31" s="1185">
        <f>ASSUMPTIONS!F20</f>
        <v>1619.7183098591549</v>
      </c>
      <c r="AJ31" s="772">
        <f>AM31*$B$2</f>
        <v>234871.81818181818</v>
      </c>
      <c r="AK31" s="746">
        <f>AJ31/AJ21</f>
        <v>3.0361792662720724E-2</v>
      </c>
      <c r="AL31" s="768">
        <f t="shared" si="145"/>
        <v>6.3460003291404767</v>
      </c>
      <c r="AM31" s="916">
        <f>AI31*(1+Inflation)</f>
        <v>1654.0268886043534</v>
      </c>
      <c r="AN31" s="772">
        <f>AQ31*$B$2</f>
        <v>239846.83033057849</v>
      </c>
      <c r="AO31" s="746">
        <f>AN31/AN21</f>
        <v>2.8617514607814917E-2</v>
      </c>
      <c r="AP31" s="768">
        <f t="shared" si="146"/>
        <v>6.6820869875349223</v>
      </c>
      <c r="AQ31" s="916">
        <f>AM31*(1+Inflation)</f>
        <v>1689.0621854266092</v>
      </c>
      <c r="AR31" s="772">
        <f>AU31*$B$2</f>
        <v>244927.2222821262</v>
      </c>
      <c r="AS31" s="746">
        <f>AR31/AR21</f>
        <v>2.5274687536293302E-2</v>
      </c>
      <c r="AT31" s="768">
        <f t="shared" si="147"/>
        <v>6.8236257391799802</v>
      </c>
      <c r="AU31" s="916">
        <f>AQ31*(1+Inflation)</f>
        <v>1724.8395935361</v>
      </c>
      <c r="AV31" s="772">
        <f t="shared" si="148"/>
        <v>250115.22617228399</v>
      </c>
      <c r="AW31" s="746">
        <f t="shared" ref="AW31" si="169">AV31/AV21</f>
        <v>2.471292925650247E-2</v>
      </c>
      <c r="AX31" s="768">
        <f t="shared" si="150"/>
        <v>6.9681625389280661</v>
      </c>
      <c r="AY31" s="916">
        <f>AU31*(1+Inflation)</f>
        <v>1761.3748321991829</v>
      </c>
      <c r="AZ31" s="772">
        <f t="shared" si="151"/>
        <v>255413.12141756964</v>
      </c>
      <c r="BA31" s="746">
        <f t="shared" ref="BA31" si="170">AZ31/AZ21</f>
        <v>2.4924336925263271E-2</v>
      </c>
      <c r="BB31" s="768">
        <f t="shared" si="153"/>
        <v>7.1157608908889962</v>
      </c>
      <c r="BC31" s="916">
        <f>AY31*(1+Inflation)</f>
        <v>1798.6839536448565</v>
      </c>
      <c r="BD31" s="772">
        <f t="shared" si="154"/>
        <v>260823.23571668722</v>
      </c>
      <c r="BE31" s="746">
        <f t="shared" ref="BE31" si="171">BD31/BD21</f>
        <v>2.5119101444045128E-2</v>
      </c>
      <c r="BF31" s="768">
        <f t="shared" si="156"/>
        <v>7.2664856443050994</v>
      </c>
      <c r="BG31" s="916">
        <f>BC31*(1+Inflation)</f>
        <v>1836.7833501175157</v>
      </c>
      <c r="BH31" s="772">
        <f t="shared" si="157"/>
        <v>266347.94607323164</v>
      </c>
      <c r="BI31" s="746">
        <f t="shared" ref="BI31" si="172">BH31/BH21</f>
        <v>2.5424380696240766E-2</v>
      </c>
      <c r="BJ31" s="768">
        <f t="shared" si="159"/>
        <v>7.4204030220435628</v>
      </c>
      <c r="BK31" s="916">
        <f>BG31*(1+Inflation)</f>
        <v>1875.6897610790959</v>
      </c>
      <c r="BL31" s="772">
        <f t="shared" si="160"/>
        <v>271989.67984005553</v>
      </c>
      <c r="BM31" s="746">
        <f t="shared" ref="BM31" si="173">BL31/BL21</f>
        <v>2.5676568609570238E-2</v>
      </c>
      <c r="BN31" s="768">
        <f t="shared" si="162"/>
        <v>7.5775806496923028</v>
      </c>
      <c r="BO31" s="916">
        <f>BK31*(1+Inflation)</f>
        <v>1915.4202805637713</v>
      </c>
      <c r="BP31" s="772">
        <f t="shared" si="163"/>
        <v>277750.91578575852</v>
      </c>
      <c r="BQ31" s="746">
        <f t="shared" ref="BQ31" si="174">BP31/BP21</f>
        <v>2.5930186318393278E-2</v>
      </c>
      <c r="BR31" s="768">
        <f t="shared" si="165"/>
        <v>7.7380875852721491</v>
      </c>
      <c r="BS31" s="916">
        <f>BO31*(1+Inflation)</f>
        <v>1955.9923646884401</v>
      </c>
      <c r="BT31" s="772">
        <f>BW31*$B$2</f>
        <v>283634.18518376595</v>
      </c>
      <c r="BU31" s="746">
        <f t="shared" ref="BU31" si="175">BT31/BT21</f>
        <v>2.6129104668036352E-2</v>
      </c>
      <c r="BV31" s="768">
        <f t="shared" si="167"/>
        <v>7.9019943495783682</v>
      </c>
      <c r="BW31" s="916">
        <f>BS31*(1+Inflation)</f>
        <v>1997.4238393222954</v>
      </c>
      <c r="BX31" s="805"/>
      <c r="CI31" s="211"/>
    </row>
    <row r="32" spans="1:87" x14ac:dyDescent="0.2">
      <c r="A32" s="1114" t="s">
        <v>160</v>
      </c>
      <c r="B32" s="1135"/>
      <c r="C32" s="1147"/>
      <c r="D32" s="1135"/>
      <c r="E32" s="1147"/>
      <c r="F32" s="1135"/>
      <c r="G32" s="1147"/>
      <c r="H32" s="1135"/>
      <c r="I32" s="1147"/>
      <c r="J32" s="1135"/>
      <c r="K32" s="1147"/>
      <c r="L32" s="1135"/>
      <c r="M32" s="874"/>
      <c r="N32" s="1019"/>
      <c r="O32" s="766"/>
      <c r="P32" s="1020"/>
      <c r="Q32" s="766"/>
      <c r="R32" s="1020"/>
      <c r="S32" s="766"/>
      <c r="T32" s="1020"/>
      <c r="U32" s="766"/>
      <c r="V32" s="1020"/>
      <c r="W32" s="766"/>
      <c r="X32" s="1014"/>
      <c r="Y32" s="746"/>
      <c r="Z32" s="768"/>
      <c r="AA32" s="769"/>
      <c r="AB32" s="772"/>
      <c r="AC32" s="746"/>
      <c r="AD32" s="768"/>
      <c r="AE32" s="916"/>
      <c r="AF32" s="901">
        <f>ASSUMPTIONS!F21*AF17+55000</f>
        <v>375036.29987629264</v>
      </c>
      <c r="AG32" s="1021">
        <f>AF32/AF17</f>
        <v>8.2029885364529542E-2</v>
      </c>
      <c r="AH32" s="768">
        <f>AF32/$AF$9</f>
        <v>10.372152770515312</v>
      </c>
      <c r="AI32" s="1022">
        <f>AF32/$B$2</f>
        <v>2641.1007033541737</v>
      </c>
      <c r="AJ32" s="772">
        <f>7%*AJ17</f>
        <v>346592.88312791131</v>
      </c>
      <c r="AK32" s="1011">
        <f>ASSUMPTIONS!F21</f>
        <v>7.0000000000000007E-2</v>
      </c>
      <c r="AL32" s="768">
        <f>AJ32/$AJ$9</f>
        <v>9.3645911520334852</v>
      </c>
      <c r="AM32" s="1188">
        <f>AJ32/$B$2</f>
        <v>2440.7949516050094</v>
      </c>
      <c r="AN32" s="772">
        <f>7%*AN17</f>
        <v>369080.44062327727</v>
      </c>
      <c r="AO32" s="1011">
        <f>AK32</f>
        <v>7.0000000000000007E-2</v>
      </c>
      <c r="AP32" s="768">
        <f>AN32/$AN$9</f>
        <v>10.28251074339102</v>
      </c>
      <c r="AQ32" s="1188">
        <f>AN32/$B$2</f>
        <v>2599.1580325582909</v>
      </c>
      <c r="AR32" s="772">
        <f>7%*AR17</f>
        <v>448624.24446592026</v>
      </c>
      <c r="AS32" s="1011">
        <f>AO32</f>
        <v>7.0000000000000007E-2</v>
      </c>
      <c r="AT32" s="768">
        <f>AR32/$AN$9</f>
        <v>12.498585960492569</v>
      </c>
      <c r="AU32" s="1188">
        <f>AR32/$B$2</f>
        <v>3159.3256652529594</v>
      </c>
      <c r="AV32" s="772">
        <f t="shared" ref="AV32" si="176">7%*AV17</f>
        <v>471160.23664319032</v>
      </c>
      <c r="AW32" s="1011">
        <f t="shared" ref="AW32" si="177">AS32</f>
        <v>7.0000000000000007E-2</v>
      </c>
      <c r="AX32" s="768">
        <f t="shared" si="150"/>
        <v>13.126434408067931</v>
      </c>
      <c r="AY32" s="1188">
        <f t="shared" ref="AY32" si="178">AV32/$B$2</f>
        <v>3318.029835515425</v>
      </c>
      <c r="AZ32" s="772">
        <f t="shared" ref="AZ32" si="179">7%*AZ17</f>
        <v>475822.42291600548</v>
      </c>
      <c r="BA32" s="1011">
        <f t="shared" ref="BA32" si="180">AW32</f>
        <v>7.0000000000000007E-2</v>
      </c>
      <c r="BB32" s="768">
        <f t="shared" si="153"/>
        <v>13.256322029197234</v>
      </c>
      <c r="BC32" s="1188">
        <f t="shared" ref="BC32" si="181">AZ32/$B$2</f>
        <v>3350.8621332113062</v>
      </c>
      <c r="BD32" s="772">
        <f t="shared" ref="BD32" si="182">7%*BD17</f>
        <v>480956.96296520589</v>
      </c>
      <c r="BE32" s="1011">
        <f t="shared" ref="BE32" si="183">BA32</f>
        <v>7.0000000000000007E-2</v>
      </c>
      <c r="BF32" s="768">
        <f t="shared" si="156"/>
        <v>13.399369336524375</v>
      </c>
      <c r="BG32" s="1188">
        <f t="shared" ref="BG32" si="184">BD32/$B$2</f>
        <v>3387.0208659521541</v>
      </c>
      <c r="BH32" s="772">
        <f t="shared" ref="BH32" si="185">7%*BH17</f>
        <v>483485.46209828462</v>
      </c>
      <c r="BI32" s="1011">
        <f t="shared" ref="BI32" si="186">BE32</f>
        <v>7.0000000000000007E-2</v>
      </c>
      <c r="BJ32" s="768">
        <f t="shared" si="159"/>
        <v>13.469812840538381</v>
      </c>
      <c r="BK32" s="1188">
        <f t="shared" ref="BK32" si="187">BH32/$B$2</f>
        <v>3404.8271978752437</v>
      </c>
      <c r="BL32" s="772">
        <f t="shared" ref="BL32" si="188">7%*BL17</f>
        <v>487363.13769157144</v>
      </c>
      <c r="BM32" s="1011">
        <f t="shared" ref="BM32" si="189">BI32</f>
        <v>7.0000000000000007E-2</v>
      </c>
      <c r="BN32" s="768">
        <f t="shared" si="162"/>
        <v>13.577844143633238</v>
      </c>
      <c r="BO32" s="1188">
        <f t="shared" ref="BO32" si="190">BL32/$B$2</f>
        <v>3432.1347724758552</v>
      </c>
      <c r="BP32" s="772">
        <f t="shared" ref="BP32" si="191">7%*BP17</f>
        <v>491271.91322308907</v>
      </c>
      <c r="BQ32" s="1011">
        <f t="shared" ref="BQ32" si="192">BM32</f>
        <v>7.0000000000000007E-2</v>
      </c>
      <c r="BR32" s="768">
        <f t="shared" si="165"/>
        <v>13.686741885080767</v>
      </c>
      <c r="BS32" s="1188">
        <f t="shared" ref="BS32" si="193">BP32/$B$2</f>
        <v>3459.6613607259792</v>
      </c>
      <c r="BT32" s="772">
        <f>7%*BT17</f>
        <v>496573.1667832571</v>
      </c>
      <c r="BU32" s="1011">
        <f t="shared" ref="BU32" si="194">BQ32</f>
        <v>7.0000000000000007E-2</v>
      </c>
      <c r="BV32" s="768">
        <f t="shared" si="167"/>
        <v>13.834433799054358</v>
      </c>
      <c r="BW32" s="1188">
        <f t="shared" ref="BW32" si="195">BT32/$B$2</f>
        <v>3496.9941322764585</v>
      </c>
      <c r="BX32" s="805"/>
      <c r="CI32" s="211"/>
    </row>
    <row r="33" spans="1:87" x14ac:dyDescent="0.2">
      <c r="A33" s="741" t="s">
        <v>164</v>
      </c>
      <c r="B33" s="1135">
        <v>324500</v>
      </c>
      <c r="C33" s="1147">
        <f>B33/B$21</f>
        <v>5.7017431344511448E-2</v>
      </c>
      <c r="D33" s="1135">
        <v>314780</v>
      </c>
      <c r="E33" s="1147">
        <f t="shared" si="133"/>
        <v>6.3624605529669087E-2</v>
      </c>
      <c r="F33" s="1135">
        <v>384520</v>
      </c>
      <c r="G33" s="1147">
        <f t="shared" si="134"/>
        <v>6.0865848832607837E-2</v>
      </c>
      <c r="H33" s="1135">
        <v>395470</v>
      </c>
      <c r="I33" s="1147">
        <f t="shared" si="135"/>
        <v>5.9497266378410255E-2</v>
      </c>
      <c r="J33" s="1135">
        <v>395000</v>
      </c>
      <c r="K33" s="1147">
        <f t="shared" si="136"/>
        <v>6.0284727055175027E-2</v>
      </c>
      <c r="L33" s="1135">
        <v>266000</v>
      </c>
      <c r="M33" s="874">
        <f t="shared" si="137"/>
        <v>3.9614222995311824E-2</v>
      </c>
      <c r="N33" s="1019">
        <v>297000</v>
      </c>
      <c r="O33" s="766">
        <f t="shared" si="138"/>
        <v>4.3864183491116399E-2</v>
      </c>
      <c r="P33" s="1020">
        <v>297000</v>
      </c>
      <c r="Q33" s="766">
        <f t="shared" si="139"/>
        <v>0.18534265155308549</v>
      </c>
      <c r="R33" s="1020">
        <v>297000</v>
      </c>
      <c r="S33" s="766">
        <f t="shared" si="140"/>
        <v>0.15436764429144184</v>
      </c>
      <c r="T33" s="1020">
        <v>297000</v>
      </c>
      <c r="U33" s="766">
        <f t="shared" si="141"/>
        <v>7.0424678677053237E-2</v>
      </c>
      <c r="V33" s="1020">
        <v>363000</v>
      </c>
      <c r="W33" s="766">
        <f t="shared" si="142"/>
        <v>6.5779519012183707E-2</v>
      </c>
      <c r="X33" s="1014">
        <v>340000</v>
      </c>
      <c r="Y33" s="746">
        <f>X33/X$21</f>
        <v>5.4024379295633321E-2</v>
      </c>
      <c r="Z33" s="768">
        <f t="shared" si="143"/>
        <v>8.8048238833230332</v>
      </c>
      <c r="AA33" s="769">
        <f t="shared" si="125"/>
        <v>2394.3661971830984</v>
      </c>
      <c r="AB33" s="772">
        <f>AE33*$B$2</f>
        <v>347201.81818181818</v>
      </c>
      <c r="AC33" s="746">
        <f>AB33/AB$21</f>
        <v>5.490423464925983E-2</v>
      </c>
      <c r="AD33" s="768">
        <f t="shared" si="144"/>
        <v>8.9992954610253282</v>
      </c>
      <c r="AE33" s="916">
        <f>AA33*(1+Inflation)</f>
        <v>2445.0832266325224</v>
      </c>
      <c r="AF33" s="901">
        <f>AI33*$B$2</f>
        <v>322999.99999999994</v>
      </c>
      <c r="AG33" s="746">
        <f>AF33/AF21</f>
        <v>4.4144519552137287E-2</v>
      </c>
      <c r="AH33" s="768">
        <f t="shared" si="168"/>
        <v>8.9330162066485954</v>
      </c>
      <c r="AI33" s="1185">
        <f>ASSUMPTIONS!F22</f>
        <v>2274.6478873239435</v>
      </c>
      <c r="AJ33" s="772">
        <f>AM33*$B$2</f>
        <v>329841.72727272724</v>
      </c>
      <c r="AK33" s="746">
        <f>AJ33/AJ21</f>
        <v>4.2638517521994754E-2</v>
      </c>
      <c r="AL33" s="768">
        <f t="shared" si="145"/>
        <v>8.9119917665755377</v>
      </c>
      <c r="AM33" s="916">
        <f>AI33*(1+Inflation)</f>
        <v>2322.8290653008962</v>
      </c>
      <c r="AN33" s="772">
        <f>AQ33*$B$2</f>
        <v>336828.37476859504</v>
      </c>
      <c r="AO33" s="746">
        <f>AN33/AN21</f>
        <v>4.0188944427496605E-2</v>
      </c>
      <c r="AP33" s="768">
        <f t="shared" si="146"/>
        <v>9.3839743346686078</v>
      </c>
      <c r="AQ33" s="916">
        <f>AM33*(1+Inflation)</f>
        <v>2372.0308082295423</v>
      </c>
      <c r="AR33" s="772">
        <f>AU33*$B$2</f>
        <v>343963.01216142072</v>
      </c>
      <c r="AS33" s="746">
        <f>AR33/AR21</f>
        <v>3.5494452496620595E-2</v>
      </c>
      <c r="AT33" s="768">
        <f t="shared" ref="AT33:AT34" si="196">AR33/$AN$9</f>
        <v>9.582743972848407</v>
      </c>
      <c r="AU33" s="916">
        <f>AQ33*(1+Inflation)</f>
        <v>2422.2747335311319</v>
      </c>
      <c r="AV33" s="772">
        <f t="shared" ref="AV33:AV34" si="197">AY33*$B$2</f>
        <v>351248.77414629445</v>
      </c>
      <c r="AW33" s="746">
        <f t="shared" ref="AW33" si="198">AV33/AV21</f>
        <v>3.4705548477609989E-2</v>
      </c>
      <c r="AX33" s="768">
        <f t="shared" si="150"/>
        <v>9.7857239133641958</v>
      </c>
      <c r="AY33" s="916">
        <f>AU33*(1+Inflation)</f>
        <v>2473.5829165232003</v>
      </c>
      <c r="AZ33" s="772">
        <f t="shared" ref="AZ33:AZ34" si="199">BC33*$B$2</f>
        <v>358688.86181684776</v>
      </c>
      <c r="BA33" s="746">
        <f t="shared" ref="BA33" si="200">AZ33/AZ21</f>
        <v>3.500243837765233E-2</v>
      </c>
      <c r="BB33" s="768">
        <f t="shared" si="153"/>
        <v>9.993003338074546</v>
      </c>
      <c r="BC33" s="916">
        <f>AY33*(1+Inflation)</f>
        <v>2525.9779001186462</v>
      </c>
      <c r="BD33" s="772">
        <f t="shared" ref="BD33:BD34" si="201">BG33*$B$2</f>
        <v>366286.54407169553</v>
      </c>
      <c r="BE33" s="746">
        <f t="shared" ref="BE33" si="202">BD33/BD21</f>
        <v>3.5275955506202508E-2</v>
      </c>
      <c r="BF33" s="768">
        <f t="shared" si="156"/>
        <v>10.204673317871944</v>
      </c>
      <c r="BG33" s="916">
        <f>BC33*(1+Inflation)</f>
        <v>2579.4827047302501</v>
      </c>
      <c r="BH33" s="772">
        <f t="shared" ref="BH33:BH34" si="203">BK33*$B$2</f>
        <v>374045.15905066871</v>
      </c>
      <c r="BI33" s="746">
        <f t="shared" ref="BI33" si="204">BH33/BH21</f>
        <v>3.5704673760372896E-2</v>
      </c>
      <c r="BJ33" s="768">
        <f t="shared" si="159"/>
        <v>10.420826852695958</v>
      </c>
      <c r="BK33" s="916">
        <f>BG33*(1+Inflation)</f>
        <v>2634.1208383849907</v>
      </c>
      <c r="BL33" s="772">
        <f t="shared" ref="BL33:BL34" si="205">BO33*$B$2</f>
        <v>381968.11560146924</v>
      </c>
      <c r="BM33" s="746">
        <f t="shared" ref="BM33" si="206">BL33/BL21</f>
        <v>3.605883330822255E-2</v>
      </c>
      <c r="BN33" s="768">
        <f t="shared" si="162"/>
        <v>10.641558912393972</v>
      </c>
      <c r="BO33" s="916">
        <f>BK33*(1+Inflation)</f>
        <v>2689.9163070526001</v>
      </c>
      <c r="BP33" s="772">
        <f t="shared" ref="BP33:BP34" si="207">BS33*$B$2</f>
        <v>390058.89477739128</v>
      </c>
      <c r="BQ33" s="746">
        <f t="shared" ref="BQ33" si="208">BP33/BP21</f>
        <v>3.641500078626534E-2</v>
      </c>
      <c r="BR33" s="768">
        <f t="shared" si="165"/>
        <v>10.866966478447409</v>
      </c>
      <c r="BS33" s="916">
        <f>BO33*(1+Inflation)</f>
        <v>2746.8936251928963</v>
      </c>
      <c r="BT33" s="772">
        <f>BW33*$B$2</f>
        <v>398321.05136676691</v>
      </c>
      <c r="BU33" s="746">
        <f t="shared" ref="BU33" si="209">BT33/BT21</f>
        <v>3.6694351338155393E-2</v>
      </c>
      <c r="BV33" s="768">
        <f t="shared" si="167"/>
        <v>11.097148586581794</v>
      </c>
      <c r="BW33" s="916">
        <f>BS33*(1+Inflation)</f>
        <v>2805.0778265265276</v>
      </c>
      <c r="BX33" s="805"/>
      <c r="CI33" s="211"/>
    </row>
    <row r="34" spans="1:87" x14ac:dyDescent="0.2">
      <c r="A34" s="741" t="s">
        <v>166</v>
      </c>
      <c r="B34" s="1135">
        <v>271600.00000000099</v>
      </c>
      <c r="C34" s="1147">
        <f>B34/B$21</f>
        <v>4.7722447929643648E-2</v>
      </c>
      <c r="D34" s="1135">
        <v>288047.00000000081</v>
      </c>
      <c r="E34" s="1147">
        <f t="shared" si="133"/>
        <v>5.8221223549795545E-2</v>
      </c>
      <c r="F34" s="1135">
        <v>324940.00000000023</v>
      </c>
      <c r="G34" s="1147">
        <f t="shared" si="134"/>
        <v>5.1434903047091453E-2</v>
      </c>
      <c r="H34" s="1135">
        <v>340360</v>
      </c>
      <c r="I34" s="1147">
        <f t="shared" si="135"/>
        <v>5.1206133422397944E-2</v>
      </c>
      <c r="J34" s="1135">
        <v>300000</v>
      </c>
      <c r="K34" s="1147">
        <f t="shared" si="136"/>
        <v>4.5785868649500017E-2</v>
      </c>
      <c r="L34" s="1135">
        <v>348000</v>
      </c>
      <c r="M34" s="874">
        <f t="shared" si="137"/>
        <v>5.1826126324693661E-2</v>
      </c>
      <c r="N34" s="1019">
        <v>322000</v>
      </c>
      <c r="O34" s="766">
        <f t="shared" si="138"/>
        <v>4.7556454828752454E-2</v>
      </c>
      <c r="P34" s="1020">
        <v>322000</v>
      </c>
      <c r="Q34" s="766">
        <f t="shared" si="139"/>
        <v>0.20094388484879974</v>
      </c>
      <c r="R34" s="1020">
        <v>322000</v>
      </c>
      <c r="S34" s="766">
        <f t="shared" si="140"/>
        <v>0.16736155374358341</v>
      </c>
      <c r="T34" s="1020">
        <v>322000</v>
      </c>
      <c r="U34" s="766">
        <f t="shared" si="141"/>
        <v>7.6352681932697453E-2</v>
      </c>
      <c r="V34" s="1020">
        <v>595000</v>
      </c>
      <c r="W34" s="766">
        <f t="shared" si="142"/>
        <v>0.1078204237252047</v>
      </c>
      <c r="X34" s="1014">
        <v>400000</v>
      </c>
      <c r="Y34" s="746">
        <f>X34/X$21</f>
        <v>6.3558093288980377E-2</v>
      </c>
      <c r="Z34" s="768">
        <f t="shared" si="143"/>
        <v>10.358616333321216</v>
      </c>
      <c r="AA34" s="769">
        <f t="shared" si="125"/>
        <v>2816.9014084507044</v>
      </c>
      <c r="AB34" s="772">
        <f>AE34*$B$2</f>
        <v>408472.72727272729</v>
      </c>
      <c r="AC34" s="746">
        <f>AB34/AB$21</f>
        <v>6.4593217234423336E-2</v>
      </c>
      <c r="AD34" s="768">
        <f t="shared" si="144"/>
        <v>10.587406424735681</v>
      </c>
      <c r="AE34" s="916">
        <f>AA34*(1+Inflation)</f>
        <v>2876.5685019206148</v>
      </c>
      <c r="AF34" s="901">
        <f>AI34*$B$2</f>
        <v>440000.00000000006</v>
      </c>
      <c r="AG34" s="746">
        <f>AF34/AF21</f>
        <v>6.0134949235109633E-2</v>
      </c>
      <c r="AH34" s="768">
        <f t="shared" si="168"/>
        <v>12.168814646827812</v>
      </c>
      <c r="AI34" s="1185">
        <f>ASSUMPTIONS!F23</f>
        <v>3098.5915492957752</v>
      </c>
      <c r="AJ34" s="772">
        <f>AM34*$B$2</f>
        <v>449320.00000000012</v>
      </c>
      <c r="AK34" s="746">
        <f>AJ34/AJ21</f>
        <v>5.8083429441726619E-2</v>
      </c>
      <c r="AL34" s="768">
        <f t="shared" si="145"/>
        <v>12.140174542703523</v>
      </c>
      <c r="AM34" s="916">
        <f>AI34*(1+Inflation)</f>
        <v>3164.2253521126768</v>
      </c>
      <c r="AN34" s="772">
        <f>AQ34*$B$2</f>
        <v>458837.41454545461</v>
      </c>
      <c r="AO34" s="746">
        <f>AN34/AN21</f>
        <v>5.4746549684515505E-2</v>
      </c>
      <c r="AP34" s="768">
        <f t="shared" si="146"/>
        <v>12.783122932675505</v>
      </c>
      <c r="AQ34" s="916">
        <f>AM34*(1+Inflation)</f>
        <v>3231.249398207427</v>
      </c>
      <c r="AR34" s="772">
        <f>AU34*$B$2</f>
        <v>468556.42523537198</v>
      </c>
      <c r="AS34" s="746">
        <f>AR34/AR21</f>
        <v>4.8351576156387195E-2</v>
      </c>
      <c r="AT34" s="768">
        <f t="shared" si="196"/>
        <v>13.053892718431269</v>
      </c>
      <c r="AU34" s="916">
        <f>AQ34*(1+Inflation)</f>
        <v>3299.6931354603662</v>
      </c>
      <c r="AV34" s="772">
        <f t="shared" si="197"/>
        <v>478481.30224263034</v>
      </c>
      <c r="AW34" s="746">
        <f t="shared" ref="AW34" si="210">AV34/AV21</f>
        <v>4.7276908142874302E-2</v>
      </c>
      <c r="AX34" s="768">
        <f t="shared" si="150"/>
        <v>13.330397900558042</v>
      </c>
      <c r="AY34" s="916">
        <f>AU34*(1+Inflation)</f>
        <v>3369.5866355114813</v>
      </c>
      <c r="AZ34" s="772">
        <f t="shared" si="199"/>
        <v>488616.40619013336</v>
      </c>
      <c r="BA34" s="746">
        <f t="shared" ref="BA34" si="211">AZ34/AZ21</f>
        <v>4.7681340204851493E-2</v>
      </c>
      <c r="BB34" s="768">
        <f t="shared" si="153"/>
        <v>13.612759965178954</v>
      </c>
      <c r="BC34" s="916">
        <f>AY34*(1+Inflation)</f>
        <v>3440.9606069727702</v>
      </c>
      <c r="BD34" s="772">
        <f t="shared" si="201"/>
        <v>498966.19006670621</v>
      </c>
      <c r="BE34" s="746">
        <f t="shared" ref="BE34" si="212">BD34/BD21</f>
        <v>4.8053933197303743E-2</v>
      </c>
      <c r="BF34" s="768">
        <f t="shared" si="156"/>
        <v>13.901102971714108</v>
      </c>
      <c r="BG34" s="916">
        <f>BC34*(1+Inflation)</f>
        <v>3513.8464089204663</v>
      </c>
      <c r="BH34" s="772">
        <f t="shared" si="203"/>
        <v>509535.20118357375</v>
      </c>
      <c r="BI34" s="746">
        <f t="shared" ref="BI34" si="213">BH34/BH21</f>
        <v>4.8637945679764961E-2</v>
      </c>
      <c r="BJ34" s="768">
        <f t="shared" si="159"/>
        <v>14.195553607387691</v>
      </c>
      <c r="BK34" s="916">
        <f>BG34*(1+Inflation)</f>
        <v>3588.2760646730544</v>
      </c>
      <c r="BL34" s="772">
        <f t="shared" si="205"/>
        <v>520328.08317228034</v>
      </c>
      <c r="BM34" s="746">
        <f t="shared" ref="BM34" si="214">BL34/BL21</f>
        <v>4.9120392122656127E-2</v>
      </c>
      <c r="BN34" s="768">
        <f t="shared" si="162"/>
        <v>14.49624124288963</v>
      </c>
      <c r="BO34" s="916">
        <f>BK34*(1+Inflation)</f>
        <v>3664.2822758611292</v>
      </c>
      <c r="BP34" s="772">
        <f t="shared" si="207"/>
        <v>531349.57802492951</v>
      </c>
      <c r="BQ34" s="746">
        <f t="shared" ref="BQ34" si="215">BP34/BP21</f>
        <v>4.9605573826491507E-2</v>
      </c>
      <c r="BR34" s="768">
        <f t="shared" si="165"/>
        <v>14.80329798921629</v>
      </c>
      <c r="BS34" s="916">
        <f>BO34*(1+Inflation)</f>
        <v>3741.8984367952785</v>
      </c>
      <c r="BT34" s="772">
        <f>BW34*$B$2</f>
        <v>542604.52817763947</v>
      </c>
      <c r="BU34" s="746">
        <f t="shared" ref="BU34" si="216">BT34/BT21</f>
        <v>4.9986113277982608E-2</v>
      </c>
      <c r="BV34" s="768">
        <f t="shared" si="167"/>
        <v>15.116858755715146</v>
      </c>
      <c r="BW34" s="916">
        <f>BS34*(1+Inflation)</f>
        <v>3821.1586491383059</v>
      </c>
      <c r="BX34" s="805"/>
      <c r="CI34" s="211"/>
    </row>
    <row r="35" spans="1:87" ht="17" thickBot="1" x14ac:dyDescent="0.25">
      <c r="A35" s="1115" t="s">
        <v>274</v>
      </c>
      <c r="B35" s="1136">
        <f>SUM(B30:B34)</f>
        <v>1618800.0000000009</v>
      </c>
      <c r="C35" s="1151">
        <f>B35/B$21</f>
        <v>0.28443703500923012</v>
      </c>
      <c r="D35" s="1136">
        <f t="shared" ref="D35" si="217">SUM(D30:D34)</f>
        <v>1604777.0000000009</v>
      </c>
      <c r="E35" s="1151">
        <f t="shared" si="133"/>
        <v>0.32436401165285539</v>
      </c>
      <c r="F35" s="1136">
        <f>SUM(F30:F34)</f>
        <v>1840000.0000000002</v>
      </c>
      <c r="G35" s="1151">
        <f t="shared" si="134"/>
        <v>0.29125445191927191</v>
      </c>
      <c r="H35" s="1136">
        <f>SUM(H30:H34)</f>
        <v>1882400</v>
      </c>
      <c r="I35" s="1151">
        <f t="shared" si="135"/>
        <v>0.2832013913336523</v>
      </c>
      <c r="J35" s="1136">
        <f>SUM(J30:J34)</f>
        <v>1731000</v>
      </c>
      <c r="K35" s="1151">
        <f t="shared" si="136"/>
        <v>0.26418446210761509</v>
      </c>
      <c r="L35" s="1136">
        <f>SUM(L30:L34)</f>
        <v>1924000</v>
      </c>
      <c r="M35" s="1137">
        <f t="shared" si="137"/>
        <v>0.28653295128939826</v>
      </c>
      <c r="N35" s="1075">
        <f>SUM(N30:N34)</f>
        <v>1476000</v>
      </c>
      <c r="O35" s="1076">
        <f t="shared" si="138"/>
        <v>0.21799169977403299</v>
      </c>
      <c r="P35" s="1077">
        <f>SUM(P30:P34)</f>
        <v>1476000</v>
      </c>
      <c r="Q35" s="1076">
        <f t="shared" si="139"/>
        <v>0.92109681377897024</v>
      </c>
      <c r="R35" s="1077">
        <f>SUM(R30:R34)</f>
        <v>1476000</v>
      </c>
      <c r="S35" s="1076">
        <f t="shared" si="140"/>
        <v>0.76716041405443824</v>
      </c>
      <c r="T35" s="1077">
        <f>SUM(T30:T34)</f>
        <v>1476000</v>
      </c>
      <c r="U35" s="1076">
        <f t="shared" si="141"/>
        <v>0.34998931221323426</v>
      </c>
      <c r="V35" s="1077">
        <f>SUM(V30:V34)</f>
        <v>1990000</v>
      </c>
      <c r="W35" s="1076">
        <f t="shared" si="142"/>
        <v>0.36060948439186108</v>
      </c>
      <c r="X35" s="1078">
        <f>SUM(X30:X34)</f>
        <v>1350000</v>
      </c>
      <c r="Y35" s="1079">
        <f>X35/X$21</f>
        <v>0.21450856485030878</v>
      </c>
      <c r="Z35" s="1080">
        <f t="shared" si="143"/>
        <v>34.9603301249591</v>
      </c>
      <c r="AA35" s="1081">
        <f t="shared" si="125"/>
        <v>9507.0422535211273</v>
      </c>
      <c r="AB35" s="1082">
        <f>SUM(AB30:AB34)</f>
        <v>1378595.4545454546</v>
      </c>
      <c r="AC35" s="1079">
        <f t="shared" ref="AC35:AC41" si="218">AB35/$AB$21</f>
        <v>0.21800210816617874</v>
      </c>
      <c r="AD35" s="1080">
        <f t="shared" si="144"/>
        <v>35.732496683482921</v>
      </c>
      <c r="AE35" s="1178">
        <f t="shared" si="89"/>
        <v>9708.4186939820738</v>
      </c>
      <c r="AF35" s="1163">
        <f>SUM(AF30:AF34)</f>
        <v>1710036.2998762927</v>
      </c>
      <c r="AG35" s="1079">
        <f t="shared" ref="AG35:AG36" si="219">AF35/$AF$21</f>
        <v>0.2337112410983081</v>
      </c>
      <c r="AH35" s="1080">
        <f>AF35/$AF$9</f>
        <v>47.293442664867875</v>
      </c>
      <c r="AI35" s="1081">
        <f t="shared" si="21"/>
        <v>12042.5091540584</v>
      </c>
      <c r="AJ35" s="1083">
        <f>SUM(AJ30:AJ34)</f>
        <v>1709870.6104006385</v>
      </c>
      <c r="AK35" s="1079">
        <f t="shared" ref="AK35:AK41" si="220">AJ35/$AJ$21</f>
        <v>0.2210343384529678</v>
      </c>
      <c r="AL35" s="1080">
        <f t="shared" si="145"/>
        <v>46.198984366827119</v>
      </c>
      <c r="AM35" s="1178">
        <f t="shared" si="88"/>
        <v>12041.34232676506</v>
      </c>
      <c r="AN35" s="1083">
        <f>SUM(AN30:AN34)</f>
        <v>1761234.8688464176</v>
      </c>
      <c r="AO35" s="1079">
        <f t="shared" ref="AO35:AO41" si="221">AN35/$AN$21</f>
        <v>0.21014313392233094</v>
      </c>
      <c r="AP35" s="1080">
        <f t="shared" si="146"/>
        <v>49.067667823213284</v>
      </c>
      <c r="AQ35" s="1178">
        <f t="shared" si="25"/>
        <v>12403.062456664913</v>
      </c>
      <c r="AR35" s="1082">
        <f>SUM(AR30:AR34)</f>
        <v>1870267.0346686966</v>
      </c>
      <c r="AS35" s="1079">
        <f t="shared" ref="AS35:AS41" si="222">AR35/$AR$21</f>
        <v>0.1929977993880623</v>
      </c>
      <c r="AT35" s="1080">
        <f t="shared" ref="AT35:AT41" si="223">AR35/$AR$9</f>
        <v>47.068504710423973</v>
      </c>
      <c r="AU35" s="1178">
        <f t="shared" si="27"/>
        <v>13170.894610342933</v>
      </c>
      <c r="AV35" s="1082">
        <f>SUM(AV30:AV34)</f>
        <v>1922916.0059475345</v>
      </c>
      <c r="AW35" s="1079">
        <f t="shared" ref="AW35:AW41" si="224">AV35/$AV$21</f>
        <v>0.1899959788471432</v>
      </c>
      <c r="AX35" s="1080">
        <f t="shared" ref="AX35:AX41" si="225">AV35/$AV$9</f>
        <v>46.448368461739037</v>
      </c>
      <c r="AY35" s="1178">
        <f t="shared" si="30"/>
        <v>13541.662013715031</v>
      </c>
      <c r="AZ35" s="1083">
        <f>SUM(AZ30:AZ34)</f>
        <v>1958329.0189701598</v>
      </c>
      <c r="BA35" s="1079">
        <f>AZ35/$AZ$21</f>
        <v>0.19110236783620058</v>
      </c>
      <c r="BB35" s="1080">
        <f t="shared" ref="BB35:BB41" si="226">AZ35/$AZ$9</f>
        <v>47.215956673019576</v>
      </c>
      <c r="BC35" s="1178">
        <f t="shared" si="33"/>
        <v>13791.049429367322</v>
      </c>
      <c r="BD35" s="1083">
        <f>SUM(BD30:BD34)</f>
        <v>1994865.7441903255</v>
      </c>
      <c r="BE35" s="1079">
        <f t="shared" ref="BE35:BE41" si="227">BD35/$BD$21</f>
        <v>0.19211952055528242</v>
      </c>
      <c r="BF35" s="1080">
        <f t="shared" ref="BF35:BF41" si="228">BD35/$BD$9</f>
        <v>47.965033522248753</v>
      </c>
      <c r="BG35" s="1178">
        <f t="shared" si="35"/>
        <v>14048.350311199476</v>
      </c>
      <c r="BH35" s="1083">
        <f>SUM(BH30:BH34)</f>
        <v>2029461.5838711727</v>
      </c>
      <c r="BI35" s="1079">
        <f t="shared" ref="BI35:BI41" si="229">BH35/$BH$21</f>
        <v>0.19372330321086756</v>
      </c>
      <c r="BJ35" s="1080">
        <f t="shared" ref="BJ35:BJ41" si="230">BH35/$BH$9</f>
        <v>48.930986205785821</v>
      </c>
      <c r="BK35" s="1178">
        <f t="shared" si="37"/>
        <v>14291.982985008259</v>
      </c>
      <c r="BL35" s="1083">
        <f>SUM(BL30:BL34)</f>
        <v>2066085.8445892853</v>
      </c>
      <c r="BM35" s="1079">
        <f t="shared" ref="BM35:BM41" si="231">BL35/$BL$21</f>
        <v>0.19504414642884574</v>
      </c>
      <c r="BN35" s="1080">
        <f t="shared" ref="BN35:BN41" si="232">BL35/$BL$9</f>
        <v>49.814009176132835</v>
      </c>
      <c r="BO35" s="1178">
        <f t="shared" si="39"/>
        <v>14549.900314009052</v>
      </c>
      <c r="BP35" s="1083">
        <f>SUM(BP30:BP34)</f>
        <v>2103434.837457818</v>
      </c>
      <c r="BQ35" s="1079">
        <f>BP35/$BP$21</f>
        <v>0.19637183585724519</v>
      </c>
      <c r="BR35" s="1080">
        <f t="shared" ref="BR35:BR36" si="233">BP35/$BL$9</f>
        <v>50.714505676965423</v>
      </c>
      <c r="BS35" s="1178">
        <f t="shared" ref="BS35:BS36" si="234">BP35/$B$2</f>
        <v>14812.921390548014</v>
      </c>
      <c r="BT35" s="1083">
        <f>SUM(BT30:BT34)</f>
        <v>2142884.6329585947</v>
      </c>
      <c r="BU35" s="1079">
        <f>BT35/$BP$21</f>
        <v>0.20005477798063567</v>
      </c>
      <c r="BV35" s="1080">
        <f t="shared" ref="BV35" si="235">BT35/$BL$9</f>
        <v>51.665653220141643</v>
      </c>
      <c r="BW35" s="1178">
        <f t="shared" ref="BW35" si="236">BT35/$B$2</f>
        <v>15090.73685182109</v>
      </c>
      <c r="BX35" s="805"/>
      <c r="CI35" s="211"/>
    </row>
    <row r="36" spans="1:87" ht="18" thickTop="1" thickBot="1" x14ac:dyDescent="0.25">
      <c r="A36" s="1116" t="s">
        <v>241</v>
      </c>
      <c r="B36" s="1138">
        <f>B28-B35</f>
        <v>1295142.1912199995</v>
      </c>
      <c r="C36" s="1152">
        <f>B36/$B$21</f>
        <v>0.22756758388063617</v>
      </c>
      <c r="D36" s="1138">
        <f t="shared" ref="D36" si="237">D28-D35</f>
        <v>750057.0369648966</v>
      </c>
      <c r="E36" s="1152">
        <f t="shared" si="133"/>
        <v>0.15160455906234185</v>
      </c>
      <c r="F36" s="1138">
        <f>F28-F35</f>
        <v>1483223.9750000008</v>
      </c>
      <c r="G36" s="1152">
        <f t="shared" si="134"/>
        <v>0.2347802097348636</v>
      </c>
      <c r="H36" s="1138">
        <f>H28-H35</f>
        <v>1747850.5565999998</v>
      </c>
      <c r="I36" s="1152">
        <f t="shared" si="135"/>
        <v>0.26295883418636767</v>
      </c>
      <c r="J36" s="1138">
        <f>J28-J35</f>
        <v>1865667.0684000002</v>
      </c>
      <c r="K36" s="1152">
        <f t="shared" si="136"/>
        <v>0.28473729112486723</v>
      </c>
      <c r="L36" s="1138">
        <f>L28-L35</f>
        <v>2005560</v>
      </c>
      <c r="M36" s="1139">
        <f t="shared" si="137"/>
        <v>0.29867932733262248</v>
      </c>
      <c r="N36" s="1066">
        <f>N28-N35</f>
        <v>2430500</v>
      </c>
      <c r="O36" s="1067">
        <f t="shared" si="138"/>
        <v>0.35896261944497776</v>
      </c>
      <c r="P36" s="1068">
        <f>P28-P35</f>
        <v>-646280.56304000004</v>
      </c>
      <c r="Q36" s="1067">
        <f t="shared" si="139"/>
        <v>-0.40331095353890445</v>
      </c>
      <c r="R36" s="1068">
        <f>R28-R35</f>
        <v>-458361.81391999999</v>
      </c>
      <c r="S36" s="1067">
        <f t="shared" si="140"/>
        <v>-0.23823647625583372</v>
      </c>
      <c r="T36" s="1068">
        <f>T28-T35</f>
        <v>795005.17936000042</v>
      </c>
      <c r="U36" s="1067">
        <f t="shared" si="141"/>
        <v>0.18851173166000373</v>
      </c>
      <c r="V36" s="1068">
        <f>V28-V35</f>
        <v>926460</v>
      </c>
      <c r="W36" s="1067">
        <f t="shared" si="142"/>
        <v>0.16788455422597168</v>
      </c>
      <c r="X36" s="1068">
        <f>X28-X35</f>
        <v>1851065</v>
      </c>
      <c r="Y36" s="1069">
        <f>X36/$X$21</f>
        <v>0.29412540488491618</v>
      </c>
      <c r="Z36" s="1070">
        <f t="shared" si="143"/>
        <v>47.936180357598083</v>
      </c>
      <c r="AA36" s="1071">
        <f t="shared" si="125"/>
        <v>13035.669014084508</v>
      </c>
      <c r="AB36" s="1072">
        <f>AB28-AB35</f>
        <v>1843250.5713726743</v>
      </c>
      <c r="AC36" s="1069">
        <f t="shared" si="218"/>
        <v>0.29147964264124693</v>
      </c>
      <c r="AD36" s="1070">
        <f t="shared" si="144"/>
        <v>47.776122220073979</v>
      </c>
      <c r="AE36" s="1074">
        <f t="shared" si="89"/>
        <v>12980.637826568129</v>
      </c>
      <c r="AF36" s="1164">
        <f>AF28-AF35</f>
        <v>2246678.4631292666</v>
      </c>
      <c r="AG36" s="1069">
        <f t="shared" si="219"/>
        <v>0.30705430756339219</v>
      </c>
      <c r="AH36" s="1070">
        <f t="shared" si="168"/>
        <v>62.135031338272768</v>
      </c>
      <c r="AI36" s="1071">
        <f t="shared" si="21"/>
        <v>15821.679317811737</v>
      </c>
      <c r="AJ36" s="1073">
        <f>AJ28-AJ35</f>
        <v>2526467.0326686092</v>
      </c>
      <c r="AK36" s="1069">
        <f t="shared" si="220"/>
        <v>0.32659545452874467</v>
      </c>
      <c r="AL36" s="1070">
        <f t="shared" si="145"/>
        <v>68.262598488790061</v>
      </c>
      <c r="AM36" s="1074">
        <f t="shared" si="88"/>
        <v>17792.021356821191</v>
      </c>
      <c r="AN36" s="1073">
        <f>AN28-AN35</f>
        <v>2777202.8800657718</v>
      </c>
      <c r="AO36" s="1069">
        <f t="shared" si="221"/>
        <v>0.33136416220137666</v>
      </c>
      <c r="AP36" s="1070">
        <f t="shared" si="146"/>
        <v>77.372343011806194</v>
      </c>
      <c r="AQ36" s="1074">
        <f t="shared" si="25"/>
        <v>19557.76676102656</v>
      </c>
      <c r="AR36" s="1073">
        <f>AR28-AR35</f>
        <v>3516944.6119435211</v>
      </c>
      <c r="AS36" s="1069">
        <f t="shared" si="222"/>
        <v>0.36292281160537049</v>
      </c>
      <c r="AT36" s="1070">
        <f t="shared" si="223"/>
        <v>88.509994008896967</v>
      </c>
      <c r="AU36" s="1074">
        <f t="shared" si="27"/>
        <v>24767.215577067051</v>
      </c>
      <c r="AV36" s="1073">
        <f>AV28-AV35</f>
        <v>3722151.5168315037</v>
      </c>
      <c r="AW36" s="1069">
        <f t="shared" si="224"/>
        <v>0.36777156083284257</v>
      </c>
      <c r="AX36" s="1070">
        <f t="shared" si="225"/>
        <v>89.909213189485342</v>
      </c>
      <c r="AY36" s="1074">
        <f t="shared" si="30"/>
        <v>26212.334625573971</v>
      </c>
      <c r="AZ36" s="1073">
        <f>AZ28-AZ35</f>
        <v>3747986.2577490052</v>
      </c>
      <c r="BA36" s="1069">
        <f t="shared" ref="BA36:BA41" si="238">AZ36/$AZ$21</f>
        <v>0.36574500073028288</v>
      </c>
      <c r="BB36" s="1070">
        <f t="shared" si="226"/>
        <v>90.365181255400842</v>
      </c>
      <c r="BC36" s="1074">
        <f t="shared" si="33"/>
        <v>26394.269420767643</v>
      </c>
      <c r="BD36" s="1073">
        <f>BD28-BD35</f>
        <v>3778166.808273939</v>
      </c>
      <c r="BE36" s="1069">
        <f t="shared" si="227"/>
        <v>0.36386388301939693</v>
      </c>
      <c r="BF36" s="1070">
        <f t="shared" si="228"/>
        <v>90.843154803412816</v>
      </c>
      <c r="BG36" s="1074">
        <f t="shared" si="35"/>
        <v>26606.8085089714</v>
      </c>
      <c r="BH36" s="1073">
        <f>BH28-BH35</f>
        <v>3781851.4937010705</v>
      </c>
      <c r="BI36" s="1069">
        <f t="shared" si="229"/>
        <v>0.36099858673611201</v>
      </c>
      <c r="BJ36" s="1070">
        <f t="shared" si="230"/>
        <v>91.181683231292084</v>
      </c>
      <c r="BK36" s="1074">
        <f t="shared" si="37"/>
        <v>26632.756997894863</v>
      </c>
      <c r="BL36" s="1073">
        <f>BL28-BL35</f>
        <v>3798647.5078895036</v>
      </c>
      <c r="BM36" s="1069">
        <f t="shared" si="231"/>
        <v>0.35860269925408333</v>
      </c>
      <c r="BN36" s="1070">
        <f t="shared" si="232"/>
        <v>91.58664065699449</v>
      </c>
      <c r="BO36" s="1074">
        <f t="shared" si="39"/>
        <v>26751.03878795425</v>
      </c>
      <c r="BP36" s="1073">
        <f>BP28-BP35</f>
        <v>3815345.058885579</v>
      </c>
      <c r="BQ36" s="1069">
        <f>BP36/$BP$21</f>
        <v>0.35619183456509396</v>
      </c>
      <c r="BR36" s="1070">
        <f t="shared" si="233"/>
        <v>91.989224102748068</v>
      </c>
      <c r="BS36" s="1074">
        <f t="shared" si="234"/>
        <v>26868.627175250556</v>
      </c>
      <c r="BT36" s="1073">
        <f>BT28-BT35</f>
        <v>3845576.4882480949</v>
      </c>
      <c r="BU36" s="1069">
        <f>BT36/$BP$21</f>
        <v>0.35901417123974977</v>
      </c>
      <c r="BV36" s="1070">
        <f t="shared" ref="BV36" si="239">BT36/$BL$9</f>
        <v>92.718113806733896</v>
      </c>
      <c r="BW36" s="1074">
        <f t="shared" ref="BW36" si="240">BT36/$B$2</f>
        <v>27081.524565127427</v>
      </c>
      <c r="BX36" s="805"/>
      <c r="CI36" s="211"/>
    </row>
    <row r="37" spans="1:87" x14ac:dyDescent="0.2">
      <c r="A37" s="284" t="s">
        <v>242</v>
      </c>
      <c r="B37" s="1140">
        <v>0</v>
      </c>
      <c r="C37" s="852">
        <f>B37/$B$21</f>
        <v>0</v>
      </c>
      <c r="D37" s="1140">
        <v>0</v>
      </c>
      <c r="E37" s="852">
        <f t="shared" si="133"/>
        <v>0</v>
      </c>
      <c r="F37" s="1140">
        <v>0</v>
      </c>
      <c r="G37" s="852">
        <f t="shared" si="134"/>
        <v>0</v>
      </c>
      <c r="H37" s="1140">
        <v>0</v>
      </c>
      <c r="I37" s="852">
        <f t="shared" si="135"/>
        <v>0</v>
      </c>
      <c r="J37" s="1140">
        <v>0</v>
      </c>
      <c r="K37" s="852">
        <f t="shared" si="136"/>
        <v>0</v>
      </c>
      <c r="L37" s="1140">
        <v>0</v>
      </c>
      <c r="M37" s="885">
        <f t="shared" si="137"/>
        <v>0</v>
      </c>
      <c r="N37" s="1064">
        <v>0</v>
      </c>
      <c r="O37" s="823">
        <f t="shared" si="138"/>
        <v>0</v>
      </c>
      <c r="P37" s="1065">
        <v>0</v>
      </c>
      <c r="Q37" s="823">
        <f t="shared" si="139"/>
        <v>0</v>
      </c>
      <c r="R37" s="1065">
        <v>0</v>
      </c>
      <c r="S37" s="823">
        <f t="shared" si="140"/>
        <v>0</v>
      </c>
      <c r="T37" s="1065">
        <v>0</v>
      </c>
      <c r="U37" s="823">
        <f t="shared" si="141"/>
        <v>0</v>
      </c>
      <c r="V37" s="1065">
        <v>0</v>
      </c>
      <c r="W37" s="823">
        <f t="shared" si="142"/>
        <v>0</v>
      </c>
      <c r="X37" s="824">
        <v>0</v>
      </c>
      <c r="Y37" s="825">
        <f>X37/$X$21</f>
        <v>0</v>
      </c>
      <c r="Z37" s="826">
        <f t="shared" si="143"/>
        <v>0</v>
      </c>
      <c r="AA37" s="897">
        <f t="shared" si="125"/>
        <v>0</v>
      </c>
      <c r="AB37" s="1029">
        <f>AC37*AB21</f>
        <v>0</v>
      </c>
      <c r="AC37" s="825">
        <v>0</v>
      </c>
      <c r="AD37" s="826">
        <f t="shared" si="144"/>
        <v>0</v>
      </c>
      <c r="AE37" s="918">
        <f t="shared" si="89"/>
        <v>0</v>
      </c>
      <c r="AF37" s="1165"/>
      <c r="AG37" s="825"/>
      <c r="AH37" s="826"/>
      <c r="AI37" s="897"/>
      <c r="AJ37" s="1029"/>
      <c r="AK37" s="825"/>
      <c r="AL37" s="826"/>
      <c r="AM37" s="918"/>
      <c r="AN37" s="1029"/>
      <c r="AO37" s="825"/>
      <c r="AP37" s="826"/>
      <c r="AQ37" s="918"/>
      <c r="AR37" s="1029"/>
      <c r="AS37" s="825"/>
      <c r="AT37" s="826"/>
      <c r="AU37" s="918"/>
      <c r="AV37" s="1029"/>
      <c r="AW37" s="825"/>
      <c r="AX37" s="826"/>
      <c r="AY37" s="918"/>
      <c r="AZ37" s="1029"/>
      <c r="BA37" s="825"/>
      <c r="BB37" s="826"/>
      <c r="BC37" s="918"/>
      <c r="BD37" s="1029"/>
      <c r="BE37" s="825"/>
      <c r="BF37" s="826"/>
      <c r="BG37" s="918"/>
      <c r="BH37" s="1029"/>
      <c r="BI37" s="825"/>
      <c r="BJ37" s="826"/>
      <c r="BK37" s="918"/>
      <c r="BL37" s="1029"/>
      <c r="BM37" s="825"/>
      <c r="BN37" s="826"/>
      <c r="BO37" s="918"/>
      <c r="BP37" s="1029"/>
      <c r="BQ37" s="825"/>
      <c r="BR37" s="826"/>
      <c r="BS37" s="918"/>
      <c r="BT37" s="1029"/>
      <c r="BU37" s="825"/>
      <c r="BV37" s="826"/>
      <c r="BW37" s="918"/>
      <c r="BX37" s="805"/>
      <c r="CI37" s="211"/>
    </row>
    <row r="38" spans="1:87" x14ac:dyDescent="0.2">
      <c r="A38" s="678" t="s">
        <v>275</v>
      </c>
      <c r="B38" s="1141"/>
      <c r="C38" s="1147"/>
      <c r="D38" s="1141"/>
      <c r="E38" s="1147"/>
      <c r="F38" s="1141"/>
      <c r="G38" s="1147"/>
      <c r="H38" s="1141"/>
      <c r="I38" s="1147"/>
      <c r="J38" s="1141"/>
      <c r="K38" s="1147"/>
      <c r="L38" s="1141"/>
      <c r="M38" s="874"/>
      <c r="N38" s="1112"/>
      <c r="O38" s="766"/>
      <c r="P38" s="1023"/>
      <c r="Q38" s="766"/>
      <c r="R38" s="1023"/>
      <c r="S38" s="766"/>
      <c r="T38" s="1023"/>
      <c r="U38" s="766"/>
      <c r="V38" s="1023"/>
      <c r="W38" s="766"/>
      <c r="X38" s="367"/>
      <c r="Y38" s="746"/>
      <c r="Z38" s="768"/>
      <c r="AA38" s="769"/>
      <c r="AB38" s="1024"/>
      <c r="AC38" s="746"/>
      <c r="AD38" s="768"/>
      <c r="AE38" s="912"/>
      <c r="AF38" s="1166">
        <f>AF21*AG38</f>
        <v>219506.2965529738</v>
      </c>
      <c r="AG38" s="1021">
        <f>ASSUMPTIONS!F25</f>
        <v>0.03</v>
      </c>
      <c r="AH38" s="768">
        <f>AF38/$AF$9</f>
        <v>6.0707532649199019</v>
      </c>
      <c r="AI38" s="769">
        <f>AF38/$B$2</f>
        <v>1545.8189898096746</v>
      </c>
      <c r="AJ38" s="772">
        <f>AJ21*AK38</f>
        <v>232073.07367282239</v>
      </c>
      <c r="AK38" s="746">
        <f>AG38</f>
        <v>0.03</v>
      </c>
      <c r="AL38" s="768">
        <f>AJ38/$AF$9</f>
        <v>6.4183050410095248</v>
      </c>
      <c r="AM38" s="912">
        <f>AJ38/$B$2</f>
        <v>1634.3174202311436</v>
      </c>
      <c r="AN38" s="772">
        <f>AN21*AO38</f>
        <v>251433.60660511104</v>
      </c>
      <c r="AO38" s="746">
        <f>AK38</f>
        <v>0.03</v>
      </c>
      <c r="AP38" s="768">
        <f>AN38/$AF$9</f>
        <v>6.9537476244568568</v>
      </c>
      <c r="AQ38" s="912">
        <f>AN38/$B$2</f>
        <v>1770.6592014444439</v>
      </c>
      <c r="AR38" s="772">
        <f>AR21*AS38</f>
        <v>290718.39791936718</v>
      </c>
      <c r="AS38" s="746">
        <f>AO38</f>
        <v>0.03</v>
      </c>
      <c r="AT38" s="768">
        <f>AR38/$AF$9</f>
        <v>8.0402234061443441</v>
      </c>
      <c r="AU38" s="912">
        <f>AR38/$B$2</f>
        <v>2047.3126614039943</v>
      </c>
      <c r="AV38" s="772">
        <f>AV21*AW38</f>
        <v>303624.7426311961</v>
      </c>
      <c r="AW38" s="746">
        <f>AS38</f>
        <v>0.03</v>
      </c>
      <c r="AX38" s="768">
        <f>AV38/$AF$9</f>
        <v>8.3971663983405076</v>
      </c>
      <c r="AY38" s="912">
        <f>AV38/$B$2</f>
        <v>2138.2024128957473</v>
      </c>
      <c r="AZ38" s="772">
        <f>AZ21*BA38</f>
        <v>307426.17809665774</v>
      </c>
      <c r="BA38" s="746">
        <f>AW38</f>
        <v>0.03</v>
      </c>
      <c r="BB38" s="768">
        <f>AZ38/$AF$9</f>
        <v>8.5023004064565999</v>
      </c>
      <c r="BC38" s="912">
        <f>AZ38/$B$2</f>
        <v>2164.9730851877307</v>
      </c>
      <c r="BD38" s="772">
        <f>BD21*BE38</f>
        <v>311503.86047569319</v>
      </c>
      <c r="BE38" s="746">
        <f>BA38</f>
        <v>0.03</v>
      </c>
      <c r="BF38" s="768">
        <f>BD38/$AF$9</f>
        <v>8.6150744088636877</v>
      </c>
      <c r="BG38" s="912">
        <f>BD38/$B$2</f>
        <v>2193.6891582795297</v>
      </c>
      <c r="BH38" s="772">
        <f>BH21*BI38</f>
        <v>314282.51793674607</v>
      </c>
      <c r="BI38" s="746">
        <f>BE38</f>
        <v>0.03</v>
      </c>
      <c r="BJ38" s="768">
        <f>BH38/$AF$9</f>
        <v>8.6919220625240907</v>
      </c>
      <c r="BK38" s="912">
        <f>BH38/$B$2</f>
        <v>2213.2571685686344</v>
      </c>
      <c r="BL38" s="772">
        <f>BL21*BM38</f>
        <v>317787.41619549441</v>
      </c>
      <c r="BM38" s="746">
        <f>BI38</f>
        <v>0.03</v>
      </c>
      <c r="BN38" s="768">
        <f>BL38/$AF$9</f>
        <v>8.7888549199484043</v>
      </c>
      <c r="BO38" s="912">
        <f>BL38/$B$2</f>
        <v>2237.9395506724959</v>
      </c>
      <c r="BP38" s="772">
        <f>BP21*BQ38</f>
        <v>321344.68187998224</v>
      </c>
      <c r="BQ38" s="746">
        <f>BM38</f>
        <v>0.03</v>
      </c>
      <c r="BR38" s="768">
        <f>BP38/$AF$9</f>
        <v>8.8872360716848888</v>
      </c>
      <c r="BS38" s="912">
        <f>BP38/$B$2</f>
        <v>2262.9907174646637</v>
      </c>
      <c r="BT38" s="772">
        <f>BT21*BU38</f>
        <v>325653.16200528073</v>
      </c>
      <c r="BU38" s="746">
        <f>BQ38</f>
        <v>0.03</v>
      </c>
      <c r="BV38" s="768">
        <f>BT38/$AF$9</f>
        <v>9.0063931081719328</v>
      </c>
      <c r="BW38" s="912">
        <f>BT38/$B$2</f>
        <v>2293.3321267977517</v>
      </c>
      <c r="BX38" s="805"/>
      <c r="CI38" s="211"/>
    </row>
    <row r="39" spans="1:87" x14ac:dyDescent="0.2">
      <c r="A39" s="1117" t="s">
        <v>276</v>
      </c>
      <c r="B39" s="1141"/>
      <c r="C39" s="1147"/>
      <c r="D39" s="1141"/>
      <c r="E39" s="1147"/>
      <c r="F39" s="1141"/>
      <c r="G39" s="1147"/>
      <c r="H39" s="1141"/>
      <c r="I39" s="1147"/>
      <c r="J39" s="1141"/>
      <c r="K39" s="1147"/>
      <c r="L39" s="1141"/>
      <c r="M39" s="874"/>
      <c r="N39" s="1112"/>
      <c r="O39" s="766"/>
      <c r="P39" s="1023"/>
      <c r="Q39" s="766"/>
      <c r="R39" s="1023"/>
      <c r="S39" s="766"/>
      <c r="T39" s="1023"/>
      <c r="U39" s="766"/>
      <c r="V39" s="1023"/>
      <c r="W39" s="766"/>
      <c r="X39" s="367"/>
      <c r="Y39" s="746"/>
      <c r="Z39" s="768"/>
      <c r="AA39" s="769"/>
      <c r="AB39" s="1024"/>
      <c r="AC39" s="746"/>
      <c r="AD39" s="768"/>
      <c r="AE39" s="912"/>
      <c r="AF39" s="1167">
        <f>AF36*AG39</f>
        <v>179734.27705034133</v>
      </c>
      <c r="AG39" s="1021">
        <f>ASSUMPTIONS!F26</f>
        <v>0.08</v>
      </c>
      <c r="AH39" s="768">
        <f>AF39/$AF$9</f>
        <v>4.9708025070618209</v>
      </c>
      <c r="AI39" s="769">
        <f>AF39/$B$2</f>
        <v>1265.734345424939</v>
      </c>
      <c r="AJ39" s="1024">
        <f>AJ36*AK39</f>
        <v>202117.36261348875</v>
      </c>
      <c r="AK39" s="746">
        <f>AG39</f>
        <v>0.08</v>
      </c>
      <c r="AL39" s="768">
        <f>AJ39/$AJ$9</f>
        <v>5.4610078791032057</v>
      </c>
      <c r="AM39" s="912">
        <f>AJ39/$B$2</f>
        <v>1423.3617085456954</v>
      </c>
      <c r="AN39" s="1024">
        <f>AN36*AO39</f>
        <v>222176.23040526174</v>
      </c>
      <c r="AO39" s="746">
        <f>AK39</f>
        <v>0.08</v>
      </c>
      <c r="AP39" s="768">
        <f>AN39/$AF$9</f>
        <v>6.1445940153012266</v>
      </c>
      <c r="AQ39" s="912">
        <f>AN39/$B$2</f>
        <v>1564.621340882125</v>
      </c>
      <c r="AR39" s="1024">
        <f>AR36*AS39</f>
        <v>281355.56895548169</v>
      </c>
      <c r="AS39" s="746">
        <f>AO39</f>
        <v>0.08</v>
      </c>
      <c r="AT39" s="768">
        <f>AR39/$AF$9</f>
        <v>7.7812812919819043</v>
      </c>
      <c r="AU39" s="912">
        <f>AR39/$B$2</f>
        <v>1981.3772461653641</v>
      </c>
      <c r="AV39" s="1024">
        <f>AV36*AW39</f>
        <v>297772.12134652032</v>
      </c>
      <c r="AW39" s="746">
        <f>AS39</f>
        <v>0.08</v>
      </c>
      <c r="AX39" s="768">
        <f>AV39/$AF$9</f>
        <v>8.2353039810421027</v>
      </c>
      <c r="AY39" s="912">
        <f>AV39/$B$2</f>
        <v>2096.9867700459176</v>
      </c>
      <c r="AZ39" s="1024">
        <f>AZ36*BA39</f>
        <v>299838.9006199204</v>
      </c>
      <c r="BA39" s="746">
        <f>AW39</f>
        <v>0.08</v>
      </c>
      <c r="BB39" s="768">
        <f>AZ39/$AF$9</f>
        <v>8.2924636489828085</v>
      </c>
      <c r="BC39" s="912">
        <f>AZ39/$B$2</f>
        <v>2111.5415536614114</v>
      </c>
      <c r="BD39" s="1024">
        <f>BD36*BE39</f>
        <v>302253.34466191515</v>
      </c>
      <c r="BE39" s="746">
        <f>BA39</f>
        <v>0.08</v>
      </c>
      <c r="BF39" s="768">
        <f>BD39/$AF$9</f>
        <v>8.359238471760472</v>
      </c>
      <c r="BG39" s="912">
        <f>BD39/$B$2</f>
        <v>2128.5446807177123</v>
      </c>
      <c r="BH39" s="1024">
        <f>BH36*BI39</f>
        <v>302548.11949608562</v>
      </c>
      <c r="BI39" s="746">
        <f>BE39</f>
        <v>0.08</v>
      </c>
      <c r="BJ39" s="768">
        <f>BH39/$AF$9</f>
        <v>8.367390881577677</v>
      </c>
      <c r="BK39" s="912">
        <f>BH39/$B$2</f>
        <v>2130.6205598315887</v>
      </c>
      <c r="BL39" s="1024">
        <f>BL36*BM39</f>
        <v>303891.80063116032</v>
      </c>
      <c r="BM39" s="746">
        <f>BI39</f>
        <v>0.08</v>
      </c>
      <c r="BN39" s="768">
        <f>BL39/$AF$9</f>
        <v>8.4045522603894103</v>
      </c>
      <c r="BO39" s="912">
        <f>BL39/$B$2</f>
        <v>2140.0831030363402</v>
      </c>
      <c r="BP39" s="1024">
        <f>BP36*BQ39</f>
        <v>305227.60471084632</v>
      </c>
      <c r="BQ39" s="746">
        <f>BM39</f>
        <v>0.08</v>
      </c>
      <c r="BR39" s="768">
        <f>BP39/$AF$9</f>
        <v>8.4414957882307178</v>
      </c>
      <c r="BS39" s="912">
        <f>BP39/$B$2</f>
        <v>2149.4901740200444</v>
      </c>
      <c r="BT39" s="1024">
        <f>BT36*BU39</f>
        <v>307646.11905984761</v>
      </c>
      <c r="BU39" s="746">
        <f>BQ39</f>
        <v>0.08</v>
      </c>
      <c r="BV39" s="768">
        <f>BT39/$AF$9</f>
        <v>8.50838318103456</v>
      </c>
      <c r="BW39" s="912">
        <f>BT39/$B$2</f>
        <v>2166.5219652101946</v>
      </c>
      <c r="BX39" s="805"/>
      <c r="CI39" s="211"/>
    </row>
    <row r="40" spans="1:87" ht="17" thickBot="1" x14ac:dyDescent="0.25">
      <c r="A40" s="1115" t="s">
        <v>277</v>
      </c>
      <c r="B40" s="1136"/>
      <c r="C40" s="1151"/>
      <c r="D40" s="1136"/>
      <c r="E40" s="1151"/>
      <c r="F40" s="1136"/>
      <c r="G40" s="1151"/>
      <c r="H40" s="1136"/>
      <c r="I40" s="1151"/>
      <c r="J40" s="1136"/>
      <c r="K40" s="1151"/>
      <c r="L40" s="1136"/>
      <c r="M40" s="1137"/>
      <c r="N40" s="1075"/>
      <c r="O40" s="1076"/>
      <c r="P40" s="1077"/>
      <c r="Q40" s="1076"/>
      <c r="R40" s="1077"/>
      <c r="S40" s="1076"/>
      <c r="T40" s="1077"/>
      <c r="U40" s="1076"/>
      <c r="V40" s="1077"/>
      <c r="W40" s="1076"/>
      <c r="X40" s="1078"/>
      <c r="Y40" s="1079"/>
      <c r="Z40" s="1080"/>
      <c r="AA40" s="1081"/>
      <c r="AB40" s="1082"/>
      <c r="AC40" s="1079"/>
      <c r="AD40" s="1080"/>
      <c r="AE40" s="1178"/>
      <c r="AF40" s="1163">
        <f>SUM(AF38:AF39)</f>
        <v>399240.57360331516</v>
      </c>
      <c r="AG40" s="1079">
        <f>AF40/AF21</f>
        <v>5.4564344605071376E-2</v>
      </c>
      <c r="AH40" s="1080">
        <f>AF40/$AF$9</f>
        <v>11.041555771981724</v>
      </c>
      <c r="AI40" s="1081">
        <f>AF40/$B$2</f>
        <v>2811.5533352346138</v>
      </c>
      <c r="AJ40" s="1083">
        <f>SUM(AJ38:AJ39)</f>
        <v>434190.43628631113</v>
      </c>
      <c r="AK40" s="1079">
        <f>AJ40/AJ21</f>
        <v>5.6127636362299574E-2</v>
      </c>
      <c r="AL40" s="1080">
        <f>AJ40/$AF$9</f>
        <v>12.008143046803228</v>
      </c>
      <c r="AM40" s="1178">
        <f>AJ40/$B$2</f>
        <v>3057.6791287768388</v>
      </c>
      <c r="AN40" s="1083">
        <f>SUM(AN38:AN39)</f>
        <v>473609.83701037278</v>
      </c>
      <c r="AO40" s="1079">
        <f>AN40/AN21</f>
        <v>5.6509132976110134E-2</v>
      </c>
      <c r="AP40" s="1080">
        <f>AN40/$AF$9</f>
        <v>13.098341639758083</v>
      </c>
      <c r="AQ40" s="1178">
        <f>AN40/$B$2</f>
        <v>3335.280542326569</v>
      </c>
      <c r="AR40" s="1082">
        <f>SUM(AR38:AR39)</f>
        <v>572073.96687484882</v>
      </c>
      <c r="AS40" s="1079">
        <f>AR40/AR21</f>
        <v>5.9033824928429637E-2</v>
      </c>
      <c r="AT40" s="1080">
        <f>AR40/$AF$9</f>
        <v>15.821504698126246</v>
      </c>
      <c r="AU40" s="1178">
        <f>AR40/$B$2</f>
        <v>4028.6899075693577</v>
      </c>
      <c r="AV40" s="1082">
        <f>SUM(AV38:AV39)</f>
        <v>601396.86397771642</v>
      </c>
      <c r="AW40" s="1079">
        <f>AV40/AV21</f>
        <v>5.9421724866627404E-2</v>
      </c>
      <c r="AX40" s="1080">
        <f>AV40/$AF$9</f>
        <v>16.63247037938261</v>
      </c>
      <c r="AY40" s="1178">
        <f>AV40/$B$2</f>
        <v>4235.1891829416645</v>
      </c>
      <c r="AZ40" s="1083">
        <f>SUM(AZ38:AZ39)</f>
        <v>607265.07871657819</v>
      </c>
      <c r="BA40" s="1079">
        <f>AZ40/AZ21</f>
        <v>5.9259600058422637E-2</v>
      </c>
      <c r="BB40" s="1080">
        <f>AZ40/$AF$9</f>
        <v>16.794764055439412</v>
      </c>
      <c r="BC40" s="1178">
        <f>AZ40/$B$2</f>
        <v>4276.5146388491421</v>
      </c>
      <c r="BD40" s="1083">
        <f>SUM(BD38:BD39)</f>
        <v>613757.20513760834</v>
      </c>
      <c r="BE40" s="1079">
        <f>BD40/BD21</f>
        <v>5.9109110641551763E-2</v>
      </c>
      <c r="BF40" s="1080">
        <f>BD40/$AF$9</f>
        <v>16.974312880624158</v>
      </c>
      <c r="BG40" s="1178">
        <f>BD40/$B$2</f>
        <v>4322.2338389972419</v>
      </c>
      <c r="BH40" s="1083">
        <f>SUM(BH38:BH39)</f>
        <v>616830.63743283169</v>
      </c>
      <c r="BI40" s="1079">
        <f>BH40/BH21</f>
        <v>5.8879886938888959E-2</v>
      </c>
      <c r="BJ40" s="1080">
        <f>BH40/$AF$9</f>
        <v>17.059312944101766</v>
      </c>
      <c r="BK40" s="1178">
        <f>BH40/$B$2</f>
        <v>4343.8777284002235</v>
      </c>
      <c r="BL40" s="1083">
        <f>SUM(BL38:BL39)</f>
        <v>621679.21682665474</v>
      </c>
      <c r="BM40" s="1079">
        <f>BL40/BL21</f>
        <v>5.8688215940326666E-2</v>
      </c>
      <c r="BN40" s="1080">
        <f>BL40/$AF$9</f>
        <v>17.193407180337815</v>
      </c>
      <c r="BO40" s="1178">
        <f>BL40/$B$2</f>
        <v>4378.0226537088365</v>
      </c>
      <c r="BP40" s="1083">
        <f>SUM(BP38:BP39)</f>
        <v>626572.28659082856</v>
      </c>
      <c r="BQ40" s="1079">
        <f>BP40/BP21</f>
        <v>5.8495346765207519E-2</v>
      </c>
      <c r="BR40" s="1080">
        <f>BP40/$AF$9</f>
        <v>17.328731859915607</v>
      </c>
      <c r="BS40" s="1178">
        <f>BP40/$B$2</f>
        <v>4412.4808914847081</v>
      </c>
      <c r="BT40" s="1083">
        <f>SUM(BT38:BT39)</f>
        <v>633299.28106512828</v>
      </c>
      <c r="BU40" s="1079">
        <f>BT40/BT21</f>
        <v>5.8341145269290413E-2</v>
      </c>
      <c r="BV40" s="1080">
        <f>BT40/$AF$9</f>
        <v>17.514776289206491</v>
      </c>
      <c r="BW40" s="1178">
        <f>BT40/$B$2</f>
        <v>4459.8540920079458</v>
      </c>
      <c r="BX40" s="805"/>
      <c r="CI40" s="211"/>
    </row>
    <row r="41" spans="1:87" ht="18" thickTop="1" thickBot="1" x14ac:dyDescent="0.25">
      <c r="A41" s="1118" t="s">
        <v>243</v>
      </c>
      <c r="B41" s="1142">
        <f>B36-B37</f>
        <v>1295142.1912199995</v>
      </c>
      <c r="C41" s="1153">
        <f>B41/$B$21</f>
        <v>0.22756758388063617</v>
      </c>
      <c r="D41" s="1142">
        <f>D36-D37</f>
        <v>750057.0369648966</v>
      </c>
      <c r="E41" s="1153">
        <f t="shared" si="133"/>
        <v>0.15160455906234185</v>
      </c>
      <c r="F41" s="1142">
        <f>F36-F37</f>
        <v>1483223.9750000008</v>
      </c>
      <c r="G41" s="1153">
        <f t="shared" si="134"/>
        <v>0.2347802097348636</v>
      </c>
      <c r="H41" s="1142">
        <f>H36-H37</f>
        <v>1747850.5565999998</v>
      </c>
      <c r="I41" s="1153">
        <f t="shared" si="135"/>
        <v>0.26295883418636767</v>
      </c>
      <c r="J41" s="1142">
        <f>J36-J37</f>
        <v>1865667.0684000002</v>
      </c>
      <c r="K41" s="1153">
        <f t="shared" si="136"/>
        <v>0.28473729112486723</v>
      </c>
      <c r="L41" s="1142">
        <f>L36-L37</f>
        <v>2005560</v>
      </c>
      <c r="M41" s="1143">
        <f t="shared" si="137"/>
        <v>0.29867932733262248</v>
      </c>
      <c r="N41" s="1084">
        <f>N36-N37</f>
        <v>2430500</v>
      </c>
      <c r="O41" s="1085">
        <f t="shared" si="138"/>
        <v>0.35896261944497776</v>
      </c>
      <c r="P41" s="1086">
        <f>P36-P37</f>
        <v>-646280.56304000004</v>
      </c>
      <c r="Q41" s="1085">
        <f t="shared" si="139"/>
        <v>-0.40331095353890445</v>
      </c>
      <c r="R41" s="1086">
        <f>R36-R37</f>
        <v>-458361.81391999999</v>
      </c>
      <c r="S41" s="1085">
        <f t="shared" si="140"/>
        <v>-0.23823647625583372</v>
      </c>
      <c r="T41" s="1086">
        <f>T36-T37</f>
        <v>795005.17936000042</v>
      </c>
      <c r="U41" s="1085">
        <f t="shared" si="141"/>
        <v>0.18851173166000373</v>
      </c>
      <c r="V41" s="1086">
        <f>V36-V37</f>
        <v>926460</v>
      </c>
      <c r="W41" s="1085">
        <f t="shared" si="142"/>
        <v>0.16788455422597168</v>
      </c>
      <c r="X41" s="1086">
        <f>X36-X37</f>
        <v>1851065</v>
      </c>
      <c r="Y41" s="1087">
        <f>X41/$X$21</f>
        <v>0.29412540488491618</v>
      </c>
      <c r="Z41" s="1088">
        <f t="shared" si="143"/>
        <v>47.936180357598083</v>
      </c>
      <c r="AA41" s="1089">
        <f t="shared" si="125"/>
        <v>13035.669014084508</v>
      </c>
      <c r="AB41" s="1090">
        <f>AB36-AB37</f>
        <v>1843250.5713726743</v>
      </c>
      <c r="AC41" s="1087">
        <f t="shared" si="218"/>
        <v>0.29147964264124693</v>
      </c>
      <c r="AD41" s="1088">
        <f t="shared" si="144"/>
        <v>47.776122220073979</v>
      </c>
      <c r="AE41" s="1179">
        <f t="shared" si="89"/>
        <v>12980.637826568129</v>
      </c>
      <c r="AF41" s="1168">
        <f>AF36-AF40</f>
        <v>1847437.8895259514</v>
      </c>
      <c r="AG41" s="1087">
        <f>AF41/$AF$21</f>
        <v>0.25248996295832082</v>
      </c>
      <c r="AH41" s="1088">
        <f>AF41/$AF$9</f>
        <v>51.09347556629104</v>
      </c>
      <c r="AI41" s="1089">
        <f>AF41/$B$2</f>
        <v>13010.125982577123</v>
      </c>
      <c r="AJ41" s="1091">
        <f>AJ36-AJ40</f>
        <v>2092276.596382298</v>
      </c>
      <c r="AK41" s="1087">
        <f t="shared" si="220"/>
        <v>0.27046781816644511</v>
      </c>
      <c r="AL41" s="1088">
        <f t="shared" si="145"/>
        <v>56.531209542630513</v>
      </c>
      <c r="AM41" s="1179">
        <f t="shared" si="88"/>
        <v>14734.342228044352</v>
      </c>
      <c r="AN41" s="1091">
        <f>AN36-AN40</f>
        <v>2303593.0430553989</v>
      </c>
      <c r="AO41" s="1087">
        <f t="shared" si="221"/>
        <v>0.2748550292252665</v>
      </c>
      <c r="AP41" s="1088">
        <f t="shared" si="146"/>
        <v>64.177663204307095</v>
      </c>
      <c r="AQ41" s="1179">
        <f t="shared" si="25"/>
        <v>16222.486218699993</v>
      </c>
      <c r="AR41" s="1091">
        <f>AR36-AR40</f>
        <v>2944870.6450686725</v>
      </c>
      <c r="AS41" s="1087">
        <f t="shared" si="222"/>
        <v>0.30388898667694092</v>
      </c>
      <c r="AT41" s="1088">
        <f t="shared" si="223"/>
        <v>74.11276318280288</v>
      </c>
      <c r="AU41" s="1179">
        <f t="shared" si="27"/>
        <v>20738.525669497692</v>
      </c>
      <c r="AV41" s="1091">
        <f>AV36-AV40</f>
        <v>3120754.6528537874</v>
      </c>
      <c r="AW41" s="1087">
        <f t="shared" si="224"/>
        <v>0.30834983596621518</v>
      </c>
      <c r="AX41" s="1088">
        <f t="shared" si="225"/>
        <v>75.382368000526284</v>
      </c>
      <c r="AY41" s="1179">
        <f t="shared" si="30"/>
        <v>21977.145442632307</v>
      </c>
      <c r="AZ41" s="1091">
        <f>AZ36-AZ40</f>
        <v>3140721.1790324273</v>
      </c>
      <c r="BA41" s="1087">
        <f t="shared" si="238"/>
        <v>0.30648540067186025</v>
      </c>
      <c r="BB41" s="1088">
        <f t="shared" si="226"/>
        <v>75.723820499383436</v>
      </c>
      <c r="BC41" s="1179">
        <f t="shared" si="33"/>
        <v>22117.754781918502</v>
      </c>
      <c r="BD41" s="1091">
        <f>BD36-BD40</f>
        <v>3164409.6031363308</v>
      </c>
      <c r="BE41" s="1087">
        <f t="shared" si="227"/>
        <v>0.30475477237784521</v>
      </c>
      <c r="BF41" s="1088">
        <f t="shared" si="228"/>
        <v>76.085828399527074</v>
      </c>
      <c r="BG41" s="1179">
        <f t="shared" si="35"/>
        <v>22284.574669974161</v>
      </c>
      <c r="BH41" s="1091">
        <f>BH36-BH40</f>
        <v>3165020.8562682387</v>
      </c>
      <c r="BI41" s="1087">
        <f t="shared" si="229"/>
        <v>0.30211869979722306</v>
      </c>
      <c r="BJ41" s="1088">
        <f t="shared" si="230"/>
        <v>76.309693708849423</v>
      </c>
      <c r="BK41" s="1179">
        <f t="shared" si="37"/>
        <v>22288.879269494639</v>
      </c>
      <c r="BL41" s="1091">
        <f>BL36-BL40</f>
        <v>3176968.2910628486</v>
      </c>
      <c r="BM41" s="1087">
        <f t="shared" si="231"/>
        <v>0.29991448331375664</v>
      </c>
      <c r="BN41" s="1088">
        <f t="shared" si="232"/>
        <v>76.597750290839244</v>
      </c>
      <c r="BO41" s="1179">
        <f t="shared" si="39"/>
        <v>22373.016134245412</v>
      </c>
      <c r="BP41" s="1091">
        <f>BP36-BP40</f>
        <v>3188772.7722947504</v>
      </c>
      <c r="BQ41" s="1087">
        <f>BP41/$BP$21</f>
        <v>0.29769648779988644</v>
      </c>
      <c r="BR41" s="1088">
        <f t="shared" ref="BR41" si="241">BP41/$BL$9</f>
        <v>76.882360215419766</v>
      </c>
      <c r="BS41" s="1179">
        <f t="shared" ref="BS41" si="242">BP41/$B$2</f>
        <v>22456.146283765847</v>
      </c>
      <c r="BT41" s="1091">
        <f>BT36-BT40</f>
        <v>3212277.2071829666</v>
      </c>
      <c r="BU41" s="1087">
        <f>BT41/$BP$21</f>
        <v>0.29989080775104043</v>
      </c>
      <c r="BV41" s="1088">
        <f t="shared" ref="BV41" si="243">BT41/$BL$9</f>
        <v>77.449059870357956</v>
      </c>
      <c r="BW41" s="1179">
        <f t="shared" ref="BW41" si="244">BT41/$B$2</f>
        <v>22621.670473119484</v>
      </c>
      <c r="BX41" s="805"/>
      <c r="CI41" s="211"/>
    </row>
    <row r="42" spans="1:87" x14ac:dyDescent="0.2">
      <c r="A42" s="858" t="s">
        <v>244</v>
      </c>
      <c r="B42" s="1134"/>
      <c r="C42" s="1149"/>
      <c r="D42" s="1134"/>
      <c r="E42" s="1149"/>
      <c r="F42" s="1134"/>
      <c r="G42" s="1149"/>
      <c r="H42" s="1134"/>
      <c r="I42" s="1149"/>
      <c r="J42" s="1134"/>
      <c r="K42" s="1149"/>
      <c r="L42" s="1134"/>
      <c r="M42" s="878"/>
      <c r="N42" s="1059"/>
      <c r="O42" s="782"/>
      <c r="P42" s="1060"/>
      <c r="Q42" s="782"/>
      <c r="R42" s="1060"/>
      <c r="S42" s="782"/>
      <c r="T42" s="1060"/>
      <c r="U42" s="782"/>
      <c r="V42" s="1060"/>
      <c r="W42" s="782"/>
      <c r="X42" s="783"/>
      <c r="Y42" s="784"/>
      <c r="Z42" s="785"/>
      <c r="AA42" s="892">
        <f t="shared" si="125"/>
        <v>0</v>
      </c>
      <c r="AB42" s="877">
        <f>AA42*$B$2</f>
        <v>0</v>
      </c>
      <c r="AC42" s="784"/>
      <c r="AD42" s="785"/>
      <c r="AE42" s="914">
        <f t="shared" si="89"/>
        <v>0</v>
      </c>
      <c r="AF42" s="1162">
        <f>AE42*$B$2</f>
        <v>0</v>
      </c>
      <c r="AG42" s="784"/>
      <c r="AH42" s="785"/>
      <c r="AI42" s="892"/>
      <c r="AJ42" s="877"/>
      <c r="AK42" s="784"/>
      <c r="AL42" s="785"/>
      <c r="AM42" s="914"/>
      <c r="AN42" s="877"/>
      <c r="AO42" s="784"/>
      <c r="AP42" s="785"/>
      <c r="AQ42" s="914"/>
      <c r="AR42" s="877"/>
      <c r="AS42" s="784"/>
      <c r="AT42" s="785"/>
      <c r="AU42" s="914"/>
      <c r="AV42" s="877"/>
      <c r="AW42" s="784"/>
      <c r="AX42" s="785"/>
      <c r="AY42" s="914"/>
      <c r="AZ42" s="877"/>
      <c r="BA42" s="784"/>
      <c r="BB42" s="785"/>
      <c r="BC42" s="914"/>
      <c r="BD42" s="877"/>
      <c r="BE42" s="784"/>
      <c r="BF42" s="785"/>
      <c r="BG42" s="914"/>
      <c r="BH42" s="877"/>
      <c r="BI42" s="784"/>
      <c r="BJ42" s="785"/>
      <c r="BK42" s="914"/>
      <c r="BL42" s="877"/>
      <c r="BM42" s="784"/>
      <c r="BN42" s="785"/>
      <c r="BO42" s="914"/>
      <c r="BP42" s="877"/>
      <c r="BQ42" s="784"/>
      <c r="BR42" s="785"/>
      <c r="BS42" s="914"/>
      <c r="BT42" s="877"/>
      <c r="BU42" s="784"/>
      <c r="BV42" s="785"/>
      <c r="BW42" s="914"/>
      <c r="BX42" s="805"/>
      <c r="CI42" s="211"/>
    </row>
    <row r="43" spans="1:87" x14ac:dyDescent="0.2">
      <c r="A43" s="741" t="s">
        <v>245</v>
      </c>
      <c r="B43" s="772">
        <v>1400000</v>
      </c>
      <c r="C43" s="1147">
        <f>B43/$B$21</f>
        <v>0.24599199963733751</v>
      </c>
      <c r="D43" s="772">
        <v>1418199.9999999998</v>
      </c>
      <c r="E43" s="1147">
        <f>D43/$D$21</f>
        <v>0.28665231451228373</v>
      </c>
      <c r="F43" s="772">
        <v>1436636.5999999994</v>
      </c>
      <c r="G43" s="1147">
        <f>F43/$F$21</f>
        <v>0.2274058725761772</v>
      </c>
      <c r="H43" s="772">
        <v>1458999.9999999998</v>
      </c>
      <c r="I43" s="1147">
        <f>H43/$H$21</f>
        <v>0.21950214086049649</v>
      </c>
      <c r="J43" s="772">
        <v>1376000</v>
      </c>
      <c r="K43" s="1147">
        <f>J43/$J$21</f>
        <v>0.21000451753904009</v>
      </c>
      <c r="L43" s="772">
        <v>1443000</v>
      </c>
      <c r="M43" s="874">
        <f>L43/$L$21</f>
        <v>0.2148997134670487</v>
      </c>
      <c r="N43" s="901">
        <v>1460316.0000000002</v>
      </c>
      <c r="O43" s="766">
        <f>N43/$N$21</f>
        <v>0.21567531642765367</v>
      </c>
      <c r="P43" s="1014">
        <v>1350000</v>
      </c>
      <c r="Q43" s="766">
        <f>P43/$P$21</f>
        <v>0.84246659796857037</v>
      </c>
      <c r="R43" s="1014">
        <v>1350000</v>
      </c>
      <c r="S43" s="766">
        <f>R43/$R$21</f>
        <v>0.70167111041564478</v>
      </c>
      <c r="T43" s="1014">
        <v>1350000</v>
      </c>
      <c r="U43" s="766">
        <f>T43/$T$21</f>
        <v>0.32011217580478746</v>
      </c>
      <c r="V43" s="1014"/>
      <c r="W43" s="766"/>
      <c r="X43" s="792"/>
      <c r="Y43" s="746"/>
      <c r="Z43" s="768"/>
      <c r="AA43" s="769"/>
      <c r="AB43" s="837"/>
      <c r="AC43" s="771"/>
      <c r="AD43" s="747"/>
      <c r="AE43" s="1180"/>
      <c r="AF43" s="901"/>
      <c r="AG43" s="746"/>
      <c r="AH43" s="747"/>
      <c r="AI43" s="1009"/>
      <c r="AJ43" s="838"/>
      <c r="AK43" s="771"/>
      <c r="AL43" s="747"/>
      <c r="AM43" s="1180"/>
      <c r="AN43" s="837"/>
      <c r="AO43" s="746"/>
      <c r="AP43" s="747"/>
      <c r="AQ43" s="1180"/>
      <c r="AR43" s="837"/>
      <c r="AS43" s="746"/>
      <c r="AT43" s="747"/>
      <c r="AU43" s="1180"/>
      <c r="AV43" s="837"/>
      <c r="AW43" s="746"/>
      <c r="AX43" s="747"/>
      <c r="AY43" s="1180"/>
      <c r="AZ43" s="837"/>
      <c r="BA43" s="771"/>
      <c r="BB43" s="747"/>
      <c r="BC43" s="1180"/>
      <c r="BD43" s="837"/>
      <c r="BE43" s="771"/>
      <c r="BF43" s="747"/>
      <c r="BG43" s="1180"/>
      <c r="BH43" s="837"/>
      <c r="BI43" s="771"/>
      <c r="BJ43" s="747"/>
      <c r="BK43" s="1180"/>
      <c r="BL43" s="837"/>
      <c r="BM43" s="746"/>
      <c r="BN43" s="747"/>
      <c r="BO43" s="1180"/>
      <c r="BP43" s="837"/>
      <c r="BQ43" s="746"/>
      <c r="BS43" s="1180"/>
      <c r="BT43" s="837"/>
      <c r="BU43" s="746"/>
      <c r="BV43" s="747"/>
      <c r="BW43" s="1180"/>
      <c r="BX43" s="805"/>
      <c r="CI43" s="211"/>
    </row>
    <row r="44" spans="1:87" x14ac:dyDescent="0.2">
      <c r="A44" s="741" t="s">
        <v>246</v>
      </c>
      <c r="B44" s="772">
        <v>1223617.0300000003</v>
      </c>
      <c r="C44" s="1147">
        <f>B44/$B$21</f>
        <v>0.21500000000000005</v>
      </c>
      <c r="D44" s="772">
        <v>1063703.2550000001</v>
      </c>
      <c r="E44" s="1147">
        <f>D44/$D$21</f>
        <v>0.21500000000000002</v>
      </c>
      <c r="F44" s="772">
        <v>1358262.4999999998</v>
      </c>
      <c r="G44" s="1147">
        <f>F44/$F$21</f>
        <v>0.21499999999999997</v>
      </c>
      <c r="H44" s="772">
        <v>1429074.9000000001</v>
      </c>
      <c r="I44" s="1147">
        <f>H44/$H$21</f>
        <v>0.21500000000000002</v>
      </c>
      <c r="J44" s="772">
        <v>1408731.6</v>
      </c>
      <c r="K44" s="1147">
        <f>J44/$J$21</f>
        <v>0.21500000000000002</v>
      </c>
      <c r="L44" s="772">
        <v>1443673.3999999997</v>
      </c>
      <c r="M44" s="874">
        <f>L44/$L$21</f>
        <v>0.21499999999999994</v>
      </c>
      <c r="N44" s="901">
        <v>1455743.5000000002</v>
      </c>
      <c r="O44" s="766">
        <f>N44/$N$21</f>
        <v>0.21500000000000002</v>
      </c>
      <c r="P44" s="1014">
        <v>344524.04486999998</v>
      </c>
      <c r="Q44" s="766">
        <f>P44/$P$21</f>
        <v>0.21499999999999997</v>
      </c>
      <c r="R44" s="1014">
        <v>413655.33750999998</v>
      </c>
      <c r="S44" s="766">
        <f>R44/$R$21</f>
        <v>0.215</v>
      </c>
      <c r="T44" s="1014">
        <v>906713.40217000002</v>
      </c>
      <c r="U44" s="766">
        <f>T44/$T$21</f>
        <v>0.215</v>
      </c>
      <c r="V44" s="1014"/>
      <c r="W44" s="766"/>
      <c r="X44" s="792"/>
      <c r="Y44" s="746"/>
      <c r="Z44" s="768"/>
      <c r="AA44" s="769"/>
      <c r="AB44" s="837"/>
      <c r="AC44" s="771"/>
      <c r="AD44" s="747"/>
      <c r="AE44" s="1180"/>
      <c r="AF44" s="1169"/>
      <c r="AG44" s="746"/>
      <c r="AH44" s="747"/>
      <c r="AI44" s="1009"/>
      <c r="AJ44" s="1026"/>
      <c r="AK44" s="771"/>
      <c r="AL44" s="747"/>
      <c r="AM44" s="1180"/>
      <c r="AN44" s="1027"/>
      <c r="AO44" s="746"/>
      <c r="AP44" s="747"/>
      <c r="AQ44" s="1180"/>
      <c r="AR44" s="1027"/>
      <c r="AS44" s="746"/>
      <c r="AT44" s="747"/>
      <c r="AU44" s="1180"/>
      <c r="AV44" s="1027"/>
      <c r="AW44" s="746"/>
      <c r="AX44" s="747"/>
      <c r="AY44" s="1180"/>
      <c r="AZ44" s="1027"/>
      <c r="BA44" s="771"/>
      <c r="BB44" s="747"/>
      <c r="BC44" s="1180"/>
      <c r="BD44" s="1027"/>
      <c r="BE44" s="771"/>
      <c r="BF44" s="747"/>
      <c r="BG44" s="1180"/>
      <c r="BH44" s="1027"/>
      <c r="BI44" s="771"/>
      <c r="BJ44" s="747"/>
      <c r="BK44" s="1180"/>
      <c r="BL44" s="1027"/>
      <c r="BM44" s="746"/>
      <c r="BN44" s="747"/>
      <c r="BO44" s="1180"/>
      <c r="BP44" s="1027"/>
      <c r="BQ44" s="746"/>
      <c r="BS44" s="1180"/>
      <c r="BT44" s="1027"/>
      <c r="BU44" s="746"/>
      <c r="BV44" s="747"/>
      <c r="BW44" s="1180"/>
      <c r="BX44" s="805"/>
      <c r="CI44" s="211"/>
    </row>
    <row r="45" spans="1:87" x14ac:dyDescent="0.2">
      <c r="A45" s="741" t="s">
        <v>278</v>
      </c>
      <c r="B45" s="772"/>
      <c r="C45" s="1147"/>
      <c r="D45" s="772"/>
      <c r="E45" s="1147"/>
      <c r="F45" s="772"/>
      <c r="G45" s="1147"/>
      <c r="H45" s="772"/>
      <c r="I45" s="1147"/>
      <c r="J45" s="772"/>
      <c r="K45" s="1147"/>
      <c r="L45" s="772"/>
      <c r="M45" s="874"/>
      <c r="N45" s="901"/>
      <c r="O45" s="766"/>
      <c r="P45" s="1014"/>
      <c r="Q45" s="766"/>
      <c r="R45" s="1014"/>
      <c r="S45" s="766"/>
      <c r="T45" s="1014"/>
      <c r="U45" s="766"/>
      <c r="V45" s="1014"/>
      <c r="W45" s="766"/>
      <c r="X45" s="792"/>
      <c r="Y45" s="746"/>
      <c r="Z45" s="768"/>
      <c r="AA45" s="769"/>
      <c r="AB45" s="837"/>
      <c r="AC45" s="771"/>
      <c r="AD45" s="747"/>
      <c r="AE45" s="1180"/>
      <c r="AF45" s="1169">
        <f>ASSUMPTIONS!F29</f>
        <v>32740.016811003661</v>
      </c>
      <c r="AG45" s="1028">
        <f>AF45/$AF$21</f>
        <v>4.4745892020144114E-3</v>
      </c>
      <c r="AH45" s="768">
        <f>AF45/$AF$9</f>
        <v>0.90547090024347754</v>
      </c>
      <c r="AI45" s="769">
        <f>AF45/$B$2</f>
        <v>230.56349866903986</v>
      </c>
      <c r="AJ45" s="1025">
        <f>AF45*(1+Inflation)</f>
        <v>33433.509894364011</v>
      </c>
      <c r="AK45" s="1028">
        <f>AJ45/$AJ$21</f>
        <v>4.3219374008247134E-3</v>
      </c>
      <c r="AL45" s="768">
        <f>AJ45/$AJ$9</f>
        <v>0.90333981503779992</v>
      </c>
      <c r="AM45" s="912">
        <f>AJ45/$B$2</f>
        <v>235.44725277721136</v>
      </c>
      <c r="AN45" s="1025">
        <f>AJ45*(1+Inflation)</f>
        <v>34141.692422126449</v>
      </c>
      <c r="AO45" s="1028">
        <f>AN45/$AN$21</f>
        <v>4.0736430841261011E-3</v>
      </c>
      <c r="AP45" s="768">
        <f>AN45/$AJ$9</f>
        <v>0.92247419475632786</v>
      </c>
      <c r="AQ45" s="912">
        <f>AN45/$B$2</f>
        <v>240.43445367694682</v>
      </c>
      <c r="AR45" s="1025">
        <f>AN45*(1+Inflation)</f>
        <v>34864.875543431488</v>
      </c>
      <c r="AS45" s="1028">
        <f>AR45/$AR$21</f>
        <v>3.5977986731787277E-3</v>
      </c>
      <c r="AT45" s="768">
        <f>AR45/$AR$9</f>
        <v>0.87743489476359604</v>
      </c>
      <c r="AU45" s="912">
        <f>AR45/$B$2</f>
        <v>245.52729255937669</v>
      </c>
      <c r="AV45" s="1025">
        <f>AR45*(1+Inflation)</f>
        <v>35603.376998124171</v>
      </c>
      <c r="AW45" s="1028">
        <f>AV45/$AV$21</f>
        <v>3.5178335622045001E-3</v>
      </c>
      <c r="AX45" s="768">
        <f>AV45/$AV$9</f>
        <v>0.86000572473064985</v>
      </c>
      <c r="AY45" s="912">
        <f>AV45/$B$2</f>
        <v>250.72800702904345</v>
      </c>
      <c r="AZ45" s="1025">
        <f>AV45*(1+Inflation)</f>
        <v>36357.521256357162</v>
      </c>
      <c r="BA45" s="1028">
        <f>AZ45/$AZ$21</f>
        <v>3.5479269997227766E-3</v>
      </c>
      <c r="BB45" s="768">
        <f>AZ45/$AZ$9</f>
        <v>0.87659179420284405</v>
      </c>
      <c r="BC45" s="912">
        <f>AZ45/$B$2</f>
        <v>256.03888208702227</v>
      </c>
      <c r="BD45" s="1025">
        <f>AZ45*(1+Inflation)</f>
        <v>37127.639661150912</v>
      </c>
      <c r="BE45" s="1028">
        <f>BD45/$BD$21</f>
        <v>3.5756513198058424E-3</v>
      </c>
      <c r="BF45" s="768">
        <f>BD45/$BD$9</f>
        <v>0.89270593078025751</v>
      </c>
      <c r="BG45" s="912">
        <f>BD45/$B$2</f>
        <v>261.4622511348656</v>
      </c>
      <c r="BH45" s="1025">
        <f>BD45*(1+Inflation)</f>
        <v>37914.070573973469</v>
      </c>
      <c r="BI45" s="1028">
        <f>BH45/$BH$21</f>
        <v>3.6191071800186058E-3</v>
      </c>
      <c r="BJ45" s="768">
        <f>BH45/$BH$9</f>
        <v>0.91412071014498675</v>
      </c>
      <c r="BK45" s="912">
        <f>BH45/$B$2</f>
        <v>267.00049699981315</v>
      </c>
      <c r="BL45" s="1025">
        <f>BH45*(1+Inflation)</f>
        <v>38717.159523404</v>
      </c>
      <c r="BM45" s="1028">
        <f>BL45/$BL$21</f>
        <v>3.6550055996792106E-3</v>
      </c>
      <c r="BN45" s="768">
        <f>BL45/$BL$9</f>
        <v>0.93348344882351242</v>
      </c>
      <c r="BO45" s="912">
        <f>BL45/$B$2</f>
        <v>272.65605298171829</v>
      </c>
      <c r="BP45" s="1025">
        <f>BL45*(1+Inflation)</f>
        <v>39537.259356945193</v>
      </c>
      <c r="BQ45" s="1028">
        <f>BP45/$BP$21</f>
        <v>3.6911075477245778E-3</v>
      </c>
      <c r="BR45" s="1028">
        <f>BQ45/$BT$21</f>
        <v>3.4003424302676267E-10</v>
      </c>
      <c r="BS45" s="912">
        <f>BP45/$B$2</f>
        <v>278.43140392214923</v>
      </c>
      <c r="BT45" s="1025">
        <f>BP45*(1+Inflation)</f>
        <v>40374.730396051396</v>
      </c>
      <c r="BU45" s="1028">
        <f>BT45/$BT$21</f>
        <v>3.7194231569042794E-3</v>
      </c>
      <c r="BV45" s="1028">
        <f>BU45/$BT$21</f>
        <v>3.4264274917532964E-10</v>
      </c>
      <c r="BW45" s="912">
        <f>BT45/$B$2</f>
        <v>284.32908729613661</v>
      </c>
      <c r="BX45" s="805"/>
      <c r="CI45" s="211"/>
    </row>
    <row r="46" spans="1:87" x14ac:dyDescent="0.2">
      <c r="A46" s="741" t="s">
        <v>247</v>
      </c>
      <c r="B46" s="772">
        <f>MAX(B43:B44)</f>
        <v>1400000</v>
      </c>
      <c r="C46" s="1147">
        <f>B46/$B$21</f>
        <v>0.24599199963733751</v>
      </c>
      <c r="D46" s="772">
        <f>MAX(D43:D44)</f>
        <v>1418199.9999999998</v>
      </c>
      <c r="E46" s="1147">
        <f>D46/$D$21</f>
        <v>0.28665231451228373</v>
      </c>
      <c r="F46" s="772">
        <f>MAX(F43:F44)</f>
        <v>1436636.5999999994</v>
      </c>
      <c r="G46" s="1147">
        <f>F46/$F$21</f>
        <v>0.2274058725761772</v>
      </c>
      <c r="H46" s="772">
        <f>MAX(H43:H44)</f>
        <v>1458999.9999999998</v>
      </c>
      <c r="I46" s="1147">
        <f>H46/$H$21</f>
        <v>0.21950214086049649</v>
      </c>
      <c r="J46" s="772">
        <f>MAX(J43:J44)</f>
        <v>1408731.6</v>
      </c>
      <c r="K46" s="1147">
        <f>J46/$J$21</f>
        <v>0.21500000000000002</v>
      </c>
      <c r="L46" s="772">
        <f>MAX(L43:L44)</f>
        <v>1443673.3999999997</v>
      </c>
      <c r="M46" s="874">
        <f>L46/$L$21</f>
        <v>0.21499999999999994</v>
      </c>
      <c r="N46" s="901">
        <f>MAX(N43:N44)</f>
        <v>1460316.0000000002</v>
      </c>
      <c r="O46" s="766">
        <f>N46/$N$21</f>
        <v>0.21567531642765367</v>
      </c>
      <c r="P46" s="901">
        <f>MAX(P43:P44)</f>
        <v>1350000</v>
      </c>
      <c r="Q46" s="766">
        <f>P46/$P$21</f>
        <v>0.84246659796857037</v>
      </c>
      <c r="R46" s="901">
        <f>MAX(R43:R44)</f>
        <v>1350000</v>
      </c>
      <c r="S46" s="766">
        <f>R46/$R$21</f>
        <v>0.70167111041564478</v>
      </c>
      <c r="T46" s="901">
        <f>MAX(T43:T44)</f>
        <v>1350000</v>
      </c>
      <c r="U46" s="766">
        <f>T46/$T$21</f>
        <v>0.32011217580478746</v>
      </c>
      <c r="V46" s="1014"/>
      <c r="W46" s="766"/>
      <c r="X46" s="792"/>
      <c r="Y46" s="746"/>
      <c r="Z46" s="768"/>
      <c r="AA46" s="769"/>
      <c r="AB46" s="837"/>
      <c r="AC46" s="771"/>
      <c r="AD46" s="747"/>
      <c r="AE46" s="1180"/>
      <c r="AF46" s="1169">
        <f>SUM(AF43:AF45)</f>
        <v>32740.016811003661</v>
      </c>
      <c r="AG46" s="1028">
        <f>AF46/$AF$21</f>
        <v>4.4745892020144114E-3</v>
      </c>
      <c r="AH46" s="768">
        <f>AF46/$AF$9</f>
        <v>0.90547090024347754</v>
      </c>
      <c r="AI46" s="769">
        <f>AF46/$B$2</f>
        <v>230.56349866903986</v>
      </c>
      <c r="AJ46" s="1025">
        <f>SUM(AJ43:AJ45)</f>
        <v>33433.509894364011</v>
      </c>
      <c r="AK46" s="1028">
        <f>AJ46/$AJ$21</f>
        <v>4.3219374008247134E-3</v>
      </c>
      <c r="AL46" s="768">
        <f>AJ46/$AJ$9</f>
        <v>0.90333981503779992</v>
      </c>
      <c r="AM46" s="912">
        <f>AJ46/$B$2</f>
        <v>235.44725277721136</v>
      </c>
      <c r="AN46" s="1025">
        <f>SUM(AN43:AN45)</f>
        <v>34141.692422126449</v>
      </c>
      <c r="AO46" s="1028">
        <f>AN46/$AN$21</f>
        <v>4.0736430841261011E-3</v>
      </c>
      <c r="AP46" s="768">
        <f>AN46/$AJ$9</f>
        <v>0.92247419475632786</v>
      </c>
      <c r="AQ46" s="912">
        <f>AN46/$B$2</f>
        <v>240.43445367694682</v>
      </c>
      <c r="AR46" s="1025">
        <f>SUM(AR43:AR45)</f>
        <v>34864.875543431488</v>
      </c>
      <c r="AS46" s="1028">
        <f>AR46/$AR$21</f>
        <v>3.5977986731787277E-3</v>
      </c>
      <c r="AT46" s="768">
        <f>AR46/$AR$9</f>
        <v>0.87743489476359604</v>
      </c>
      <c r="AU46" s="912">
        <f>AR46/$B$2</f>
        <v>245.52729255937669</v>
      </c>
      <c r="AV46" s="1025">
        <f>SUM(AV43:AV45)</f>
        <v>35603.376998124171</v>
      </c>
      <c r="AW46" s="1028">
        <f>AV46/$AV$21</f>
        <v>3.5178335622045001E-3</v>
      </c>
      <c r="AX46" s="768">
        <f>AV46/$AV$9</f>
        <v>0.86000572473064985</v>
      </c>
      <c r="AY46" s="912">
        <f>AV46/$B$2</f>
        <v>250.72800702904345</v>
      </c>
      <c r="AZ46" s="1025">
        <f>SUM(AZ43:AZ45)</f>
        <v>36357.521256357162</v>
      </c>
      <c r="BA46" s="1028">
        <f>AZ46/$AZ$21</f>
        <v>3.5479269997227766E-3</v>
      </c>
      <c r="BB46" s="768">
        <f>AZ46/$AZ$9</f>
        <v>0.87659179420284405</v>
      </c>
      <c r="BC46" s="912">
        <f>AZ46/$B$2</f>
        <v>256.03888208702227</v>
      </c>
      <c r="BD46" s="1025">
        <f>SUM(BD43:BD45)</f>
        <v>37127.639661150912</v>
      </c>
      <c r="BE46" s="1028">
        <f>BD46/$BD$21</f>
        <v>3.5756513198058424E-3</v>
      </c>
      <c r="BF46" s="768">
        <f>BD46/$BD$9</f>
        <v>0.89270593078025751</v>
      </c>
      <c r="BG46" s="912">
        <f>BD46/$B$2</f>
        <v>261.4622511348656</v>
      </c>
      <c r="BH46" s="1025">
        <f>SUM(BH43:BH45)</f>
        <v>37914.070573973469</v>
      </c>
      <c r="BI46" s="1028">
        <f>BH46/$BH$21</f>
        <v>3.6191071800186058E-3</v>
      </c>
      <c r="BJ46" s="768">
        <f>BH46/$BH$9</f>
        <v>0.91412071014498675</v>
      </c>
      <c r="BK46" s="912">
        <f>BH46/$B$2</f>
        <v>267.00049699981315</v>
      </c>
      <c r="BL46" s="1025">
        <f>SUM(BL43:BL45)</f>
        <v>38717.159523404</v>
      </c>
      <c r="BM46" s="1028">
        <f>BL46/$BL$21</f>
        <v>3.6550055996792106E-3</v>
      </c>
      <c r="BN46" s="768">
        <f>BL46/$BL$9</f>
        <v>0.93348344882351242</v>
      </c>
      <c r="BO46" s="912">
        <f>BL46/$B$2</f>
        <v>272.65605298171829</v>
      </c>
      <c r="BP46" s="1025">
        <f>SUM(BP43:BP45)</f>
        <v>39537.259356945193</v>
      </c>
      <c r="BQ46" s="1028">
        <f>BP46/$BP$21</f>
        <v>3.6911075477245778E-3</v>
      </c>
      <c r="BR46" s="1028">
        <f>BQ46/$BT$21</f>
        <v>3.4003424302676267E-10</v>
      </c>
      <c r="BS46" s="912">
        <f>BP46/$B$2</f>
        <v>278.43140392214923</v>
      </c>
      <c r="BT46" s="1025">
        <f>SUM(BT43:BT45)</f>
        <v>40374.730396051396</v>
      </c>
      <c r="BU46" s="1028">
        <f>BT46/$BT$21</f>
        <v>3.7194231569042794E-3</v>
      </c>
      <c r="BV46" s="1028">
        <f>BU46/$BT$21</f>
        <v>3.4264274917532964E-10</v>
      </c>
      <c r="BW46" s="912">
        <f>BT46/$B$2</f>
        <v>284.32908729613661</v>
      </c>
      <c r="BX46" s="805"/>
      <c r="CI46" s="211"/>
    </row>
    <row r="47" spans="1:87" x14ac:dyDescent="0.2">
      <c r="A47" s="741" t="s">
        <v>186</v>
      </c>
      <c r="B47" s="772"/>
      <c r="C47" s="1147"/>
      <c r="D47" s="772"/>
      <c r="E47" s="1147"/>
      <c r="F47" s="772"/>
      <c r="G47" s="1147"/>
      <c r="H47" s="772"/>
      <c r="I47" s="1147"/>
      <c r="J47" s="772"/>
      <c r="K47" s="1147"/>
      <c r="L47" s="772"/>
      <c r="M47" s="874"/>
      <c r="N47" s="901"/>
      <c r="O47" s="766"/>
      <c r="P47" s="1014"/>
      <c r="Q47" s="766"/>
      <c r="R47" s="1014"/>
      <c r="S47" s="766"/>
      <c r="T47" s="1014"/>
      <c r="U47" s="766"/>
      <c r="V47" s="1014"/>
      <c r="W47" s="766"/>
      <c r="X47" s="792"/>
      <c r="Y47" s="746"/>
      <c r="Z47" s="768"/>
      <c r="AA47" s="769"/>
      <c r="AB47" s="837"/>
      <c r="AC47" s="771"/>
      <c r="AD47" s="747"/>
      <c r="AE47" s="1180"/>
      <c r="AF47" s="1165"/>
      <c r="AG47" s="746"/>
      <c r="AH47" s="747"/>
      <c r="AI47" s="1009"/>
      <c r="AJ47" s="1030"/>
      <c r="AK47" s="771"/>
      <c r="AL47" s="747"/>
      <c r="AM47" s="1180"/>
      <c r="AN47" s="827"/>
      <c r="AO47" s="746"/>
      <c r="AP47" s="747"/>
      <c r="AQ47" s="1180"/>
      <c r="AR47" s="827"/>
      <c r="AS47" s="746"/>
      <c r="AT47" s="747"/>
      <c r="AU47" s="1180"/>
      <c r="AV47" s="827"/>
      <c r="AW47" s="746"/>
      <c r="AX47" s="747"/>
      <c r="AY47" s="1180"/>
      <c r="AZ47" s="827"/>
      <c r="BA47" s="771"/>
      <c r="BB47" s="747"/>
      <c r="BC47" s="1180"/>
      <c r="BD47" s="1517"/>
      <c r="BE47" s="771"/>
      <c r="BF47" s="747"/>
      <c r="BG47" s="1180"/>
      <c r="BH47" s="827"/>
      <c r="BI47" s="771"/>
      <c r="BJ47" s="747"/>
      <c r="BK47" s="1180"/>
      <c r="BL47" s="827"/>
      <c r="BM47" s="746"/>
      <c r="BN47" s="747"/>
      <c r="BO47" s="1180"/>
      <c r="BP47" s="827"/>
      <c r="BQ47" s="746"/>
      <c r="BS47" s="1180"/>
      <c r="BT47" s="827"/>
      <c r="BU47" s="746"/>
      <c r="BV47" s="747"/>
      <c r="BW47" s="1180"/>
      <c r="BX47" s="805"/>
      <c r="CI47" s="211"/>
    </row>
    <row r="48" spans="1:87" x14ac:dyDescent="0.2">
      <c r="A48" s="741" t="s">
        <v>248</v>
      </c>
      <c r="B48" s="772">
        <v>40999.999999999993</v>
      </c>
      <c r="C48" s="1147">
        <f>B48/$B$21</f>
        <v>7.2040514179505973E-3</v>
      </c>
      <c r="D48" s="772">
        <v>40999.999999999993</v>
      </c>
      <c r="E48" s="1147">
        <f>D48/$D$21</f>
        <v>8.2870856684555301E-3</v>
      </c>
      <c r="F48" s="772">
        <v>40999.999999999993</v>
      </c>
      <c r="G48" s="1147">
        <f>F48/$F$21</f>
        <v>6.4899089829837742E-3</v>
      </c>
      <c r="H48" s="772">
        <v>40999.999999999993</v>
      </c>
      <c r="I48" s="1147">
        <f>H48/$H$21</f>
        <v>6.1683260968336921E-3</v>
      </c>
      <c r="J48" s="772">
        <v>40999.999999999993</v>
      </c>
      <c r="K48" s="1147">
        <f>J48/$J$21</f>
        <v>6.2574020487650012E-3</v>
      </c>
      <c r="L48" s="772">
        <v>43000</v>
      </c>
      <c r="M48" s="874">
        <f>L48/$L$21</f>
        <v>6.40380296540755E-3</v>
      </c>
      <c r="N48" s="901">
        <v>43000</v>
      </c>
      <c r="O48" s="766">
        <f>N48/$N$21</f>
        <v>6.3507067007340231E-3</v>
      </c>
      <c r="P48" s="1014">
        <v>43000</v>
      </c>
      <c r="Q48" s="766">
        <f>P48/$P$21</f>
        <v>2.6834121268628539E-2</v>
      </c>
      <c r="R48" s="1014">
        <v>43000</v>
      </c>
      <c r="S48" s="766">
        <f>R48/$R$21</f>
        <v>2.2349524257683499E-2</v>
      </c>
      <c r="T48" s="1014">
        <v>43000</v>
      </c>
      <c r="U48" s="766">
        <f>T48/$T$21</f>
        <v>1.0196165599708044E-2</v>
      </c>
      <c r="V48" s="1014">
        <v>43000</v>
      </c>
      <c r="W48" s="766">
        <f>V48/$V$21</f>
        <v>7.7920642356030289E-3</v>
      </c>
      <c r="X48" s="1014">
        <v>45000</v>
      </c>
      <c r="Y48" s="746">
        <f>X48/$X$21</f>
        <v>7.1502854950102925E-3</v>
      </c>
      <c r="Z48" s="768">
        <f>X48/$X$9</f>
        <v>1.1653443374986368</v>
      </c>
      <c r="AA48" s="769">
        <f>X48/$B$2</f>
        <v>316.90140845070425</v>
      </c>
      <c r="AB48" s="837">
        <f>AA48*$B$2</f>
        <v>45000.000000000007</v>
      </c>
      <c r="AC48" s="771">
        <f>AB48/$AB$21</f>
        <v>7.1160069729901965E-3</v>
      </c>
      <c r="AD48" s="747">
        <f>AB48/$AB$9</f>
        <v>1.1663772323164254</v>
      </c>
      <c r="AE48" s="1180">
        <f>AB48/$B$2</f>
        <v>316.90140845070425</v>
      </c>
      <c r="AF48" s="901">
        <v>45000</v>
      </c>
      <c r="AG48" s="771">
        <f>AF48/$AB$21</f>
        <v>7.1160069729901956E-3</v>
      </c>
      <c r="AH48" s="747">
        <f>AF48/$AF$9</f>
        <v>1.2445378616073899</v>
      </c>
      <c r="AI48" s="1009">
        <f>AF48/$B$2</f>
        <v>316.90140845070425</v>
      </c>
      <c r="AJ48" s="772">
        <f>AM48*$B$2</f>
        <v>47250.000000000007</v>
      </c>
      <c r="AK48" s="771">
        <f>AJ48/$AJ$21</f>
        <v>6.1079899428504907E-3</v>
      </c>
      <c r="AL48" s="747">
        <f>AJ48/$AJ$9</f>
        <v>1.2766474831806762</v>
      </c>
      <c r="AM48" s="1189">
        <f>ASSUMPTIONS!F31</f>
        <v>332.74647887323948</v>
      </c>
      <c r="AN48" s="772">
        <f>AJ48</f>
        <v>47250.000000000007</v>
      </c>
      <c r="AO48" s="746">
        <f>AN48/$AN$21</f>
        <v>5.6376711893818326E-3</v>
      </c>
      <c r="AP48" s="747">
        <f>AN48/$AN$9</f>
        <v>1.3163759959881876</v>
      </c>
      <c r="AQ48" s="1180">
        <f>AN48/$B$2</f>
        <v>332.74647887323948</v>
      </c>
      <c r="AR48" s="772">
        <f>AN48</f>
        <v>47250.000000000007</v>
      </c>
      <c r="AS48" s="746">
        <f>AR48/$AR$21</f>
        <v>4.8758524061251673E-3</v>
      </c>
      <c r="AT48" s="747">
        <f>AR48/$AR$9</f>
        <v>1.1891279728199322</v>
      </c>
      <c r="AU48" s="1180">
        <f>AR48/$B$2</f>
        <v>332.74647887323948</v>
      </c>
      <c r="AV48" s="772">
        <f>AR48</f>
        <v>47250.000000000007</v>
      </c>
      <c r="AW48" s="746">
        <f>AV48/$AV$21</f>
        <v>4.6685918536019805E-3</v>
      </c>
      <c r="AX48" s="747">
        <f>AV48/$AV$9</f>
        <v>1.1413319162298607</v>
      </c>
      <c r="AY48" s="1180">
        <f>AV48/$B$2</f>
        <v>332.74647887323948</v>
      </c>
      <c r="AZ48" s="772">
        <f>AV48</f>
        <v>47250.000000000007</v>
      </c>
      <c r="BA48" s="771">
        <f>AZ48/$AZ$21</f>
        <v>4.6108630331224577E-3</v>
      </c>
      <c r="BB48" s="747">
        <f>AZ48/$AZ$9</f>
        <v>1.1392130388658503</v>
      </c>
      <c r="BC48" s="1180">
        <f>AZ48/$B$2</f>
        <v>332.74647887323948</v>
      </c>
      <c r="BD48" s="772">
        <f>AZ48</f>
        <v>47250.000000000007</v>
      </c>
      <c r="BE48" s="771">
        <f>BD48/$BD$21</f>
        <v>4.5505054025184663E-3</v>
      </c>
      <c r="BF48" s="747">
        <f>BD48/$BD$9</f>
        <v>1.13609040634768</v>
      </c>
      <c r="BG48" s="1180">
        <f>BD48/$B$2</f>
        <v>332.74647887323948</v>
      </c>
      <c r="BH48" s="772">
        <f>BD48</f>
        <v>47250.000000000007</v>
      </c>
      <c r="BI48" s="771">
        <f>BH48/$BH$21</f>
        <v>4.5102731431128874E-3</v>
      </c>
      <c r="BJ48" s="747">
        <f>BH48/$BH$9</f>
        <v>1.1392130388658503</v>
      </c>
      <c r="BK48" s="1180">
        <f>BH48/$B$2</f>
        <v>332.74647887323948</v>
      </c>
      <c r="BL48" s="772">
        <f>BH48</f>
        <v>47250.000000000007</v>
      </c>
      <c r="BM48" s="746">
        <f>BL48/$BL$21</f>
        <v>4.4605290447624008E-3</v>
      </c>
      <c r="BN48" s="747">
        <f>BL48/$BL$9</f>
        <v>1.1392130388658503</v>
      </c>
      <c r="BO48" s="1180">
        <f>BL48/$B$2</f>
        <v>332.74647887323948</v>
      </c>
      <c r="BP48" s="772">
        <f>BL48</f>
        <v>47250.000000000007</v>
      </c>
      <c r="BQ48" s="746">
        <f>BP48/$BP$21</f>
        <v>4.4111512650749788E-3</v>
      </c>
      <c r="BR48" s="747">
        <f>BP48/$BL$9</f>
        <v>1.1392130388658503</v>
      </c>
      <c r="BS48" s="1180">
        <f>BP48/$B$2</f>
        <v>332.74647887323948</v>
      </c>
      <c r="BT48" s="772">
        <f>BP48</f>
        <v>47250.000000000007</v>
      </c>
      <c r="BU48" s="746">
        <f>BT48/$BP$21</f>
        <v>4.4111512650749788E-3</v>
      </c>
      <c r="BV48" s="747">
        <f>BT48/$BL$9</f>
        <v>1.1392130388658503</v>
      </c>
      <c r="BW48" s="1180">
        <f>BT48/$B$2</f>
        <v>332.74647887323948</v>
      </c>
      <c r="BX48" s="805"/>
      <c r="CI48" s="211"/>
    </row>
    <row r="49" spans="1:87" x14ac:dyDescent="0.2">
      <c r="A49" s="741" t="s">
        <v>249</v>
      </c>
      <c r="B49" s="1135"/>
      <c r="C49" s="1147"/>
      <c r="D49" s="1135"/>
      <c r="E49" s="1147"/>
      <c r="F49" s="1135"/>
      <c r="G49" s="1147"/>
      <c r="H49" s="1135"/>
      <c r="I49" s="1147"/>
      <c r="J49" s="1135"/>
      <c r="K49" s="1147"/>
      <c r="L49" s="1135"/>
      <c r="M49" s="874"/>
      <c r="N49" s="1019"/>
      <c r="O49" s="766"/>
      <c r="P49" s="1020"/>
      <c r="Q49" s="766"/>
      <c r="R49" s="1020"/>
      <c r="S49" s="766"/>
      <c r="T49" s="1020"/>
      <c r="U49" s="766"/>
      <c r="V49" s="1020"/>
      <c r="W49" s="766"/>
      <c r="X49" s="806"/>
      <c r="Y49" s="746"/>
      <c r="Z49" s="768"/>
      <c r="AA49" s="769"/>
      <c r="AB49" s="837"/>
      <c r="AC49" s="771"/>
      <c r="AD49" s="747"/>
      <c r="AE49" s="1180"/>
      <c r="AF49" s="901"/>
      <c r="AG49" s="746"/>
      <c r="AH49" s="747"/>
      <c r="AI49" s="1009"/>
      <c r="AJ49" s="838"/>
      <c r="AK49" s="771"/>
      <c r="AL49" s="747"/>
      <c r="AM49" s="1180"/>
      <c r="AN49" s="837"/>
      <c r="AO49" s="746"/>
      <c r="AP49" s="747"/>
      <c r="AQ49" s="1180"/>
      <c r="AR49" s="837"/>
      <c r="AS49" s="746"/>
      <c r="AT49" s="747"/>
      <c r="AU49" s="1180"/>
      <c r="AV49" s="837"/>
      <c r="AW49" s="746"/>
      <c r="AX49" s="747"/>
      <c r="AY49" s="1180"/>
      <c r="AZ49" s="837"/>
      <c r="BA49" s="771"/>
      <c r="BB49" s="747"/>
      <c r="BC49" s="1180"/>
      <c r="BD49" s="837"/>
      <c r="BE49" s="771"/>
      <c r="BF49" s="747"/>
      <c r="BG49" s="1180"/>
      <c r="BH49" s="837"/>
      <c r="BI49" s="771"/>
      <c r="BJ49" s="747"/>
      <c r="BK49" s="1180"/>
      <c r="BL49" s="837"/>
      <c r="BM49" s="746"/>
      <c r="BN49" s="747"/>
      <c r="BO49" s="1180"/>
      <c r="BP49" s="837"/>
      <c r="BQ49" s="746"/>
      <c r="BS49" s="1180"/>
      <c r="BT49" s="837"/>
      <c r="BU49" s="746"/>
      <c r="BV49" s="747"/>
      <c r="BW49" s="1180"/>
      <c r="BX49" s="805"/>
      <c r="CI49" s="211"/>
    </row>
    <row r="50" spans="1:87" x14ac:dyDescent="0.2">
      <c r="A50" s="741" t="s">
        <v>146</v>
      </c>
      <c r="B50" s="1135"/>
      <c r="C50" s="1147"/>
      <c r="D50" s="1135"/>
      <c r="E50" s="1147"/>
      <c r="F50" s="1135"/>
      <c r="G50" s="1147"/>
      <c r="H50" s="1135"/>
      <c r="I50" s="1147"/>
      <c r="J50" s="1135"/>
      <c r="K50" s="1147"/>
      <c r="L50" s="1135"/>
      <c r="M50" s="874"/>
      <c r="N50" s="1019"/>
      <c r="O50" s="766"/>
      <c r="P50" s="1020"/>
      <c r="Q50" s="766"/>
      <c r="R50" s="1020"/>
      <c r="S50" s="766"/>
      <c r="T50" s="1020"/>
      <c r="U50" s="766"/>
      <c r="V50" s="1020"/>
      <c r="W50" s="766"/>
      <c r="X50" s="806"/>
      <c r="Y50" s="746"/>
      <c r="Z50" s="768"/>
      <c r="AA50" s="769"/>
      <c r="AB50" s="837"/>
      <c r="AC50" s="771"/>
      <c r="AD50" s="747"/>
      <c r="AE50" s="1180"/>
      <c r="AF50" s="901"/>
      <c r="AG50" s="746"/>
      <c r="AH50" s="747"/>
      <c r="AI50" s="1009"/>
      <c r="AJ50" s="838"/>
      <c r="AK50" s="771"/>
      <c r="AL50" s="747"/>
      <c r="AM50" s="1180"/>
      <c r="AN50" s="837"/>
      <c r="AO50" s="746"/>
      <c r="AP50" s="747"/>
      <c r="AQ50" s="1180"/>
      <c r="AR50" s="837"/>
      <c r="AS50" s="746"/>
      <c r="AT50" s="747"/>
      <c r="AU50" s="1180"/>
      <c r="AV50" s="837"/>
      <c r="AW50" s="746"/>
      <c r="AX50" s="747"/>
      <c r="AY50" s="1180"/>
      <c r="AZ50" s="837"/>
      <c r="BA50" s="771"/>
      <c r="BB50" s="747"/>
      <c r="BC50" s="1180"/>
      <c r="BD50" s="837"/>
      <c r="BE50" s="771"/>
      <c r="BF50" s="747"/>
      <c r="BG50" s="1180"/>
      <c r="BH50" s="837"/>
      <c r="BI50" s="771"/>
      <c r="BJ50" s="747"/>
      <c r="BK50" s="1180"/>
      <c r="BL50" s="837"/>
      <c r="BM50" s="746"/>
      <c r="BN50" s="747"/>
      <c r="BO50" s="1180"/>
      <c r="BP50" s="837"/>
      <c r="BQ50" s="746"/>
      <c r="BS50" s="1180"/>
      <c r="BT50" s="837"/>
      <c r="BU50" s="746"/>
      <c r="BV50" s="747"/>
      <c r="BW50" s="1180"/>
      <c r="BX50" s="805"/>
      <c r="CI50" s="211"/>
    </row>
    <row r="51" spans="1:87" ht="17" thickBot="1" x14ac:dyDescent="0.25">
      <c r="A51" s="1115" t="s">
        <v>250</v>
      </c>
      <c r="B51" s="1136">
        <f>B46-SUM(B47:B50)</f>
        <v>1359000</v>
      </c>
      <c r="C51" s="1151">
        <f>B51/$B$21</f>
        <v>0.2387879482193869</v>
      </c>
      <c r="D51" s="1136">
        <f>D46-D48</f>
        <v>1377199.9999999998</v>
      </c>
      <c r="E51" s="1151">
        <f>D51/$D$21</f>
        <v>0.27836522884382819</v>
      </c>
      <c r="F51" s="1136">
        <f>F46-F48</f>
        <v>1395636.5999999994</v>
      </c>
      <c r="G51" s="1151">
        <f>F51/$F$21</f>
        <v>0.2209159635931934</v>
      </c>
      <c r="H51" s="1136">
        <f>H46-H48</f>
        <v>1417999.9999999998</v>
      </c>
      <c r="I51" s="1151">
        <f>H51/$H$21</f>
        <v>0.21333381476366281</v>
      </c>
      <c r="J51" s="1136">
        <f>J46-J48</f>
        <v>1367731.6</v>
      </c>
      <c r="K51" s="1151">
        <f>J51/$J$21</f>
        <v>0.20874259795123501</v>
      </c>
      <c r="L51" s="1136">
        <f>L46-L48</f>
        <v>1400673.3999999997</v>
      </c>
      <c r="M51" s="1137">
        <f>L51/$L$21</f>
        <v>0.2085961970345924</v>
      </c>
      <c r="N51" s="1075">
        <f>N46-N48</f>
        <v>1417316.0000000002</v>
      </c>
      <c r="O51" s="1076">
        <f>N51/$N$21</f>
        <v>0.20932460972691966</v>
      </c>
      <c r="P51" s="1077">
        <f>P46-P48</f>
        <v>1307000</v>
      </c>
      <c r="Q51" s="1076">
        <f>P51/$P$21</f>
        <v>0.81563247669994188</v>
      </c>
      <c r="R51" s="1077">
        <f>R46-R48</f>
        <v>1307000</v>
      </c>
      <c r="S51" s="1076">
        <f>R51/$R$21</f>
        <v>0.67932158615796123</v>
      </c>
      <c r="T51" s="1077">
        <f>T46-T48</f>
        <v>1307000</v>
      </c>
      <c r="U51" s="1076">
        <f>T51/$T$21</f>
        <v>0.30991601020507942</v>
      </c>
      <c r="V51" s="1077">
        <f>V46-V48</f>
        <v>-43000</v>
      </c>
      <c r="W51" s="1076">
        <f>V51/$V$21</f>
        <v>-7.7920642356030289E-3</v>
      </c>
      <c r="X51" s="1077">
        <f>X46-X48</f>
        <v>-45000</v>
      </c>
      <c r="Y51" s="1079">
        <f>X51/$X$21</f>
        <v>-7.1502854950102925E-3</v>
      </c>
      <c r="Z51" s="1080">
        <f>X51/$X$9</f>
        <v>-1.1653443374986368</v>
      </c>
      <c r="AA51" s="1092">
        <f>AA46-AA48</f>
        <v>-316.90140845070425</v>
      </c>
      <c r="AB51" s="1093">
        <f>AB46-AB48</f>
        <v>-45000.000000000007</v>
      </c>
      <c r="AC51" s="1079">
        <f>AB51/$AB$21</f>
        <v>-7.1160069729901965E-3</v>
      </c>
      <c r="AD51" s="1080">
        <f>AB51/$AB$9</f>
        <v>-1.1663772323164254</v>
      </c>
      <c r="AE51" s="1181">
        <f>AB51/$B$2</f>
        <v>-316.90140845070425</v>
      </c>
      <c r="AF51" s="1163">
        <f>AF46-AF48</f>
        <v>-12259.983188996339</v>
      </c>
      <c r="AG51" s="1079">
        <f>AF51/$AF$21</f>
        <v>-1.6755760606672551E-3</v>
      </c>
      <c r="AH51" s="1080">
        <f>AF51/$AF$9</f>
        <v>-0.33906696136391223</v>
      </c>
      <c r="AI51" s="1092">
        <f>AF51/$B$2</f>
        <v>-86.337909781664365</v>
      </c>
      <c r="AJ51" s="1093">
        <f>AJ46-AJ48</f>
        <v>-13816.490105635996</v>
      </c>
      <c r="AK51" s="1079">
        <f>AJ51/$AJ$21</f>
        <v>-1.7860525420257771E-3</v>
      </c>
      <c r="AL51" s="1080">
        <f>AJ51/$AJ$9</f>
        <v>-0.3733076681428763</v>
      </c>
      <c r="AM51" s="1181">
        <f>AJ51/$B$2</f>
        <v>-97.299226096028136</v>
      </c>
      <c r="AN51" s="1093">
        <f>AN46-AN48</f>
        <v>-13108.307577873558</v>
      </c>
      <c r="AO51" s="1079">
        <f>AN51/$AN$21</f>
        <v>-1.5640281052557313E-3</v>
      </c>
      <c r="AP51" s="1080">
        <f>AN51/$AN$9</f>
        <v>-0.36519495118609124</v>
      </c>
      <c r="AQ51" s="1181">
        <f>AN51/$B$2</f>
        <v>-92.312025196292666</v>
      </c>
      <c r="AR51" s="1093">
        <f>AR46-AR48</f>
        <v>-12385.124456568519</v>
      </c>
      <c r="AS51" s="1079">
        <f>AR51/$AR$21</f>
        <v>-1.2780537329464394E-3</v>
      </c>
      <c r="AT51" s="1080">
        <f>AR51/$AR$9</f>
        <v>-0.31169307805633623</v>
      </c>
      <c r="AU51" s="1181">
        <f>AR51/$B$2</f>
        <v>-87.219186313862807</v>
      </c>
      <c r="AV51" s="1093">
        <f>AV46-AV48</f>
        <v>-11646.623001875836</v>
      </c>
      <c r="AW51" s="1079">
        <f>AV51/$AV$21</f>
        <v>-1.1507582913974808E-3</v>
      </c>
      <c r="AX51" s="1080">
        <f>AV51/$AV$9</f>
        <v>-0.28132619149921101</v>
      </c>
      <c r="AY51" s="1181">
        <f>AV51/$B$2</f>
        <v>-82.018471844196029</v>
      </c>
      <c r="AZ51" s="1093">
        <f>AZ46-AZ48</f>
        <v>-10892.478743642845</v>
      </c>
      <c r="BA51" s="1079">
        <f>AZ51/$AZ$21</f>
        <v>-1.0629360333996812E-3</v>
      </c>
      <c r="BB51" s="1080">
        <f>AZ51/$AZ$9</f>
        <v>-0.26262124466300618</v>
      </c>
      <c r="BC51" s="1181">
        <f>AZ51/$B$2</f>
        <v>-76.707596786217223</v>
      </c>
      <c r="BD51" s="1093">
        <f>BD46-BD48</f>
        <v>-10122.360338849096</v>
      </c>
      <c r="BE51" s="1079">
        <f>BD51/$BD$21</f>
        <v>-9.7485408271262336E-4</v>
      </c>
      <c r="BF51" s="1080">
        <f>BD51/$BD$9</f>
        <v>-0.24338447556742235</v>
      </c>
      <c r="BG51" s="1181">
        <f>BD51/$B$2</f>
        <v>-71.284227738373914</v>
      </c>
      <c r="BH51" s="1093">
        <f>BH46-BH48</f>
        <v>-9335.9294260265378</v>
      </c>
      <c r="BI51" s="1079">
        <f>BH51/$BH$21</f>
        <v>-8.9116596309428149E-4</v>
      </c>
      <c r="BJ51" s="1080">
        <f>BH51/$BH$9</f>
        <v>-0.22509232872086357</v>
      </c>
      <c r="BK51" s="1181">
        <f>BH51/$B$2</f>
        <v>-65.745981873426317</v>
      </c>
      <c r="BL51" s="1093">
        <f>BL46-BL48</f>
        <v>-8532.8404765960076</v>
      </c>
      <c r="BM51" s="1079">
        <f>BL51/$BL$21</f>
        <v>-8.0552344508319008E-4</v>
      </c>
      <c r="BN51" s="1080">
        <f>BL51/$BL$9</f>
        <v>-0.20572959004233793</v>
      </c>
      <c r="BO51" s="1181">
        <f>BL51/$B$2</f>
        <v>-60.090425891521178</v>
      </c>
      <c r="BP51" s="1093">
        <f>BP46-BP48</f>
        <v>-7712.7406430548144</v>
      </c>
      <c r="BQ51" s="1079">
        <f>BP51/$BP$21</f>
        <v>-7.2004371735040094E-4</v>
      </c>
      <c r="BR51" s="1080">
        <f>BP51/$BL$9</f>
        <v>-0.18595671335362171</v>
      </c>
      <c r="BS51" s="1181">
        <f>BP51/$B$2</f>
        <v>-54.315074951090246</v>
      </c>
      <c r="BT51" s="1093">
        <f>BT46-BT48</f>
        <v>-6875.2696039486109</v>
      </c>
      <c r="BU51" s="1079">
        <f>BT51/$BP$21</f>
        <v>-6.418593483849621E-4</v>
      </c>
      <c r="BV51" s="1080">
        <f>BT51/$BL$9</f>
        <v>-0.16576501118595358</v>
      </c>
      <c r="BW51" s="1181">
        <f>BT51/$B$2</f>
        <v>-48.41739157710289</v>
      </c>
      <c r="BX51" s="805"/>
      <c r="CI51" s="211"/>
    </row>
    <row r="52" spans="1:87" ht="18" thickTop="1" thickBot="1" x14ac:dyDescent="0.25">
      <c r="A52" s="1118" t="s">
        <v>251</v>
      </c>
      <c r="B52" s="1142">
        <f>B41+B51</f>
        <v>2654142.1912199995</v>
      </c>
      <c r="C52" s="1153">
        <f>B52/$B$21</f>
        <v>0.46635553210002306</v>
      </c>
      <c r="D52" s="1142">
        <f>D41+D51</f>
        <v>2127257.0369648961</v>
      </c>
      <c r="E52" s="1153">
        <f>D52/$D$21</f>
        <v>0.42996978790617002</v>
      </c>
      <c r="F52" s="1142">
        <f>F41+F51</f>
        <v>2878860.5750000002</v>
      </c>
      <c r="G52" s="1153">
        <f>F52/$F$21</f>
        <v>0.45569617332805701</v>
      </c>
      <c r="H52" s="1142">
        <f>H41+H51</f>
        <v>3165850.5565999998</v>
      </c>
      <c r="I52" s="1153">
        <f>H52/$H$21</f>
        <v>0.47629264895003048</v>
      </c>
      <c r="J52" s="1142">
        <f>J41+J51</f>
        <v>3233398.6684000003</v>
      </c>
      <c r="K52" s="1153">
        <f>J52/$J$21</f>
        <v>0.49347988907610224</v>
      </c>
      <c r="L52" s="1142">
        <f>L41+L51</f>
        <v>3406233.3999999994</v>
      </c>
      <c r="M52" s="1143">
        <f>L52/$L$21</f>
        <v>0.50727552436721479</v>
      </c>
      <c r="N52" s="1084">
        <f>N41+N51</f>
        <v>3847816</v>
      </c>
      <c r="O52" s="1085">
        <f>N52/$N$21</f>
        <v>0.56828722917189733</v>
      </c>
      <c r="P52" s="1086">
        <f>P41+P51</f>
        <v>660719.43695999996</v>
      </c>
      <c r="Q52" s="1085">
        <f>P52/$P$21</f>
        <v>0.41232152316103737</v>
      </c>
      <c r="R52" s="1086">
        <f>R41+R51</f>
        <v>848638.18608000001</v>
      </c>
      <c r="S52" s="1085">
        <f>R52/$R$21</f>
        <v>0.44108510990212751</v>
      </c>
      <c r="T52" s="1086">
        <f>T41+T51</f>
        <v>2102005.1793600004</v>
      </c>
      <c r="U52" s="1085">
        <f>T52/$T$21</f>
        <v>0.49842774186508315</v>
      </c>
      <c r="V52" s="1086">
        <f>V41+V51</f>
        <v>883460</v>
      </c>
      <c r="W52" s="1085">
        <f>V52/$V$21</f>
        <v>0.16009248999036865</v>
      </c>
      <c r="X52" s="1086">
        <f>X41+X51</f>
        <v>1806065</v>
      </c>
      <c r="Y52" s="1087">
        <f>X52/$X$21</f>
        <v>0.28697511938990589</v>
      </c>
      <c r="Z52" s="1088">
        <f>X52/$X$9</f>
        <v>46.770836020099452</v>
      </c>
      <c r="AA52" s="1094">
        <f>AA41+AA51</f>
        <v>12718.767605633804</v>
      </c>
      <c r="AB52" s="1091">
        <f>AB41+AB51</f>
        <v>1798250.5713726743</v>
      </c>
      <c r="AC52" s="1087">
        <f>AB52/$AB$21</f>
        <v>0.28436363566825673</v>
      </c>
      <c r="AD52" s="1088">
        <f>AB52/$AB$9</f>
        <v>46.609744987757558</v>
      </c>
      <c r="AE52" s="1182">
        <f>AB52/$B$2</f>
        <v>12663.736418117425</v>
      </c>
      <c r="AF52" s="1170">
        <f>AF41+AF51</f>
        <v>1835177.906336955</v>
      </c>
      <c r="AG52" s="1087">
        <f>AF52/$AF$21</f>
        <v>0.25081438689765356</v>
      </c>
      <c r="AH52" s="1088">
        <f>AF52/$AF$9</f>
        <v>50.754408604927129</v>
      </c>
      <c r="AI52" s="1094">
        <f>AF52/$B$2</f>
        <v>12923.788072795458</v>
      </c>
      <c r="AJ52" s="1091">
        <f>AJ41+AJ51</f>
        <v>2078460.1062766621</v>
      </c>
      <c r="AK52" s="1087">
        <f>AJ52/$AJ$21</f>
        <v>0.26868176562441931</v>
      </c>
      <c r="AL52" s="1088">
        <f>AJ52/$AJ$9</f>
        <v>56.157901874487642</v>
      </c>
      <c r="AM52" s="1182">
        <f>AJ52/$B$2</f>
        <v>14637.043001948325</v>
      </c>
      <c r="AN52" s="1091">
        <f>AN41+AN51</f>
        <v>2290484.7354775253</v>
      </c>
      <c r="AO52" s="1087">
        <f>AN52/$AN$21</f>
        <v>0.27329100112001081</v>
      </c>
      <c r="AP52" s="1088">
        <f>AN52/$AN$9</f>
        <v>63.812468253121004</v>
      </c>
      <c r="AQ52" s="1182">
        <f>AN52/$B$2</f>
        <v>16130.174193503699</v>
      </c>
      <c r="AR52" s="1091">
        <f>AR41+AR51</f>
        <v>2932485.5206121039</v>
      </c>
      <c r="AS52" s="1087">
        <f>AR52/$AR$21</f>
        <v>0.30261093294399444</v>
      </c>
      <c r="AT52" s="1088">
        <f>AR52/$AR$9</f>
        <v>73.801070104746543</v>
      </c>
      <c r="AU52" s="1182">
        <f>AR52/$B$2</f>
        <v>20651.306483183831</v>
      </c>
      <c r="AV52" s="1091">
        <f>AV41+AV51</f>
        <v>3109108.0298519116</v>
      </c>
      <c r="AW52" s="1087">
        <f>AV52/$AV$21</f>
        <v>0.30719907767481769</v>
      </c>
      <c r="AX52" s="1088">
        <f>AV52/$AV$9</f>
        <v>75.101041809027066</v>
      </c>
      <c r="AY52" s="1182">
        <f>AV52/$B$2</f>
        <v>21895.126970788111</v>
      </c>
      <c r="AZ52" s="1091">
        <f>AZ41+AZ51</f>
        <v>3129828.7002887842</v>
      </c>
      <c r="BA52" s="1087">
        <f>AZ52/$AZ$21</f>
        <v>0.30542246463846057</v>
      </c>
      <c r="BB52" s="1088">
        <f>AZ52/$AZ$9</f>
        <v>75.461199254720427</v>
      </c>
      <c r="BC52" s="1182">
        <f>AZ52/$B$2</f>
        <v>22041.047185132284</v>
      </c>
      <c r="BD52" s="1091">
        <f>BD41+BD51</f>
        <v>3154287.2427974818</v>
      </c>
      <c r="BE52" s="1087">
        <f>BD52/$BD$21</f>
        <v>0.30377991829513257</v>
      </c>
      <c r="BF52" s="1088">
        <f>BD52/$BD$9</f>
        <v>75.84244392395965</v>
      </c>
      <c r="BG52" s="1182">
        <f>BD52/$B$2</f>
        <v>22213.290442235786</v>
      </c>
      <c r="BH52" s="1091">
        <f>BH41+BH51</f>
        <v>3155684.9268422122</v>
      </c>
      <c r="BI52" s="1087">
        <f>BH52/$BH$21</f>
        <v>0.30122753383412876</v>
      </c>
      <c r="BJ52" s="1088">
        <f>BH52/$BH$9</f>
        <v>76.084601380128561</v>
      </c>
      <c r="BK52" s="1182">
        <f>BH52/$B$2</f>
        <v>22223.133287621215</v>
      </c>
      <c r="BL52" s="1091">
        <f>BL41+BL51</f>
        <v>3168435.4505862528</v>
      </c>
      <c r="BM52" s="1087">
        <f>BL52/$BL$21</f>
        <v>0.29910895986867347</v>
      </c>
      <c r="BN52" s="1088">
        <f>BL52/$BL$9</f>
        <v>76.39202070079692</v>
      </c>
      <c r="BO52" s="1182">
        <f>BL52/$B$2</f>
        <v>22312.925708353894</v>
      </c>
      <c r="BP52" s="1091">
        <f>BP41+BP51</f>
        <v>3181060.0316516957</v>
      </c>
      <c r="BQ52" s="1087">
        <f>BP52/$BP$21</f>
        <v>0.29697644408253604</v>
      </c>
      <c r="BR52" s="1088">
        <f>BP52/$BL$9</f>
        <v>76.696403502066147</v>
      </c>
      <c r="BS52" s="1182">
        <f>BP52/$B$2</f>
        <v>22401.831208814758</v>
      </c>
      <c r="BT52" s="1091">
        <f>BT41+BT51</f>
        <v>3205401.9375790181</v>
      </c>
      <c r="BU52" s="1087">
        <f>BT52/$BP$21</f>
        <v>0.29924894840265548</v>
      </c>
      <c r="BV52" s="1088">
        <f>BT52/$BL$9</f>
        <v>77.283294859172003</v>
      </c>
      <c r="BW52" s="1182">
        <f>BT52/$B$2</f>
        <v>22573.253081542382</v>
      </c>
      <c r="BX52" s="805"/>
      <c r="CI52" s="211"/>
    </row>
    <row r="53" spans="1:87" ht="17" thickBot="1" x14ac:dyDescent="0.25">
      <c r="A53" s="1119" t="s">
        <v>252</v>
      </c>
      <c r="B53" s="1144">
        <v>227649.68</v>
      </c>
      <c r="C53" s="1154">
        <f>B53/$B$21</f>
        <v>0.04</v>
      </c>
      <c r="D53" s="1144">
        <v>197898.28000000003</v>
      </c>
      <c r="E53" s="1154">
        <f>D53/$D$21</f>
        <v>4.0000000000000008E-2</v>
      </c>
      <c r="F53" s="1144">
        <v>252699.99999999997</v>
      </c>
      <c r="G53" s="1154">
        <f>F53/$F$21</f>
        <v>3.9999999999999994E-2</v>
      </c>
      <c r="H53" s="1144">
        <v>265874.40000000002</v>
      </c>
      <c r="I53" s="1154">
        <f>H53/$H$21</f>
        <v>0.04</v>
      </c>
      <c r="J53" s="1144">
        <v>262089.60000000003</v>
      </c>
      <c r="K53" s="1154">
        <f>J53/$J$21</f>
        <v>4.0000000000000008E-2</v>
      </c>
      <c r="L53" s="1144">
        <v>268590.39999999997</v>
      </c>
      <c r="M53" s="1145">
        <f>L53/$L$21</f>
        <v>3.9999999999999994E-2</v>
      </c>
      <c r="N53" s="1102">
        <v>270836</v>
      </c>
      <c r="O53" s="1103">
        <f>N53/$N$21</f>
        <v>0.04</v>
      </c>
      <c r="P53" s="1104">
        <v>64097.49672000001</v>
      </c>
      <c r="Q53" s="1103">
        <f>P53/$P$21</f>
        <v>4.0000000000000008E-2</v>
      </c>
      <c r="R53" s="1104">
        <v>76959.132559999998</v>
      </c>
      <c r="S53" s="1103">
        <f>R53/$R$21</f>
        <v>0.04</v>
      </c>
      <c r="T53" s="1104">
        <v>168690.86551999999</v>
      </c>
      <c r="U53" s="1103">
        <f>T53/$T$21</f>
        <v>3.9999999999999994E-2</v>
      </c>
      <c r="V53" s="1104">
        <v>220737.4</v>
      </c>
      <c r="W53" s="1103">
        <f>V53/$V$21</f>
        <v>0.04</v>
      </c>
      <c r="X53" s="1104">
        <v>251738.2</v>
      </c>
      <c r="Y53" s="1105">
        <f>X53/$X$21</f>
        <v>0.04</v>
      </c>
      <c r="Z53" s="1106">
        <f>X53/$X$9</f>
        <v>6.5191485756022072</v>
      </c>
      <c r="AA53" s="1107">
        <f>X53/$B$2</f>
        <v>1772.8042253521128</v>
      </c>
      <c r="AB53" s="1108">
        <f>Y53*AB21</f>
        <v>252950.84825410557</v>
      </c>
      <c r="AC53" s="1105">
        <f>AB53/$AB$21</f>
        <v>0.04</v>
      </c>
      <c r="AD53" s="1106">
        <f>AB53/$AB$9</f>
        <v>6.5563580066381268</v>
      </c>
      <c r="AE53" s="1183">
        <f>AB53/$B$2</f>
        <v>1781.3440017894759</v>
      </c>
      <c r="AF53" s="1171">
        <f>AC53*AF21</f>
        <v>292675.06207063177</v>
      </c>
      <c r="AG53" s="1105">
        <f>AF53/$AF$21</f>
        <v>0.04</v>
      </c>
      <c r="AH53" s="1106">
        <f>AF53/$AF$9</f>
        <v>8.0943376865598697</v>
      </c>
      <c r="AI53" s="1107">
        <f>AF53/$B$2</f>
        <v>2061.0919864128996</v>
      </c>
      <c r="AJ53" s="1109">
        <f>AG53*AJ21</f>
        <v>309430.76489709655</v>
      </c>
      <c r="AK53" s="1105">
        <f>AJ53/$AJ$21</f>
        <v>0.04</v>
      </c>
      <c r="AL53" s="1106">
        <f>AJ53/$AJ$9</f>
        <v>8.3605080894084605</v>
      </c>
      <c r="AM53" s="1183">
        <f>AJ53/$B$2</f>
        <v>2179.0898936415251</v>
      </c>
      <c r="AN53" s="1109">
        <f>AK53*AN21</f>
        <v>335244.80880681472</v>
      </c>
      <c r="AO53" s="1105">
        <f>AN53/$AN$21</f>
        <v>0.04</v>
      </c>
      <c r="AP53" s="1106">
        <f>AN53/$AN$9</f>
        <v>9.3398564887394748</v>
      </c>
      <c r="AQ53" s="1183">
        <f>AN53/$B$2</f>
        <v>2360.8789352592585</v>
      </c>
      <c r="AR53" s="1109">
        <f>AO53*AR21</f>
        <v>387624.53055915626</v>
      </c>
      <c r="AS53" s="1105">
        <f>AR53/$AR$21</f>
        <v>0.04</v>
      </c>
      <c r="AT53" s="1106">
        <f>AR53/$AR$9</f>
        <v>9.7552417405097831</v>
      </c>
      <c r="AU53" s="1183">
        <f>AR53/$B$2</f>
        <v>2729.7502152053257</v>
      </c>
      <c r="AV53" s="1109">
        <f>AS53*AV21</f>
        <v>404832.99017492816</v>
      </c>
      <c r="AW53" s="1105">
        <f>AV53/$AV$21</f>
        <v>0.04</v>
      </c>
      <c r="AX53" s="1106">
        <f>AV53/$AV$9</f>
        <v>9.7788108450669853</v>
      </c>
      <c r="AY53" s="1183">
        <f>AV53/$B$2</f>
        <v>2850.9365505276633</v>
      </c>
      <c r="AZ53" s="1109">
        <f>AW53*AZ21</f>
        <v>409901.57079554367</v>
      </c>
      <c r="BA53" s="1105">
        <f>AZ53/$AZ$21</f>
        <v>0.04</v>
      </c>
      <c r="BB53" s="1106">
        <f>AZ53/$AZ$9</f>
        <v>9.8828616741137925</v>
      </c>
      <c r="BC53" s="1183">
        <f>AZ53/$B$2</f>
        <v>2886.6307802503075</v>
      </c>
      <c r="BD53" s="1109">
        <f>BA53*BD21</f>
        <v>415338.4806342576</v>
      </c>
      <c r="BE53" s="1105">
        <f>BD53/$BD$21</f>
        <v>0.04</v>
      </c>
      <c r="BF53" s="1106">
        <f>BD53/$BD$9</f>
        <v>9.9864986928169657</v>
      </c>
      <c r="BG53" s="1183">
        <f>BD53/$B$2</f>
        <v>2924.9188777060394</v>
      </c>
      <c r="BH53" s="1109">
        <f>BE53*BH21</f>
        <v>419043.35724899481</v>
      </c>
      <c r="BI53" s="1105">
        <f>BH53/$BH$21</f>
        <v>0.04</v>
      </c>
      <c r="BJ53" s="1106">
        <f>BH53/$BH$9</f>
        <v>10.103273151919057</v>
      </c>
      <c r="BK53" s="1183">
        <f>BH53/$B$2</f>
        <v>2951.0095580915126</v>
      </c>
      <c r="BL53" s="1109">
        <f>BI53*BL21</f>
        <v>423716.55492732592</v>
      </c>
      <c r="BM53" s="1105">
        <f>BL53/$BL$21</f>
        <v>0.04</v>
      </c>
      <c r="BN53" s="1106">
        <f>BL53/$BL$9</f>
        <v>10.21594548479424</v>
      </c>
      <c r="BO53" s="1183">
        <f>BL53/$B$2</f>
        <v>2983.9194008966615</v>
      </c>
      <c r="BP53" s="1109">
        <f>BM53*BP21</f>
        <v>428459.57583997631</v>
      </c>
      <c r="BQ53" s="1105">
        <f>BP53/$BP$21</f>
        <v>0.04</v>
      </c>
      <c r="BR53" s="1106">
        <f>BP53/$BL$9</f>
        <v>10.330301278811271</v>
      </c>
      <c r="BS53" s="1183">
        <f>BP53/$B$2</f>
        <v>3017.3209566195515</v>
      </c>
      <c r="BT53" s="1109">
        <f>BQ53*BT21</f>
        <v>434204.21600704099</v>
      </c>
      <c r="BU53" s="1105">
        <f>BT53/$BP$21</f>
        <v>4.0536306386039112E-2</v>
      </c>
      <c r="BV53" s="1106">
        <f>BT53/$BL$9</f>
        <v>10.468806442449633</v>
      </c>
      <c r="BW53" s="1183">
        <f>BT53/$B$2</f>
        <v>3057.7761690636689</v>
      </c>
      <c r="BX53" s="805"/>
      <c r="CI53" s="211"/>
    </row>
    <row r="54" spans="1:87" ht="17" thickBot="1" x14ac:dyDescent="0.25">
      <c r="A54" s="1116" t="s">
        <v>253</v>
      </c>
      <c r="B54" s="1138">
        <f>B52-B53</f>
        <v>2426492.5112199993</v>
      </c>
      <c r="C54" s="1152">
        <f>B54/$B$21</f>
        <v>0.42635553210002303</v>
      </c>
      <c r="D54" s="1138">
        <f t="shared" ref="D54" si="245">D52-D53</f>
        <v>1929358.7569648961</v>
      </c>
      <c r="E54" s="1152">
        <f>D54/$D$21</f>
        <v>0.38996978790616998</v>
      </c>
      <c r="F54" s="1138">
        <f>F52-F53</f>
        <v>2626160.5750000002</v>
      </c>
      <c r="G54" s="1152">
        <f>F54/$F$21</f>
        <v>0.41569617332805703</v>
      </c>
      <c r="H54" s="1138">
        <f>H52-H53</f>
        <v>2899976.1565999999</v>
      </c>
      <c r="I54" s="1152">
        <f>H54/$H$21</f>
        <v>0.4362926489500305</v>
      </c>
      <c r="J54" s="1138">
        <f>J52-J53</f>
        <v>2971309.0684000002</v>
      </c>
      <c r="K54" s="1152">
        <f>J54/$J$21</f>
        <v>0.45347988907610226</v>
      </c>
      <c r="L54" s="1138">
        <f>L52-L53</f>
        <v>3137642.9999999995</v>
      </c>
      <c r="M54" s="1139">
        <f>L54/$L$21</f>
        <v>0.46727552436721487</v>
      </c>
      <c r="N54" s="1095">
        <f>N52-N53</f>
        <v>3576980</v>
      </c>
      <c r="O54" s="1096">
        <f>N54/$N$21</f>
        <v>0.52828722917189741</v>
      </c>
      <c r="P54" s="1097">
        <f>P52-P53</f>
        <v>596621.94023999991</v>
      </c>
      <c r="Q54" s="1096">
        <f>P54/$P$21</f>
        <v>0.37232152316103734</v>
      </c>
      <c r="R54" s="1097">
        <f>R52-R53</f>
        <v>771679.05352000007</v>
      </c>
      <c r="S54" s="1096">
        <f>R54/$R$21</f>
        <v>0.40108510990212753</v>
      </c>
      <c r="T54" s="1097">
        <f>T52-T53</f>
        <v>1933314.3138400004</v>
      </c>
      <c r="U54" s="1096">
        <f>T54/$T$21</f>
        <v>0.45842774186508312</v>
      </c>
      <c r="V54" s="1097">
        <f>V52-V53</f>
        <v>662722.6</v>
      </c>
      <c r="W54" s="1096">
        <f>V54/$V$21</f>
        <v>0.12009248999036864</v>
      </c>
      <c r="X54" s="1097">
        <f>X52-X53</f>
        <v>1554326.8</v>
      </c>
      <c r="Y54" s="1098">
        <f>X54/$X$21</f>
        <v>0.24697511938990588</v>
      </c>
      <c r="Z54" s="1099">
        <f>X54/$X$9</f>
        <v>40.251687444497243</v>
      </c>
      <c r="AA54" s="1100">
        <f>X54/$B$2</f>
        <v>10945.96338028169</v>
      </c>
      <c r="AB54" s="1073">
        <f>AB52-AB53</f>
        <v>1545299.7231185688</v>
      </c>
      <c r="AC54" s="1069">
        <f>AB54/$AB$21</f>
        <v>0.24436363566825675</v>
      </c>
      <c r="AD54" s="1070">
        <f>AB54/$AB$9</f>
        <v>40.053386981119431</v>
      </c>
      <c r="AE54" s="1184">
        <f>AB54/$B$2</f>
        <v>10882.39241632795</v>
      </c>
      <c r="AF54" s="1164">
        <f>AF52-AF53</f>
        <v>1542502.8442663234</v>
      </c>
      <c r="AG54" s="1069">
        <f>AF54/$AF$21</f>
        <v>0.21081438689765356</v>
      </c>
      <c r="AH54" s="1070">
        <f>AF54/$AF$9</f>
        <v>42.660070918367261</v>
      </c>
      <c r="AI54" s="1101">
        <f>AF54/$B$2</f>
        <v>10862.696086382559</v>
      </c>
      <c r="AJ54" s="1073">
        <f>AJ52-AJ53</f>
        <v>1769029.3413795657</v>
      </c>
      <c r="AK54" s="1069">
        <f>AJ54/$AJ$21</f>
        <v>0.22868176562441933</v>
      </c>
      <c r="AL54" s="1070">
        <f>AJ54/$AJ$9</f>
        <v>47.79739378507918</v>
      </c>
      <c r="AM54" s="1184">
        <f>AJ54/$B$2</f>
        <v>12457.9531083068</v>
      </c>
      <c r="AN54" s="1073">
        <f>AN52-AN53</f>
        <v>1955239.9266707106</v>
      </c>
      <c r="AO54" s="1069">
        <f>AN54/$AN$21</f>
        <v>0.2332910011200108</v>
      </c>
      <c r="AP54" s="1070">
        <f>AN54/$AN$9</f>
        <v>54.472611764381526</v>
      </c>
      <c r="AQ54" s="1184">
        <f>AN54/$B$2</f>
        <v>13769.295258244441</v>
      </c>
      <c r="AR54" s="1073">
        <f>AR52-AR53</f>
        <v>2544860.9900529478</v>
      </c>
      <c r="AS54" s="1069">
        <f>AR54/$AR$21</f>
        <v>0.26261093294399446</v>
      </c>
      <c r="AT54" s="1070">
        <f>AR54/$AR$9</f>
        <v>64.045828364236769</v>
      </c>
      <c r="AU54" s="1184">
        <f>AR54/$B$2</f>
        <v>17921.556267978507</v>
      </c>
      <c r="AV54" s="1073">
        <f>AV52-AV53</f>
        <v>2704275.0396769834</v>
      </c>
      <c r="AW54" s="1069">
        <f>AV54/$AV$21</f>
        <v>0.26719907767481771</v>
      </c>
      <c r="AX54" s="1070">
        <f>AV54/$AV$9</f>
        <v>65.322230963960081</v>
      </c>
      <c r="AY54" s="1184">
        <f>AV54/$B$2</f>
        <v>19044.190420260446</v>
      </c>
      <c r="AZ54" s="1073">
        <f>AZ52-AZ53</f>
        <v>2719927.1294932407</v>
      </c>
      <c r="BA54" s="1069">
        <f>AZ54/$AZ$21</f>
        <v>0.26542246463846059</v>
      </c>
      <c r="BB54" s="1070">
        <f>AZ54/$AZ$9</f>
        <v>65.578337580606629</v>
      </c>
      <c r="BC54" s="1184">
        <f>AZ54/$B$2</f>
        <v>19154.416404881977</v>
      </c>
      <c r="BD54" s="1073">
        <f>BD52-BD53</f>
        <v>2738948.7621632242</v>
      </c>
      <c r="BE54" s="1069">
        <f>BD54/$BD$21</f>
        <v>0.26377991829513259</v>
      </c>
      <c r="BF54" s="1070">
        <f>BD54/$BD$9</f>
        <v>65.855945231142684</v>
      </c>
      <c r="BG54" s="1184">
        <f>BD54/$B$2</f>
        <v>19288.371564529749</v>
      </c>
      <c r="BH54" s="1073">
        <f>BH52-BH53</f>
        <v>2736641.5695932172</v>
      </c>
      <c r="BI54" s="1069">
        <f>BH54/$BH$21</f>
        <v>0.26122753383412878</v>
      </c>
      <c r="BJ54" s="1070">
        <f>BH54/$BH$9</f>
        <v>65.981328228209506</v>
      </c>
      <c r="BK54" s="1184">
        <f>BH54/$B$2</f>
        <v>19272.1237295297</v>
      </c>
      <c r="BL54" s="1073">
        <f>BL52-BL53</f>
        <v>2744718.895658927</v>
      </c>
      <c r="BM54" s="1069">
        <f>BL54/$BL$21</f>
        <v>0.25910895986867349</v>
      </c>
      <c r="BN54" s="1070">
        <f>BL54/$BL$9</f>
        <v>66.176075216002673</v>
      </c>
      <c r="BO54" s="1184">
        <f>BL54/$B$2</f>
        <v>19329.006307457232</v>
      </c>
      <c r="BP54" s="1073">
        <f>BP52-BP53</f>
        <v>2752600.4558117194</v>
      </c>
      <c r="BQ54" s="1069">
        <f>BP54/$BP$21</f>
        <v>0.25697644408253606</v>
      </c>
      <c r="BR54" s="1070">
        <f>BP54/$BL$9</f>
        <v>66.366102223254885</v>
      </c>
      <c r="BS54" s="1184">
        <f>BP54/$B$2</f>
        <v>19384.510252195207</v>
      </c>
      <c r="BT54" s="1073">
        <f>BT52-BT53</f>
        <v>2771197.7215719773</v>
      </c>
      <c r="BU54" s="1069">
        <f>BT54/$BP$21</f>
        <v>0.25871264201661637</v>
      </c>
      <c r="BV54" s="1070">
        <f>BT54/$BL$9</f>
        <v>66.814488416722369</v>
      </c>
      <c r="BW54" s="1184">
        <f>BT54/$B$2</f>
        <v>19515.476912478713</v>
      </c>
      <c r="BX54" s="805"/>
      <c r="CI54" s="211"/>
    </row>
    <row r="55" spans="1:87" x14ac:dyDescent="0.2">
      <c r="B55" s="851"/>
      <c r="C55" s="851"/>
      <c r="D55" s="851"/>
      <c r="E55" s="851"/>
      <c r="F55" s="851"/>
      <c r="G55" s="851"/>
      <c r="H55" s="851"/>
      <c r="I55" s="851"/>
      <c r="J55" s="851"/>
      <c r="K55" s="851"/>
      <c r="L55" s="851"/>
      <c r="M55" s="851"/>
      <c r="BP55" s="829"/>
      <c r="BQ55" s="829"/>
      <c r="BR55" s="829"/>
      <c r="BS55" s="851"/>
      <c r="BT55" s="851"/>
      <c r="BU55" s="851"/>
      <c r="BV55" s="851"/>
      <c r="BW55" s="851"/>
    </row>
    <row r="56" spans="1:87" ht="17" thickBot="1" x14ac:dyDescent="0.25">
      <c r="A56" s="851"/>
      <c r="B56" s="851"/>
      <c r="C56" s="851"/>
      <c r="D56" s="851"/>
      <c r="E56" s="851"/>
      <c r="F56" s="851"/>
      <c r="G56" s="851"/>
      <c r="H56" s="851"/>
      <c r="I56" s="851"/>
      <c r="J56" s="851"/>
      <c r="K56" s="851"/>
      <c r="L56" s="851"/>
      <c r="M56" s="851"/>
      <c r="N56" s="851"/>
      <c r="O56" s="851"/>
      <c r="P56" s="851"/>
      <c r="Q56" s="851"/>
      <c r="R56" s="851"/>
      <c r="S56" s="851"/>
      <c r="T56" s="851"/>
      <c r="U56" s="851"/>
      <c r="V56" s="851"/>
      <c r="W56" s="851"/>
      <c r="X56" s="851"/>
      <c r="Y56" s="851"/>
      <c r="Z56" s="851"/>
      <c r="AA56" s="851"/>
      <c r="AB56" s="851"/>
      <c r="AC56" s="851"/>
      <c r="AD56" s="825"/>
      <c r="AE56" s="829"/>
      <c r="AF56" s="829"/>
      <c r="AG56" s="851"/>
      <c r="AH56" s="825"/>
      <c r="AI56" s="829"/>
      <c r="AJ56" s="829"/>
      <c r="AK56" s="851"/>
      <c r="AL56" s="825"/>
      <c r="AM56" s="829"/>
      <c r="AN56" s="829"/>
      <c r="AO56" s="851"/>
      <c r="AP56" s="825"/>
      <c r="AQ56" s="829"/>
      <c r="AR56" s="829"/>
      <c r="AS56" s="851"/>
      <c r="AT56" s="825"/>
      <c r="AU56" s="829"/>
      <c r="AV56" s="829"/>
      <c r="AW56" s="851"/>
      <c r="AX56" s="825"/>
      <c r="AY56" s="829"/>
      <c r="AZ56" s="829"/>
      <c r="BA56" s="851"/>
      <c r="BB56" s="825"/>
      <c r="BC56" s="829"/>
      <c r="BD56" s="829"/>
      <c r="BE56" s="851"/>
      <c r="BF56" s="825"/>
      <c r="BG56" s="829"/>
      <c r="BH56" s="829"/>
      <c r="BI56" s="851"/>
      <c r="BJ56" s="825"/>
      <c r="BK56" s="829"/>
      <c r="BL56" s="829"/>
      <c r="BM56" s="851"/>
      <c r="BN56" s="825"/>
      <c r="BO56" s="829"/>
      <c r="BP56" s="829"/>
      <c r="BQ56" s="829"/>
      <c r="BR56" s="829"/>
      <c r="BS56" s="851"/>
      <c r="CI56" s="211"/>
    </row>
    <row r="57" spans="1:87" ht="35" thickBot="1" x14ac:dyDescent="0.25">
      <c r="A57" s="1890" t="s">
        <v>279</v>
      </c>
      <c r="B57" s="1891"/>
      <c r="AB57" s="1032"/>
      <c r="AF57" s="1032"/>
      <c r="AG57" s="1032"/>
      <c r="AH57" s="1032"/>
      <c r="AI57" s="1032"/>
      <c r="AJ57" s="1032"/>
      <c r="AK57" s="1032"/>
      <c r="AL57" s="1032"/>
      <c r="AM57" s="1032"/>
      <c r="AN57" s="1032"/>
      <c r="AO57" s="1032"/>
      <c r="AP57" s="1032"/>
      <c r="AQ57" s="1032"/>
      <c r="AR57" s="1032"/>
      <c r="AS57" s="1032"/>
      <c r="AT57" s="1032"/>
      <c r="AU57" s="1032"/>
      <c r="AV57" s="1032"/>
      <c r="AW57" s="1032"/>
      <c r="AX57" s="1032"/>
      <c r="AY57" s="1032"/>
      <c r="AZ57" s="1032"/>
      <c r="BA57" s="1032"/>
      <c r="BB57" s="1032"/>
      <c r="BC57" s="1032"/>
      <c r="BD57" s="1032"/>
      <c r="BE57" s="1032"/>
      <c r="BF57" s="1032"/>
      <c r="BG57" s="1032"/>
      <c r="BH57" s="1032"/>
      <c r="BI57" s="1032"/>
      <c r="BJ57" s="1032"/>
      <c r="BK57" s="1032"/>
      <c r="BL57" s="1032"/>
      <c r="BM57" s="1032"/>
      <c r="BN57" s="1032"/>
      <c r="BO57" s="1032"/>
      <c r="BP57" s="1032"/>
      <c r="BQ57" s="1032"/>
      <c r="BR57" s="1032"/>
      <c r="BS57" s="1032"/>
      <c r="BT57" s="1032"/>
      <c r="CI57" s="211"/>
    </row>
    <row r="58" spans="1:87" ht="17" thickBot="1" x14ac:dyDescent="0.25">
      <c r="A58" s="1395" t="s">
        <v>255</v>
      </c>
      <c r="B58" s="1396"/>
      <c r="C58" s="805"/>
      <c r="CI58" s="211"/>
    </row>
    <row r="59" spans="1:87" x14ac:dyDescent="0.2">
      <c r="A59" s="1039" t="s">
        <v>256</v>
      </c>
      <c r="B59" s="1040">
        <f>'PRELIMINARY ANALYSIS'!$F$42</f>
        <v>6.9499999999999992E-2</v>
      </c>
      <c r="C59" s="805"/>
      <c r="BA59" s="747"/>
      <c r="BB59" s="747"/>
      <c r="BE59" s="747"/>
      <c r="BF59" s="747"/>
      <c r="BI59" s="747"/>
      <c r="BJ59" s="747"/>
      <c r="BM59" s="747"/>
      <c r="BN59" s="747"/>
      <c r="BS59" s="747"/>
      <c r="BT59" s="1033"/>
      <c r="BU59" s="747"/>
      <c r="CI59" s="211"/>
    </row>
    <row r="60" spans="1:87" x14ac:dyDescent="0.2">
      <c r="A60" s="1041" t="s">
        <v>257</v>
      </c>
      <c r="B60" s="1042">
        <f>'PRELIMINARY ANALYSIS'!$F$50</f>
        <v>6.147974727831939E-2</v>
      </c>
      <c r="C60" s="805"/>
      <c r="D60" s="1043"/>
      <c r="BT60" s="1034"/>
      <c r="BU60" s="1035"/>
      <c r="BV60" s="851"/>
      <c r="BW60" s="851"/>
      <c r="BX60" s="851"/>
      <c r="BY60" s="206"/>
      <c r="BZ60" s="206"/>
      <c r="CA60" s="206"/>
      <c r="CB60" s="206"/>
      <c r="CC60" s="206"/>
      <c r="CD60" s="206"/>
      <c r="CE60" s="206"/>
      <c r="CF60" s="206"/>
      <c r="CG60" s="206"/>
      <c r="CH60" s="206"/>
    </row>
    <row r="61" spans="1:87" x14ac:dyDescent="0.2">
      <c r="A61" s="1041" t="s">
        <v>258</v>
      </c>
      <c r="B61" s="1042">
        <f>B60+0.5%</f>
        <v>6.6479747278319387E-2</v>
      </c>
      <c r="C61" s="805"/>
      <c r="AF61" s="1036"/>
      <c r="AG61" s="1037"/>
    </row>
    <row r="62" spans="1:87" x14ac:dyDescent="0.2">
      <c r="A62" s="745" t="s">
        <v>259</v>
      </c>
      <c r="B62" s="1042">
        <f>B61+B4</f>
        <v>7.4499999999999997E-2</v>
      </c>
      <c r="C62" s="805"/>
    </row>
    <row r="63" spans="1:87" ht="17" thickBot="1" x14ac:dyDescent="0.25">
      <c r="A63" s="1044" t="s">
        <v>260</v>
      </c>
      <c r="B63" s="1045">
        <v>0.06</v>
      </c>
      <c r="C63" s="805"/>
      <c r="N63" s="805"/>
    </row>
    <row r="64" spans="1:87" ht="17" thickBot="1" x14ac:dyDescent="0.25">
      <c r="A64" s="1038"/>
      <c r="B64" s="1038">
        <v>-1</v>
      </c>
      <c r="C64" s="1038">
        <v>0</v>
      </c>
      <c r="D64" s="1038">
        <v>1</v>
      </c>
      <c r="E64" s="1038">
        <v>2</v>
      </c>
      <c r="F64" s="1038">
        <v>3</v>
      </c>
      <c r="G64" s="1038">
        <v>4</v>
      </c>
      <c r="H64" s="1038">
        <v>5</v>
      </c>
      <c r="I64" s="1038">
        <v>6</v>
      </c>
      <c r="J64" s="1038">
        <v>7</v>
      </c>
      <c r="K64" s="1038">
        <v>8</v>
      </c>
      <c r="L64" s="1038">
        <v>9</v>
      </c>
      <c r="M64" s="1038">
        <v>10</v>
      </c>
      <c r="N64" s="805"/>
    </row>
    <row r="65" spans="1:30" x14ac:dyDescent="0.2">
      <c r="A65" s="1522" t="s">
        <v>96</v>
      </c>
      <c r="B65" s="1523">
        <v>2024</v>
      </c>
      <c r="C65" s="1523">
        <v>2025</v>
      </c>
      <c r="D65" s="1523">
        <v>2026</v>
      </c>
      <c r="E65" s="1523">
        <v>2027</v>
      </c>
      <c r="F65" s="1523">
        <v>2028</v>
      </c>
      <c r="G65" s="1523">
        <v>2029</v>
      </c>
      <c r="H65" s="1523">
        <v>2030</v>
      </c>
      <c r="I65" s="1523">
        <v>2031</v>
      </c>
      <c r="J65" s="1523">
        <v>2032</v>
      </c>
      <c r="K65" s="1523">
        <v>2033</v>
      </c>
      <c r="L65" s="1523">
        <v>2034</v>
      </c>
      <c r="M65" s="1524">
        <v>2035</v>
      </c>
      <c r="N65" s="805"/>
    </row>
    <row r="66" spans="1:30" x14ac:dyDescent="0.2">
      <c r="A66" s="884" t="s">
        <v>261</v>
      </c>
      <c r="B66" s="1485"/>
      <c r="C66" s="1485">
        <f>AB54</f>
        <v>1545299.7231185688</v>
      </c>
      <c r="D66" s="1485">
        <f>AF54</f>
        <v>1542502.8442663234</v>
      </c>
      <c r="E66" s="1485">
        <f>AJ54</f>
        <v>1769029.3413795657</v>
      </c>
      <c r="F66" s="1485">
        <f>AN54</f>
        <v>1955239.9266707106</v>
      </c>
      <c r="G66" s="1485">
        <f>AR54</f>
        <v>2544860.9900529478</v>
      </c>
      <c r="H66" s="1485">
        <f>AV54</f>
        <v>2704275.0396769834</v>
      </c>
      <c r="I66" s="1485">
        <f>AZ54</f>
        <v>2719927.1294932407</v>
      </c>
      <c r="J66" s="1485">
        <f>BD54</f>
        <v>2738948.7621632242</v>
      </c>
      <c r="K66" s="1485">
        <f>BH54</f>
        <v>2736641.5695932172</v>
      </c>
      <c r="L66" s="1485">
        <f>BL54</f>
        <v>2744718.895658927</v>
      </c>
      <c r="M66" s="1525">
        <f>BP54</f>
        <v>2752600.4558117194</v>
      </c>
      <c r="N66" s="805"/>
    </row>
    <row r="67" spans="1:30" x14ac:dyDescent="0.2">
      <c r="A67" s="745" t="s">
        <v>262</v>
      </c>
      <c r="B67" s="1486"/>
      <c r="C67" s="1486"/>
      <c r="D67" s="1486"/>
      <c r="E67" s="1486"/>
      <c r="F67" s="1486"/>
      <c r="G67" s="1486"/>
      <c r="H67" s="1486"/>
      <c r="I67" s="1486"/>
      <c r="J67" s="1486"/>
      <c r="K67" s="1486"/>
      <c r="L67" s="1486"/>
      <c r="M67" s="1526">
        <f>M66/B61</f>
        <v>41405098.071264893</v>
      </c>
      <c r="N67" s="805"/>
    </row>
    <row r="68" spans="1:30" x14ac:dyDescent="0.2">
      <c r="A68" s="745" t="s">
        <v>263</v>
      </c>
      <c r="B68" s="1486"/>
      <c r="C68" s="1486"/>
      <c r="D68" s="1486"/>
      <c r="E68" s="1486"/>
      <c r="F68" s="1486"/>
      <c r="G68" s="1486"/>
      <c r="H68" s="1486"/>
      <c r="I68" s="1486"/>
      <c r="J68" s="1486"/>
      <c r="K68" s="1486"/>
      <c r="L68" s="1486"/>
      <c r="M68" s="1526">
        <f>-M67*B63</f>
        <v>-2484305.8842758937</v>
      </c>
      <c r="N68" s="805"/>
    </row>
    <row r="69" spans="1:30" ht="17" thickBot="1" x14ac:dyDescent="0.25">
      <c r="A69" s="1527" t="s">
        <v>264</v>
      </c>
      <c r="B69" s="1487">
        <f>-21000000</f>
        <v>-21000000</v>
      </c>
      <c r="C69" s="1487"/>
      <c r="D69" s="1487"/>
      <c r="E69" s="1487"/>
      <c r="F69" s="1487"/>
      <c r="G69" s="1487"/>
      <c r="H69" s="1487"/>
      <c r="I69" s="1487"/>
      <c r="J69" s="1487"/>
      <c r="K69" s="1487"/>
      <c r="L69" s="1487"/>
      <c r="M69" s="1528"/>
      <c r="N69" s="805"/>
    </row>
    <row r="70" spans="1:30" ht="18" thickTop="1" thickBot="1" x14ac:dyDescent="0.25">
      <c r="A70" s="1116" t="s">
        <v>265</v>
      </c>
      <c r="B70" s="1529">
        <f t="shared" ref="B70:L70" si="246">SUM(B66:B69)</f>
        <v>-21000000</v>
      </c>
      <c r="C70" s="1529">
        <f>SUM(C66:C69)</f>
        <v>1545299.7231185688</v>
      </c>
      <c r="D70" s="1529">
        <f t="shared" si="246"/>
        <v>1542502.8442663234</v>
      </c>
      <c r="E70" s="1529">
        <f t="shared" si="246"/>
        <v>1769029.3413795657</v>
      </c>
      <c r="F70" s="1529">
        <f t="shared" si="246"/>
        <v>1955239.9266707106</v>
      </c>
      <c r="G70" s="1529">
        <f t="shared" si="246"/>
        <v>2544860.9900529478</v>
      </c>
      <c r="H70" s="1529">
        <f t="shared" si="246"/>
        <v>2704275.0396769834</v>
      </c>
      <c r="I70" s="1529">
        <f t="shared" si="246"/>
        <v>2719927.1294932407</v>
      </c>
      <c r="J70" s="1529">
        <f t="shared" si="246"/>
        <v>2738948.7621632242</v>
      </c>
      <c r="K70" s="1529">
        <f t="shared" si="246"/>
        <v>2736641.5695932172</v>
      </c>
      <c r="L70" s="1529">
        <f t="shared" si="246"/>
        <v>2744718.895658927</v>
      </c>
      <c r="M70" s="1530">
        <f>SUM(M66:M69)</f>
        <v>41673392.642800719</v>
      </c>
      <c r="N70" s="805"/>
    </row>
    <row r="71" spans="1:30" ht="17" thickBot="1" x14ac:dyDescent="0.25">
      <c r="A71" s="944"/>
      <c r="B71" s="944"/>
      <c r="C71" s="851"/>
      <c r="D71" s="851"/>
      <c r="E71" s="851"/>
      <c r="F71" s="851"/>
      <c r="G71" s="851"/>
      <c r="H71" s="851"/>
      <c r="I71" s="851"/>
      <c r="J71" s="851"/>
      <c r="K71" s="851"/>
      <c r="L71" s="851"/>
      <c r="M71" s="851"/>
      <c r="N71" s="805"/>
      <c r="AC71" s="1046"/>
      <c r="AD71" s="756"/>
    </row>
    <row r="72" spans="1:30" x14ac:dyDescent="0.2">
      <c r="A72" s="1366" t="s">
        <v>266</v>
      </c>
      <c r="B72" s="1513">
        <f>NPV(B59,C70:M70)</f>
        <v>35456539.976591147</v>
      </c>
      <c r="C72" s="805"/>
      <c r="N72" s="805"/>
      <c r="AC72" s="1046"/>
      <c r="AD72" s="756"/>
    </row>
    <row r="73" spans="1:30" x14ac:dyDescent="0.2">
      <c r="A73" s="745" t="s">
        <v>267</v>
      </c>
      <c r="B73" s="1521">
        <f>NPV(B62,C70:M70)</f>
        <v>34063982.419512294</v>
      </c>
      <c r="C73" s="805"/>
      <c r="N73" s="805"/>
      <c r="AC73" s="1047"/>
    </row>
    <row r="74" spans="1:30" x14ac:dyDescent="0.2">
      <c r="A74" s="745" t="s">
        <v>268</v>
      </c>
      <c r="B74" s="1488">
        <f>NPV(B59,C70:M70)+B70</f>
        <v>14456539.976591147</v>
      </c>
      <c r="C74" s="805"/>
      <c r="N74" s="805"/>
      <c r="AC74" s="1047"/>
    </row>
    <row r="75" spans="1:30" x14ac:dyDescent="0.2">
      <c r="A75" s="745" t="s">
        <v>269</v>
      </c>
      <c r="B75" s="874">
        <f>IRR(B70:M70)</f>
        <v>0.13956884567515537</v>
      </c>
      <c r="C75" s="805"/>
      <c r="N75" s="1048"/>
      <c r="AC75" s="1046"/>
    </row>
    <row r="76" spans="1:30" ht="17" thickBot="1" x14ac:dyDescent="0.25">
      <c r="A76" s="1367" t="s">
        <v>270</v>
      </c>
      <c r="B76" s="1511">
        <f>MIRR(B70:M70,B59,B59)</f>
        <v>0.121658163343773</v>
      </c>
      <c r="C76" s="805"/>
      <c r="N76" s="805"/>
    </row>
    <row r="77" spans="1:30" x14ac:dyDescent="0.2">
      <c r="D77" s="1512"/>
      <c r="N77" s="805"/>
    </row>
    <row r="78" spans="1:30" x14ac:dyDescent="0.2">
      <c r="A78" s="1049"/>
      <c r="B78" s="1365"/>
      <c r="C78" s="1364"/>
      <c r="D78" s="1364"/>
      <c r="E78" s="1364"/>
      <c r="F78" s="1364"/>
      <c r="G78" s="1364"/>
      <c r="H78" s="1364"/>
      <c r="I78" s="1364"/>
      <c r="J78" s="1364"/>
      <c r="K78" s="1364"/>
      <c r="L78" s="1364"/>
      <c r="M78" s="1364"/>
      <c r="N78" s="805"/>
    </row>
    <row r="79" spans="1:30" x14ac:dyDescent="0.2">
      <c r="A79" s="222"/>
      <c r="B79" s="222"/>
      <c r="C79" s="222"/>
      <c r="D79" s="222"/>
      <c r="E79" s="222"/>
      <c r="F79" s="222"/>
      <c r="G79" s="222"/>
      <c r="H79" s="222"/>
      <c r="I79" s="222"/>
      <c r="J79" s="222"/>
      <c r="K79" s="222"/>
      <c r="L79" s="222"/>
      <c r="M79" s="222"/>
      <c r="N79" s="805"/>
    </row>
    <row r="80" spans="1:30" x14ac:dyDescent="0.2">
      <c r="A80" s="851"/>
      <c r="B80" s="851"/>
      <c r="C80" s="851"/>
      <c r="D80" s="851"/>
      <c r="E80" s="851"/>
      <c r="F80" s="851"/>
      <c r="G80" s="851"/>
      <c r="H80" s="851"/>
      <c r="I80" s="851"/>
      <c r="J80" s="851"/>
      <c r="K80" s="851"/>
      <c r="L80" s="851"/>
      <c r="M80" s="851"/>
      <c r="N80" s="805"/>
    </row>
    <row r="82" spans="14:16" x14ac:dyDescent="0.2">
      <c r="N82" s="1050"/>
    </row>
    <row r="83" spans="14:16" x14ac:dyDescent="0.2">
      <c r="N83" s="805"/>
      <c r="P83" s="1051"/>
    </row>
    <row r="84" spans="14:16" x14ac:dyDescent="0.2">
      <c r="N84" s="805"/>
    </row>
    <row r="85" spans="14:16" x14ac:dyDescent="0.2">
      <c r="N85" s="805"/>
    </row>
    <row r="86" spans="14:16" x14ac:dyDescent="0.2">
      <c r="N86" s="805"/>
    </row>
    <row r="87" spans="14:16" x14ac:dyDescent="0.2">
      <c r="N87" s="805"/>
    </row>
    <row r="88" spans="14:16" x14ac:dyDescent="0.2">
      <c r="N88" s="805"/>
    </row>
    <row r="89" spans="14:16" x14ac:dyDescent="0.2">
      <c r="N89" s="805"/>
    </row>
    <row r="90" spans="14:16" x14ac:dyDescent="0.2">
      <c r="N90" s="805"/>
    </row>
    <row r="92" spans="14:16" x14ac:dyDescent="0.2">
      <c r="N92" s="805"/>
    </row>
    <row r="108" spans="2:2" x14ac:dyDescent="0.2">
      <c r="B108" s="1052"/>
    </row>
  </sheetData>
  <mergeCells count="28">
    <mergeCell ref="A1:B1"/>
    <mergeCell ref="P2:U2"/>
    <mergeCell ref="P5:U5"/>
    <mergeCell ref="R6:S6"/>
    <mergeCell ref="P6:Q6"/>
    <mergeCell ref="N6:O6"/>
    <mergeCell ref="L6:M6"/>
    <mergeCell ref="J6:K6"/>
    <mergeCell ref="H6:I6"/>
    <mergeCell ref="F6:G6"/>
    <mergeCell ref="D6:E6"/>
    <mergeCell ref="B6:C6"/>
    <mergeCell ref="BT6:BW6"/>
    <mergeCell ref="BP6:BS6"/>
    <mergeCell ref="BL6:BO6"/>
    <mergeCell ref="BH6:BK6"/>
    <mergeCell ref="BD6:BG6"/>
    <mergeCell ref="AV6:AY6"/>
    <mergeCell ref="AR6:AU6"/>
    <mergeCell ref="AN6:AQ6"/>
    <mergeCell ref="AJ6:AM6"/>
    <mergeCell ref="AZ6:BC6"/>
    <mergeCell ref="A57:B57"/>
    <mergeCell ref="AF6:AI6"/>
    <mergeCell ref="AB6:AE6"/>
    <mergeCell ref="X6:AA6"/>
    <mergeCell ref="V6:W6"/>
    <mergeCell ref="T6:U6"/>
  </mergeCells>
  <conditionalFormatting sqref="B23:BW28">
    <cfRule type="containsBlanks" dxfId="47" priority="12" stopIfTrue="1">
      <formula>LEN(TRIM(B23))=0</formula>
    </cfRule>
  </conditionalFormatting>
  <conditionalFormatting sqref="B35:BW41">
    <cfRule type="containsBlanks" dxfId="46" priority="9" stopIfTrue="1">
      <formula>LEN(TRIM(B35))=0</formula>
    </cfRule>
  </conditionalFormatting>
  <conditionalFormatting sqref="AA51:AM52 AO51:AU52 AY51:AY52 BC51:BC52 BG51:BG52 BK51:BK52 BO51:BO52">
    <cfRule type="containsBlanks" dxfId="45" priority="75" stopIfTrue="1">
      <formula>LEN(TRIM(AA51))=0</formula>
    </cfRule>
  </conditionalFormatting>
  <conditionalFormatting sqref="AD30:AF30 AH30:AI31 AL30:AN31 AP30:AR31 AT30:AV31 AX30:AZ31 BB30:BD31 BF30:BH31 BJ30:BL31 BN30:BP31 BR30:BT31 BV30:BW31 B30:AC34 AJ30:AJ34 AF31 AD31:AE34 AF32:AI32 AK32:BW32 AF33:AF34 AH33:AI34 AL33:AN34 AP33:AR34 AT33:AV34 AX33:AZ34 BB33:BD34 BF33:BH34 BJ33:BL34 BN33:BP34 BR33:BT34 BV33:BW34 B45:AF46">
    <cfRule type="containsBlanks" dxfId="44" priority="35" stopIfTrue="1">
      <formula>LEN(TRIM(B30))=0</formula>
    </cfRule>
  </conditionalFormatting>
  <conditionalFormatting sqref="AE27">
    <cfRule type="containsBlanks" dxfId="43" priority="72" stopIfTrue="1">
      <formula>LEN(TRIM(AE27))=0</formula>
    </cfRule>
  </conditionalFormatting>
  <conditionalFormatting sqref="AG17:AI17 AG17:AG20 AK17:AK20 BU19:BU20 AT45:AU46">
    <cfRule type="containsBlanks" dxfId="42" priority="90" stopIfTrue="1">
      <formula>LEN(TRIM(AG17))=0</formula>
    </cfRule>
  </conditionalFormatting>
  <conditionalFormatting sqref="AH18:AI20 AL18:AM20 BM19:BO20 BR19:BS20">
    <cfRule type="containsBlanks" dxfId="41" priority="68" stopIfTrue="1">
      <formula>LEN(TRIM(AH18))=0</formula>
    </cfRule>
  </conditionalFormatting>
  <conditionalFormatting sqref="AH45:AJ46 AL45:AN46">
    <cfRule type="containsBlanks" dxfId="40" priority="34" stopIfTrue="1">
      <formula>LEN(TRIM(AH45))=0</formula>
    </cfRule>
  </conditionalFormatting>
  <conditionalFormatting sqref="AJ48:AJ49">
    <cfRule type="containsBlanks" dxfId="39" priority="11" stopIfTrue="1">
      <formula>LEN(TRIM(AJ48))=0</formula>
    </cfRule>
  </conditionalFormatting>
  <conditionalFormatting sqref="AK17:BP17 BR17:BU18 B17:AE21 BM18:BP18 AB21:BW21 B47:BU47 B48:AI48 AK48:BU48 B49:BU54">
    <cfRule type="containsBlanks" dxfId="38" priority="73" stopIfTrue="1">
      <formula>LEN(TRIM(B17))=0</formula>
    </cfRule>
  </conditionalFormatting>
  <conditionalFormatting sqref="AN50:AN52">
    <cfRule type="containsBlanks" dxfId="37" priority="80" stopIfTrue="1">
      <formula>LEN(TRIM(AN50))=0</formula>
    </cfRule>
  </conditionalFormatting>
  <conditionalFormatting sqref="AO18:AQ20">
    <cfRule type="containsBlanks" dxfId="36" priority="67" stopIfTrue="1">
      <formula>LEN(TRIM(AO18))=0</formula>
    </cfRule>
  </conditionalFormatting>
  <conditionalFormatting sqref="AP45:AR46">
    <cfRule type="containsBlanks" dxfId="35" priority="8" stopIfTrue="1">
      <formula>LEN(TRIM(AP45))=0</formula>
    </cfRule>
  </conditionalFormatting>
  <conditionalFormatting sqref="AS18:AU20">
    <cfRule type="containsBlanks" dxfId="34" priority="66" stopIfTrue="1">
      <formula>LEN(TRIM(AS18))=0</formula>
    </cfRule>
  </conditionalFormatting>
  <conditionalFormatting sqref="AV43:AV48">
    <cfRule type="containsBlanks" dxfId="33" priority="7" stopIfTrue="1">
      <formula>LEN(TRIM(AV43))=0</formula>
    </cfRule>
  </conditionalFormatting>
  <conditionalFormatting sqref="AV51:AX54 AZ51:BB54 BD51:BF54 BH51:BJ54 BL51:BN54 AB53:AD54 AF53:AH54 AJ53:AL54 AN53:AP54 AR53:AT54">
    <cfRule type="containsBlanks" dxfId="32" priority="82" stopIfTrue="1">
      <formula>LEN(TRIM(AB51))=0</formula>
    </cfRule>
  </conditionalFormatting>
  <conditionalFormatting sqref="AW18:AY20">
    <cfRule type="containsBlanks" dxfId="31" priority="65" stopIfTrue="1">
      <formula>LEN(TRIM(AW18))=0</formula>
    </cfRule>
  </conditionalFormatting>
  <conditionalFormatting sqref="AX45:AZ46">
    <cfRule type="containsBlanks" dxfId="30" priority="6" stopIfTrue="1">
      <formula>LEN(TRIM(AX45))=0</formula>
    </cfRule>
  </conditionalFormatting>
  <conditionalFormatting sqref="BA18:BC20">
    <cfRule type="containsBlanks" dxfId="29" priority="64" stopIfTrue="1">
      <formula>LEN(TRIM(BA18))=0</formula>
    </cfRule>
  </conditionalFormatting>
  <conditionalFormatting sqref="BB45:BD46">
    <cfRule type="containsBlanks" dxfId="28" priority="5" stopIfTrue="1">
      <formula>LEN(TRIM(BB45))=0</formula>
    </cfRule>
  </conditionalFormatting>
  <conditionalFormatting sqref="BE18:BG20">
    <cfRule type="containsBlanks" dxfId="27" priority="63" stopIfTrue="1">
      <formula>LEN(TRIM(BE18))=0</formula>
    </cfRule>
  </conditionalFormatting>
  <conditionalFormatting sqref="BF45:BH46">
    <cfRule type="containsBlanks" dxfId="26" priority="4" stopIfTrue="1">
      <formula>LEN(TRIM(BF45))=0</formula>
    </cfRule>
  </conditionalFormatting>
  <conditionalFormatting sqref="BI18:BK20">
    <cfRule type="containsBlanks" dxfId="25" priority="62" stopIfTrue="1">
      <formula>LEN(TRIM(BI18))=0</formula>
    </cfRule>
  </conditionalFormatting>
  <conditionalFormatting sqref="BJ45:BL46">
    <cfRule type="containsBlanks" dxfId="24" priority="3" stopIfTrue="1">
      <formula>LEN(TRIM(BJ45))=0</formula>
    </cfRule>
  </conditionalFormatting>
  <conditionalFormatting sqref="BN45:BP46">
    <cfRule type="containsBlanks" dxfId="23" priority="2" stopIfTrue="1">
      <formula>LEN(TRIM(BN45))=0</formula>
    </cfRule>
  </conditionalFormatting>
  <conditionalFormatting sqref="BQ17:BQ20">
    <cfRule type="containsBlanks" dxfId="22" priority="54" stopIfTrue="1">
      <formula>LEN(TRIM(BQ17))=0</formula>
    </cfRule>
  </conditionalFormatting>
  <conditionalFormatting sqref="BQ51:BR54">
    <cfRule type="containsBlanks" dxfId="21" priority="55" stopIfTrue="1">
      <formula>LEN(TRIM(BQ51))=0</formula>
    </cfRule>
  </conditionalFormatting>
  <conditionalFormatting sqref="BS51:BS52">
    <cfRule type="containsBlanks" dxfId="20" priority="56" stopIfTrue="1">
      <formula>LEN(TRIM(BS51))=0</formula>
    </cfRule>
  </conditionalFormatting>
  <conditionalFormatting sqref="BS45:BT46">
    <cfRule type="containsBlanks" dxfId="19" priority="1" stopIfTrue="1">
      <formula>LEN(TRIM(BS45))=0</formula>
    </cfRule>
  </conditionalFormatting>
  <conditionalFormatting sqref="BU51:BV54">
    <cfRule type="containsBlanks" dxfId="18" priority="15" stopIfTrue="1">
      <formula>LEN(TRIM(BU51))=0</formula>
    </cfRule>
  </conditionalFormatting>
  <conditionalFormatting sqref="BV17:BW20 B43:BW44 BV47:BW54">
    <cfRule type="containsBlanks" dxfId="17" priority="17" stopIfTrue="1">
      <formula>LEN(TRIM(B17))=0</formula>
    </cfRule>
  </conditionalFormatting>
  <conditionalFormatting sqref="BW45:BW46">
    <cfRule type="containsBlanks" dxfId="16" priority="13" stopIfTrue="1">
      <formula>LEN(TRIM(BW45))=0</formula>
    </cfRule>
  </conditionalFormatting>
  <conditionalFormatting sqref="BW51:BW52">
    <cfRule type="containsBlanks" dxfId="15" priority="16" stopIfTrue="1">
      <formula>LEN(TRIM(BW51))=0</formula>
    </cfRule>
  </conditionalFormatting>
  <hyperlinks>
    <hyperlink ref="A58" r:id="rId1" xr:uid="{97CFA146-489D-874C-8595-0134E461FCF2}"/>
  </hyperlinks>
  <pageMargins left="0.7" right="0.7" top="0.75" bottom="0.75" header="0.3" footer="0.3"/>
  <pageSetup paperSize="9" orientation="portrait" horizontalDpi="0" verticalDpi="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F3B74-FEBB-4E45-ACD6-FAD7666172D1}">
  <sheetPr>
    <tabColor theme="3" tint="0.249977111117893"/>
  </sheetPr>
  <dimension ref="A1:AL95"/>
  <sheetViews>
    <sheetView showGridLines="0" topLeftCell="W1" zoomScale="92" zoomScaleNormal="125" workbookViewId="0">
      <selection activeCell="AD3" sqref="AD3"/>
    </sheetView>
  </sheetViews>
  <sheetFormatPr baseColWidth="10" defaultColWidth="11.1640625" defaultRowHeight="16" x14ac:dyDescent="0.2"/>
  <cols>
    <col min="1" max="1" width="56.1640625" style="222" customWidth="1"/>
    <col min="2" max="2" width="25.33203125" style="222" customWidth="1"/>
    <col min="3" max="3" width="18.83203125" style="222" bestFit="1" customWidth="1"/>
    <col min="4" max="4" width="11.1640625" style="222"/>
    <col min="5" max="5" width="28.6640625" style="222" bestFit="1" customWidth="1"/>
    <col min="6" max="6" width="14" style="222" bestFit="1" customWidth="1"/>
    <col min="7" max="7" width="14.1640625" style="222" bestFit="1" customWidth="1"/>
    <col min="8" max="8" width="13" style="222" bestFit="1" customWidth="1"/>
    <col min="9" max="9" width="14.1640625" style="222" bestFit="1" customWidth="1"/>
    <col min="10" max="10" width="13" style="222" bestFit="1" customWidth="1"/>
    <col min="11" max="11" width="14.1640625" style="222" bestFit="1" customWidth="1"/>
    <col min="12" max="12" width="13" style="222" bestFit="1" customWidth="1"/>
    <col min="13" max="13" width="11.1640625" style="222" customWidth="1"/>
    <col min="14" max="14" width="13" style="222" bestFit="1" customWidth="1"/>
    <col min="15" max="15" width="14.1640625" style="222" bestFit="1" customWidth="1"/>
    <col min="16" max="16" width="13" style="222" bestFit="1" customWidth="1"/>
    <col min="17" max="17" width="12.6640625" style="222" bestFit="1" customWidth="1"/>
    <col min="18" max="18" width="13" style="222" bestFit="1" customWidth="1"/>
    <col min="19" max="19" width="12.6640625" style="222" bestFit="1" customWidth="1"/>
    <col min="20" max="20" width="13" style="222" bestFit="1" customWidth="1"/>
    <col min="21" max="21" width="12.6640625" style="222" bestFit="1" customWidth="1"/>
    <col min="22" max="22" width="13" style="222" bestFit="1" customWidth="1"/>
    <col min="23" max="23" width="12.83203125" style="222" bestFit="1" customWidth="1"/>
    <col min="24" max="24" width="13" style="222" bestFit="1" customWidth="1"/>
    <col min="25" max="25" width="12.83203125" style="222" bestFit="1" customWidth="1"/>
    <col min="26" max="26" width="13" style="222" bestFit="1" customWidth="1"/>
    <col min="27" max="27" width="12.83203125" style="222" bestFit="1" customWidth="1"/>
    <col min="28" max="28" width="25.1640625" style="222" bestFit="1" customWidth="1"/>
    <col min="29" max="29" width="24.6640625" style="222" customWidth="1"/>
    <col min="30" max="30" width="20.83203125" style="222" bestFit="1" customWidth="1"/>
    <col min="31" max="31" width="16" style="222" bestFit="1" customWidth="1"/>
    <col min="32" max="32" width="17.33203125" style="222" customWidth="1"/>
    <col min="33" max="33" width="17.1640625" style="222" customWidth="1"/>
    <col min="34" max="34" width="17.5" style="222" customWidth="1"/>
    <col min="35" max="35" width="17.1640625" style="222" customWidth="1"/>
    <col min="36" max="36" width="15.5" style="222" customWidth="1"/>
    <col min="37" max="37" width="17.1640625" style="222" customWidth="1"/>
    <col min="38" max="38" width="11.1640625" style="222"/>
  </cols>
  <sheetData>
    <row r="1" spans="1:36" ht="32" customHeight="1" thickBot="1" x14ac:dyDescent="0.25">
      <c r="A1" s="1900" t="s">
        <v>280</v>
      </c>
      <c r="B1" s="1936"/>
      <c r="C1" s="1936"/>
      <c r="D1" s="1901"/>
      <c r="E1" s="2014"/>
      <c r="F1" s="2014"/>
      <c r="G1" s="2014"/>
      <c r="H1" s="2014"/>
    </row>
    <row r="2" spans="1:36" x14ac:dyDescent="0.2">
      <c r="A2" s="1397" t="s">
        <v>281</v>
      </c>
      <c r="B2" s="1398">
        <f>'PRELIMINARY ANALYSIS'!K23</f>
        <v>2.1181818181818177E-2</v>
      </c>
      <c r="F2" s="2013">
        <v>2026</v>
      </c>
      <c r="G2" s="2013"/>
      <c r="H2" s="2013">
        <v>2027</v>
      </c>
      <c r="I2" s="2013"/>
      <c r="J2" s="2013">
        <v>2028</v>
      </c>
      <c r="K2" s="2013"/>
      <c r="L2" s="2013">
        <v>2029</v>
      </c>
      <c r="M2" s="2013"/>
      <c r="N2" s="2013">
        <v>2030</v>
      </c>
      <c r="O2" s="2013"/>
      <c r="P2" s="2013">
        <v>2031</v>
      </c>
      <c r="Q2" s="2013"/>
      <c r="R2" s="2013">
        <v>2032</v>
      </c>
      <c r="S2" s="2013"/>
      <c r="T2" s="2013">
        <v>2033</v>
      </c>
      <c r="U2" s="2013"/>
      <c r="V2" s="2013">
        <v>2034</v>
      </c>
      <c r="W2" s="2013"/>
      <c r="X2" s="2013">
        <v>2035</v>
      </c>
      <c r="Y2" s="2013"/>
      <c r="Z2" s="2013">
        <v>2036</v>
      </c>
      <c r="AA2" s="2013"/>
      <c r="AC2" s="1251" t="s">
        <v>282</v>
      </c>
      <c r="AD2" s="1252" t="s">
        <v>283</v>
      </c>
      <c r="AE2" s="1252"/>
      <c r="AF2" s="1252" t="s">
        <v>284</v>
      </c>
      <c r="AG2" s="1252" t="s">
        <v>285</v>
      </c>
      <c r="AH2" s="1253" t="s">
        <v>286</v>
      </c>
      <c r="AI2" s="1254" t="s">
        <v>287</v>
      </c>
      <c r="AJ2" s="1255"/>
    </row>
    <row r="3" spans="1:36" x14ac:dyDescent="0.2">
      <c r="A3" s="1729" t="s">
        <v>288</v>
      </c>
      <c r="B3" s="1721">
        <f>'APPENDIX 1-STR Trend '!E64/100</f>
        <v>0.81799999999999995</v>
      </c>
      <c r="C3" s="654"/>
      <c r="AA3" s="1186"/>
      <c r="AC3" s="1194" t="s">
        <v>72</v>
      </c>
      <c r="AD3" s="1240">
        <f>109-55</f>
        <v>54</v>
      </c>
      <c r="AE3" s="1243" t="s">
        <v>289</v>
      </c>
      <c r="AF3" s="1243"/>
      <c r="AG3" s="1245" t="s">
        <v>140</v>
      </c>
      <c r="AH3" s="1238">
        <f>AVERAGE(17,24,24.5,24,19,12)</f>
        <v>20.083333333333332</v>
      </c>
      <c r="AI3" s="599">
        <f>AVERAGE(4.6,4.3,4.7,4.9,5,5,5,3,6,1,7)</f>
        <v>4.5909090909090908</v>
      </c>
      <c r="AJ3" s="250" t="s">
        <v>290</v>
      </c>
    </row>
    <row r="4" spans="1:36" x14ac:dyDescent="0.2">
      <c r="A4" s="1729" t="s">
        <v>291</v>
      </c>
      <c r="B4" s="1721">
        <f>'APPENDIX 1-STR Trend '!E112/100</f>
        <v>0.51500000000000001</v>
      </c>
      <c r="C4" s="654"/>
      <c r="AA4" s="1186"/>
      <c r="AC4" s="1194"/>
      <c r="AD4" s="1240"/>
      <c r="AE4" s="1243"/>
      <c r="AF4" s="1243"/>
      <c r="AG4" s="1245"/>
      <c r="AH4" s="1238"/>
      <c r="AI4" s="599"/>
      <c r="AJ4" s="250"/>
    </row>
    <row r="5" spans="1:36" ht="17" customHeight="1" x14ac:dyDescent="0.2">
      <c r="A5" s="2003" t="s">
        <v>292</v>
      </c>
      <c r="B5" s="2005">
        <v>0.19</v>
      </c>
      <c r="C5" s="600" t="s">
        <v>198</v>
      </c>
      <c r="E5" s="1229" t="s">
        <v>293</v>
      </c>
      <c r="F5" s="1995">
        <f>'1-P&amp;L Modified'!AF9</f>
        <v>36158</v>
      </c>
      <c r="G5" s="1996"/>
      <c r="H5" s="1995">
        <f>'1-P&amp;L Modified'!AJ9</f>
        <v>37011</v>
      </c>
      <c r="I5" s="1996"/>
      <c r="J5" s="1995">
        <f>'1-P&amp;L Modified'!AN9</f>
        <v>35894</v>
      </c>
      <c r="K5" s="1996"/>
      <c r="L5" s="1995">
        <f>'1-P&amp;L Modified'!AR9</f>
        <v>39735</v>
      </c>
      <c r="M5" s="1996"/>
      <c r="N5" s="1995">
        <f>'1-P&amp;L Modified'!AV9</f>
        <v>41399</v>
      </c>
      <c r="O5" s="1996"/>
      <c r="P5" s="1995">
        <f>'1-P&amp;L Modified'!AZ9</f>
        <v>41476</v>
      </c>
      <c r="Q5" s="1996"/>
      <c r="R5" s="1995">
        <f>'1-P&amp;L Modified'!BD9</f>
        <v>41590</v>
      </c>
      <c r="S5" s="1996"/>
      <c r="T5" s="1995">
        <f>'1-P&amp;L Modified'!BH9</f>
        <v>41476</v>
      </c>
      <c r="U5" s="1996"/>
      <c r="V5" s="1995">
        <f>'1-P&amp;L Modified'!BL9</f>
        <v>41476</v>
      </c>
      <c r="W5" s="1996"/>
      <c r="X5" s="1995">
        <f>'1-P&amp;L Modified'!BP9</f>
        <v>41476</v>
      </c>
      <c r="Y5" s="1996"/>
      <c r="Z5" s="1995">
        <f>'1-P&amp;L Modified'!BT9</f>
        <v>41590</v>
      </c>
      <c r="AA5" s="1996"/>
      <c r="AC5" s="1196"/>
      <c r="AD5" s="1240"/>
      <c r="AE5" s="1243" t="s">
        <v>294</v>
      </c>
      <c r="AF5" s="1241">
        <f>AVERAGE(34,25,17)</f>
        <v>25.333333333333332</v>
      </c>
      <c r="AG5" s="1241">
        <v>25</v>
      </c>
      <c r="AH5" s="1238">
        <f>AVERAGE(39,37,32,39,26,52,59,36,28,36,7,9,110,9)</f>
        <v>37.071428571428569</v>
      </c>
      <c r="AI5" s="599">
        <f>AVERAGE(4.2,9.5,4.5,7,5,5)</f>
        <v>5.8666666666666671</v>
      </c>
      <c r="AJ5" s="250" t="s">
        <v>295</v>
      </c>
    </row>
    <row r="6" spans="1:36" ht="17" thickBot="1" x14ac:dyDescent="0.25">
      <c r="A6" s="2004"/>
      <c r="B6" s="2006"/>
      <c r="E6" s="1195"/>
      <c r="F6" s="1186"/>
      <c r="G6" s="1186"/>
      <c r="H6" s="1186"/>
      <c r="I6" s="1186"/>
      <c r="J6" s="1186"/>
      <c r="K6" s="1186"/>
      <c r="L6" s="1186"/>
      <c r="M6" s="1186"/>
      <c r="N6" s="1186"/>
      <c r="O6" s="1186"/>
      <c r="P6" s="1186"/>
      <c r="Q6" s="1186"/>
      <c r="R6" s="1186"/>
      <c r="S6" s="1186"/>
      <c r="T6" s="1186"/>
      <c r="U6" s="1186"/>
      <c r="V6" s="1186"/>
      <c r="W6" s="1186"/>
      <c r="X6" s="1186"/>
      <c r="Y6" s="1186"/>
      <c r="Z6" s="1186"/>
      <c r="AA6" s="1186"/>
      <c r="AC6" s="1196"/>
      <c r="AD6" s="1240"/>
      <c r="AE6" s="1243" t="s">
        <v>296</v>
      </c>
      <c r="AF6" s="1241"/>
      <c r="AG6" s="1241" t="s">
        <v>140</v>
      </c>
      <c r="AH6" s="1238">
        <f>AVERAGE(15,15,15,19)</f>
        <v>16</v>
      </c>
      <c r="AI6" s="599">
        <f>AVERAGE(8,18,20,5,5,6,6,6,6,6,8.5,9)</f>
        <v>8.625</v>
      </c>
      <c r="AJ6" s="250" t="s">
        <v>297</v>
      </c>
    </row>
    <row r="7" spans="1:36" ht="17" thickBot="1" x14ac:dyDescent="0.25">
      <c r="A7" s="2007" t="s">
        <v>298</v>
      </c>
      <c r="B7" s="2008"/>
      <c r="C7" s="2008"/>
      <c r="D7" s="2008"/>
      <c r="E7" s="2009"/>
      <c r="F7" s="1228"/>
      <c r="H7" s="2010"/>
      <c r="I7" s="2010"/>
      <c r="J7" s="2010"/>
      <c r="K7" s="2010"/>
      <c r="L7" s="2010"/>
      <c r="M7" s="2010"/>
      <c r="N7" s="2010"/>
      <c r="O7" s="2010"/>
      <c r="P7" s="2010"/>
      <c r="Q7" s="2010"/>
      <c r="R7" s="2010"/>
      <c r="S7" s="2010"/>
      <c r="T7" s="2010"/>
      <c r="U7" s="2010"/>
      <c r="V7" s="2010"/>
      <c r="W7" s="2010"/>
      <c r="X7" s="2010"/>
      <c r="Y7" s="2010"/>
      <c r="Z7" s="2010"/>
      <c r="AA7" s="2010"/>
      <c r="AC7" s="1196"/>
      <c r="AD7" s="1240"/>
      <c r="AE7" s="1243" t="s">
        <v>299</v>
      </c>
      <c r="AF7" s="1241"/>
      <c r="AG7" s="1241">
        <v>5</v>
      </c>
      <c r="AH7" s="1238">
        <f>AVERAGE(6,7,7.5,7.5,8.5,9.5,8,9,9,9.5,18,20,7.5,8,8.5,8.5,9.5,10)</f>
        <v>9.5277777777777786</v>
      </c>
      <c r="AI7" s="599">
        <f>AVERAGE(10,10,10,10,10,10,12,12,13,13,13,13,13,11,11,12,13,13,12,13,15)</f>
        <v>11.857142857142858</v>
      </c>
      <c r="AJ7" s="250" t="s">
        <v>300</v>
      </c>
    </row>
    <row r="8" spans="1:36" x14ac:dyDescent="0.2">
      <c r="E8" s="1541" t="s">
        <v>301</v>
      </c>
      <c r="F8" s="1997">
        <v>7</v>
      </c>
      <c r="G8" s="1998"/>
      <c r="H8" s="1997">
        <v>7</v>
      </c>
      <c r="I8" s="1998"/>
      <c r="J8" s="1997">
        <v>7</v>
      </c>
      <c r="K8" s="1998"/>
      <c r="L8" s="1997">
        <v>7</v>
      </c>
      <c r="M8" s="1998"/>
      <c r="N8" s="1997">
        <v>7</v>
      </c>
      <c r="O8" s="1998"/>
      <c r="P8" s="1997">
        <v>7</v>
      </c>
      <c r="Q8" s="1998"/>
      <c r="R8" s="1997">
        <v>7</v>
      </c>
      <c r="S8" s="1998"/>
      <c r="T8" s="1997">
        <v>7</v>
      </c>
      <c r="U8" s="1998"/>
      <c r="V8" s="1997">
        <v>7</v>
      </c>
      <c r="W8" s="1998"/>
      <c r="X8" s="1997">
        <v>7</v>
      </c>
      <c r="Y8" s="1998"/>
      <c r="Z8" s="1997">
        <v>7</v>
      </c>
      <c r="AA8" s="1998"/>
      <c r="AC8" s="1246"/>
      <c r="AD8" s="1247"/>
      <c r="AE8" s="549"/>
      <c r="AF8" s="1248"/>
      <c r="AG8" s="1248"/>
      <c r="AH8" s="1249"/>
      <c r="AI8" s="1250">
        <f>AVERAGE(6,29,16,15,5)</f>
        <v>14.2</v>
      </c>
      <c r="AJ8" s="283" t="s">
        <v>302</v>
      </c>
    </row>
    <row r="9" spans="1:36" x14ac:dyDescent="0.2">
      <c r="A9" s="1731" t="s">
        <v>303</v>
      </c>
      <c r="B9" s="1732">
        <f>AE31</f>
        <v>0.82</v>
      </c>
      <c r="E9" s="1733" t="s">
        <v>304</v>
      </c>
      <c r="F9" s="549">
        <v>365</v>
      </c>
      <c r="G9" s="1227"/>
      <c r="H9" s="549">
        <v>365</v>
      </c>
      <c r="I9" s="1227"/>
      <c r="J9" s="549">
        <v>365</v>
      </c>
      <c r="K9" s="1227"/>
      <c r="L9" s="549">
        <v>365</v>
      </c>
      <c r="M9" s="1227"/>
      <c r="N9" s="549">
        <v>365</v>
      </c>
      <c r="O9" s="1227"/>
      <c r="P9" s="549">
        <v>365</v>
      </c>
      <c r="Q9" s="1227"/>
      <c r="R9" s="549">
        <v>365</v>
      </c>
      <c r="S9" s="1227"/>
      <c r="T9" s="549">
        <v>365</v>
      </c>
      <c r="U9" s="1227"/>
      <c r="V9" s="549">
        <v>365</v>
      </c>
      <c r="W9" s="1227"/>
      <c r="X9" s="549">
        <v>365</v>
      </c>
      <c r="Y9" s="1227"/>
      <c r="Z9" s="549">
        <v>365</v>
      </c>
      <c r="AA9" s="1227"/>
      <c r="AC9" s="1194" t="s">
        <v>305</v>
      </c>
      <c r="AD9" s="1240">
        <v>44</v>
      </c>
      <c r="AE9" s="1243" t="s">
        <v>289</v>
      </c>
      <c r="AF9" s="1241"/>
      <c r="AG9" s="1241">
        <f>AVERAGE(9,28,28,28,15)</f>
        <v>21.6</v>
      </c>
      <c r="AH9" s="1238">
        <f>AVERAGE(19,18,23,24,22,21)</f>
        <v>21.166666666666668</v>
      </c>
      <c r="AI9" s="599">
        <f>AVERAGE(3.8,4,6,6,6,7,12)</f>
        <v>6.3999999999999995</v>
      </c>
      <c r="AJ9" s="250" t="s">
        <v>290</v>
      </c>
    </row>
    <row r="10" spans="1:36" ht="16" customHeight="1" x14ac:dyDescent="0.2">
      <c r="A10" s="1731" t="s">
        <v>306</v>
      </c>
      <c r="B10" s="1734">
        <v>1.3</v>
      </c>
      <c r="E10" s="1733"/>
      <c r="F10" s="1735"/>
      <c r="G10" s="1736"/>
      <c r="H10" s="1735"/>
      <c r="I10" s="1736"/>
      <c r="J10" s="1735"/>
      <c r="K10" s="1736"/>
      <c r="L10" s="1735"/>
      <c r="M10" s="1736"/>
      <c r="N10" s="1735"/>
      <c r="O10" s="1736"/>
      <c r="P10" s="1735"/>
      <c r="Q10" s="1736"/>
      <c r="R10" s="1735"/>
      <c r="S10" s="1736"/>
      <c r="T10" s="1735"/>
      <c r="U10" s="1736"/>
      <c r="V10" s="1735"/>
      <c r="W10" s="1736"/>
      <c r="X10" s="1735"/>
      <c r="Y10" s="1736"/>
      <c r="Z10" s="1735"/>
      <c r="AA10" s="1736"/>
      <c r="AC10" s="1196"/>
      <c r="AD10" s="1240"/>
      <c r="AE10" s="1243" t="s">
        <v>294</v>
      </c>
      <c r="AF10" s="1241"/>
      <c r="AG10" s="1241">
        <f>AVERAGE(31,52,54,48,24,)</f>
        <v>34.833333333333336</v>
      </c>
      <c r="AH10" s="1238">
        <f>AVERAGE(30,39,32,38,29,37)</f>
        <v>34.166666666666664</v>
      </c>
      <c r="AI10" s="599">
        <f>AVERAGE(5,10.5,5,5,9)</f>
        <v>6.9</v>
      </c>
      <c r="AJ10" s="250" t="s">
        <v>295</v>
      </c>
    </row>
    <row r="11" spans="1:36" x14ac:dyDescent="0.2">
      <c r="A11" s="1737" t="s">
        <v>307</v>
      </c>
      <c r="E11" s="1733" t="s">
        <v>308</v>
      </c>
      <c r="F11" s="1738">
        <v>80</v>
      </c>
      <c r="G11" s="1736"/>
      <c r="H11" s="1738">
        <v>80</v>
      </c>
      <c r="I11" s="1736"/>
      <c r="J11" s="1738">
        <v>80</v>
      </c>
      <c r="K11" s="1736"/>
      <c r="L11" s="1738">
        <v>80</v>
      </c>
      <c r="M11" s="1736"/>
      <c r="N11" s="1738">
        <v>80</v>
      </c>
      <c r="O11" s="1736"/>
      <c r="P11" s="1738">
        <v>80</v>
      </c>
      <c r="Q11" s="1736"/>
      <c r="R11" s="1738">
        <v>80</v>
      </c>
      <c r="S11" s="1736"/>
      <c r="T11" s="1738">
        <v>80</v>
      </c>
      <c r="U11" s="1736"/>
      <c r="V11" s="1738">
        <v>80</v>
      </c>
      <c r="W11" s="1736"/>
      <c r="X11" s="1738">
        <v>80</v>
      </c>
      <c r="Y11" s="1736"/>
      <c r="Z11" s="1738">
        <v>80</v>
      </c>
      <c r="AA11" s="1736"/>
      <c r="AC11" s="1196"/>
      <c r="AD11" s="1240"/>
      <c r="AE11" s="1243" t="s">
        <v>296</v>
      </c>
      <c r="AF11" s="1241"/>
      <c r="AG11" s="1241">
        <f>AVERAGE(9,16,20,2.5,5.5)</f>
        <v>10.6</v>
      </c>
      <c r="AH11" s="1238">
        <f>AVERAGE(15,15,15,9)</f>
        <v>13.5</v>
      </c>
      <c r="AI11" s="599">
        <f>AVERAGE(5,8,7,7)</f>
        <v>6.75</v>
      </c>
      <c r="AJ11" s="250" t="s">
        <v>309</v>
      </c>
    </row>
    <row r="12" spans="1:36" x14ac:dyDescent="0.2">
      <c r="A12" s="2011" t="s">
        <v>310</v>
      </c>
      <c r="E12" s="1733" t="s">
        <v>311</v>
      </c>
      <c r="F12" s="1739">
        <f>$B$9</f>
        <v>0.82</v>
      </c>
      <c r="G12" s="1736"/>
      <c r="H12" s="1739">
        <f>$B$9</f>
        <v>0.82</v>
      </c>
      <c r="I12" s="1736"/>
      <c r="J12" s="1739">
        <f>$B$9</f>
        <v>0.82</v>
      </c>
      <c r="K12" s="1736"/>
      <c r="L12" s="1739">
        <f>$B$9</f>
        <v>0.82</v>
      </c>
      <c r="M12" s="1736"/>
      <c r="N12" s="1739">
        <f>$B$9</f>
        <v>0.82</v>
      </c>
      <c r="O12" s="1736"/>
      <c r="P12" s="1739">
        <f>$B$9</f>
        <v>0.82</v>
      </c>
      <c r="Q12" s="1736"/>
      <c r="R12" s="1739">
        <f>$B$9</f>
        <v>0.82</v>
      </c>
      <c r="S12" s="1736"/>
      <c r="T12" s="1739">
        <f>$B$9</f>
        <v>0.82</v>
      </c>
      <c r="U12" s="1736"/>
      <c r="V12" s="1739">
        <f>$B$9</f>
        <v>0.82</v>
      </c>
      <c r="W12" s="1736"/>
      <c r="X12" s="1739">
        <f>$B$9</f>
        <v>0.82</v>
      </c>
      <c r="Y12" s="1736"/>
      <c r="Z12" s="1739">
        <f>$B$9</f>
        <v>0.82</v>
      </c>
      <c r="AA12" s="1736"/>
      <c r="AC12" s="1196"/>
      <c r="AD12" s="1240"/>
      <c r="AE12" s="1243" t="s">
        <v>302</v>
      </c>
      <c r="AF12" s="1241"/>
      <c r="AG12" s="1241">
        <f>AVERAGE(18,26,32)</f>
        <v>25.333333333333332</v>
      </c>
      <c r="AH12" s="1238"/>
      <c r="AI12" s="599">
        <f>AVERAGE(18,23,12,19)</f>
        <v>18</v>
      </c>
      <c r="AJ12" s="250" t="s">
        <v>312</v>
      </c>
    </row>
    <row r="13" spans="1:36" x14ac:dyDescent="0.2">
      <c r="A13" s="2011"/>
      <c r="E13" s="1733" t="s">
        <v>313</v>
      </c>
      <c r="F13" s="1740">
        <f>F12*F5*$B$10</f>
        <v>38544.428</v>
      </c>
      <c r="G13" s="1736"/>
      <c r="H13" s="1740">
        <f>H12*H5*$B$10</f>
        <v>39453.725999999995</v>
      </c>
      <c r="I13" s="1736"/>
      <c r="J13" s="1740">
        <f>J12*J5*$B$10</f>
        <v>38263.004000000001</v>
      </c>
      <c r="K13" s="1736"/>
      <c r="L13" s="1740">
        <f>L12*L5*$B$10</f>
        <v>42357.509999999995</v>
      </c>
      <c r="M13" s="1736"/>
      <c r="N13" s="1740">
        <f>N12*N5*$B$10</f>
        <v>44131.334000000003</v>
      </c>
      <c r="O13" s="1736"/>
      <c r="P13" s="1740">
        <f>P12*P5*$B$10</f>
        <v>44213.416000000005</v>
      </c>
      <c r="Q13" s="1736"/>
      <c r="R13" s="1740">
        <f>R12*R5*$B$10</f>
        <v>44334.939999999995</v>
      </c>
      <c r="S13" s="1736"/>
      <c r="T13" s="1740">
        <f>T12*T5*$B$10</f>
        <v>44213.416000000005</v>
      </c>
      <c r="U13" s="1736"/>
      <c r="V13" s="1740">
        <f>V12*V5*$B$10</f>
        <v>44213.416000000005</v>
      </c>
      <c r="W13" s="1736"/>
      <c r="X13" s="1740">
        <f>X12*X5*$B$10</f>
        <v>44213.416000000005</v>
      </c>
      <c r="Y13" s="1736"/>
      <c r="Z13" s="1740">
        <f>Z12*Z5*$B$10</f>
        <v>44334.939999999995</v>
      </c>
      <c r="AA13" s="1736"/>
      <c r="AC13" s="1246"/>
      <c r="AD13" s="1247"/>
      <c r="AE13" s="1247"/>
      <c r="AF13" s="1247"/>
      <c r="AG13" s="1247"/>
      <c r="AH13" s="1249"/>
      <c r="AI13" s="1241">
        <f>AVERAGE(10,12,18,20,14,12,14,12,15,14,16,14,15,14,10)</f>
        <v>14</v>
      </c>
      <c r="AJ13" s="250" t="s">
        <v>297</v>
      </c>
    </row>
    <row r="14" spans="1:36" ht="17" thickBot="1" x14ac:dyDescent="0.25">
      <c r="A14" s="2011"/>
      <c r="E14" s="1211" t="s">
        <v>314</v>
      </c>
      <c r="F14" s="1212">
        <f>AF31</f>
        <v>16.318000000000001</v>
      </c>
      <c r="G14" s="1213"/>
      <c r="H14" s="1212">
        <f>F14*(1+Inflation)</f>
        <v>16.663644909090909</v>
      </c>
      <c r="I14" s="1213"/>
      <c r="J14" s="1212">
        <f>H14*(1+Inflation)</f>
        <v>17.016611205801652</v>
      </c>
      <c r="K14" s="1213"/>
      <c r="L14" s="1212">
        <f>J14*(1+Inflation)</f>
        <v>17.377053970433632</v>
      </c>
      <c r="M14" s="1213"/>
      <c r="N14" s="1212">
        <f>L14*(1+Inflation)</f>
        <v>17.745131568171001</v>
      </c>
      <c r="O14" s="1213"/>
      <c r="P14" s="1212">
        <f>N14*(1+Inflation)</f>
        <v>18.121005718660442</v>
      </c>
      <c r="Q14" s="1213"/>
      <c r="R14" s="1212">
        <f>P14*(1+Inflation)</f>
        <v>18.504841567064794</v>
      </c>
      <c r="S14" s="1213"/>
      <c r="T14" s="1212">
        <f>R14*(1+Inflation)</f>
        <v>18.896807756621712</v>
      </c>
      <c r="U14" s="1213"/>
      <c r="V14" s="1212">
        <f>T14*(1+Inflation)</f>
        <v>19.297076502739245</v>
      </c>
      <c r="W14" s="1213"/>
      <c r="X14" s="1212">
        <f>V14*(1+Inflation)</f>
        <v>19.705823668660905</v>
      </c>
      <c r="Y14" s="1213"/>
      <c r="Z14" s="1212">
        <f>X14*(1+Inflation)</f>
        <v>20.12322884273345</v>
      </c>
      <c r="AA14" s="1213"/>
      <c r="AC14" s="1194" t="s">
        <v>80</v>
      </c>
      <c r="AD14" s="1240"/>
      <c r="AE14" s="1243" t="s">
        <v>289</v>
      </c>
      <c r="AF14" s="1241">
        <v>20</v>
      </c>
      <c r="AG14" s="1241">
        <f>AVERAGE(17,16.5,16,7.5,11)</f>
        <v>13.6</v>
      </c>
      <c r="AH14" s="1238">
        <f>AVERAGE(17,16.5,16,7.5,11)</f>
        <v>13.6</v>
      </c>
      <c r="AI14" s="599"/>
      <c r="AJ14" s="250"/>
    </row>
    <row r="15" spans="1:36" ht="17" thickTop="1" x14ac:dyDescent="0.2">
      <c r="A15" s="2011"/>
      <c r="C15" s="1741" t="s">
        <v>315</v>
      </c>
      <c r="D15" s="1742"/>
      <c r="E15" s="1209"/>
      <c r="F15" s="1210">
        <f>F14*F13*(1-VAT)</f>
        <v>509464.06064424006</v>
      </c>
      <c r="G15" s="1208"/>
      <c r="H15" s="1210">
        <f>H14*H13*(1-VAT)</f>
        <v>532528.73312769982</v>
      </c>
      <c r="I15" s="1208"/>
      <c r="J15" s="1210">
        <f>J14*J13*(1-VAT)</f>
        <v>527396.39673356712</v>
      </c>
      <c r="K15" s="1208"/>
      <c r="L15" s="1210">
        <f>L14*L13*(1-VAT)</f>
        <v>596199.47723177762</v>
      </c>
      <c r="M15" s="1208"/>
      <c r="N15" s="1210">
        <f>N14*N13*(1-VAT)</f>
        <v>634324.22576820757</v>
      </c>
      <c r="O15" s="1208"/>
      <c r="P15" s="1210">
        <f>P14*P13*(1-VAT)</f>
        <v>648965.16698378569</v>
      </c>
      <c r="Q15" s="1208"/>
      <c r="R15" s="1210">
        <f>R14*R13*(1-VAT)</f>
        <v>664532.94287411217</v>
      </c>
      <c r="S15" s="1208"/>
      <c r="T15" s="1210">
        <f>T14*T13*(1-VAT)</f>
        <v>676748.86215658952</v>
      </c>
      <c r="U15" s="1208"/>
      <c r="V15" s="1210">
        <f>V14*V13*(1-VAT)</f>
        <v>691083.63350954279</v>
      </c>
      <c r="W15" s="1208"/>
      <c r="X15" s="1210">
        <f>X14*X13*(1-VAT)</f>
        <v>705722.04138297227</v>
      </c>
      <c r="Y15" s="1208"/>
      <c r="Z15" s="1210">
        <f>Z14*Z13*(1-VAT)</f>
        <v>722651.33611257409</v>
      </c>
      <c r="AA15" s="1208"/>
      <c r="AC15" s="1196"/>
      <c r="AD15" s="1240"/>
      <c r="AE15" s="1243" t="s">
        <v>294</v>
      </c>
      <c r="AF15" s="1241"/>
      <c r="AG15" s="1241">
        <f>AVERAGE(21.6,29.5,29.5,16.5,16,15,17,15.5,38.5,39,30,40.5)</f>
        <v>25.716666666666669</v>
      </c>
      <c r="AH15" s="1238">
        <f>AVERAGE(21.6,29.5,29.5,16.5,16,15,17,15.5,38.5,39,30,40.5)</f>
        <v>25.716666666666669</v>
      </c>
      <c r="AI15" s="599"/>
      <c r="AJ15" s="250"/>
    </row>
    <row r="16" spans="1:36" ht="17" thickBot="1" x14ac:dyDescent="0.25">
      <c r="A16" s="2012"/>
      <c r="C16" s="1215" t="s">
        <v>316</v>
      </c>
      <c r="D16" s="1216" t="s">
        <v>317</v>
      </c>
      <c r="E16" s="1217">
        <f>$B$3-15%</f>
        <v>0.66799999999999993</v>
      </c>
      <c r="F16" s="1218">
        <f>F15*$E$16</f>
        <v>340321.99251035234</v>
      </c>
      <c r="G16" s="1219"/>
      <c r="H16" s="1218">
        <f>H15*$E$16</f>
        <v>355729.19372930343</v>
      </c>
      <c r="I16" s="1219"/>
      <c r="J16" s="1218">
        <f>J15*$E$16</f>
        <v>352300.79301802278</v>
      </c>
      <c r="K16" s="1219"/>
      <c r="L16" s="1218">
        <f>L15*$E$16</f>
        <v>398261.25079082738</v>
      </c>
      <c r="M16" s="1220"/>
      <c r="N16" s="1218">
        <f>N15*$E$16</f>
        <v>423728.58281316259</v>
      </c>
      <c r="O16" s="1219"/>
      <c r="P16" s="1218">
        <f>P15*$E$16</f>
        <v>433508.73154516879</v>
      </c>
      <c r="Q16" s="1220"/>
      <c r="R16" s="1218">
        <f>R15*$E$16</f>
        <v>443908.00583990687</v>
      </c>
      <c r="S16" s="1220"/>
      <c r="T16" s="1218">
        <f>T15*$E$16</f>
        <v>452068.23992060177</v>
      </c>
      <c r="U16" s="1220"/>
      <c r="V16" s="1218">
        <f>V15*$E$16</f>
        <v>461643.86718437454</v>
      </c>
      <c r="W16" s="1220"/>
      <c r="X16" s="1218">
        <f>X15*$E$16</f>
        <v>471422.32364382542</v>
      </c>
      <c r="Y16" s="1221"/>
      <c r="Z16" s="1218">
        <f>Z15*$E$16</f>
        <v>482731.09252319945</v>
      </c>
      <c r="AA16" s="1221"/>
      <c r="AC16" s="1196"/>
      <c r="AD16" s="1240"/>
      <c r="AE16" s="1243" t="s">
        <v>296</v>
      </c>
      <c r="AF16" s="1241"/>
      <c r="AG16" s="1241">
        <f>AVERAGE(8.5,8.5,14.5)</f>
        <v>10.5</v>
      </c>
      <c r="AH16" s="1238">
        <f>AVERAGE(8.5,8.5,14.5)</f>
        <v>10.5</v>
      </c>
      <c r="AI16" s="599"/>
      <c r="AJ16" s="250"/>
    </row>
    <row r="17" spans="1:36" x14ac:dyDescent="0.2">
      <c r="A17" s="1224"/>
      <c r="C17" s="1214" t="s">
        <v>318</v>
      </c>
      <c r="D17" s="1214"/>
      <c r="E17" s="1214"/>
      <c r="F17" s="1472">
        <f>F15-F16</f>
        <v>169142.06813388772</v>
      </c>
      <c r="G17" s="1472"/>
      <c r="H17" s="1472">
        <f>H15-H16</f>
        <v>176799.53939839639</v>
      </c>
      <c r="I17" s="1472"/>
      <c r="J17" s="1472">
        <f>J15-J16</f>
        <v>175095.60371554433</v>
      </c>
      <c r="K17" s="1472"/>
      <c r="L17" s="1472">
        <f>L15-L16</f>
        <v>197938.22644095024</v>
      </c>
      <c r="M17" s="1472"/>
      <c r="N17" s="1472">
        <f>N15-N16</f>
        <v>210595.64295504498</v>
      </c>
      <c r="O17" s="1472"/>
      <c r="P17" s="1472">
        <f>P15-P16</f>
        <v>215456.4354386169</v>
      </c>
      <c r="Q17" s="1472"/>
      <c r="R17" s="1472">
        <f>R15-R16</f>
        <v>220624.9370342053</v>
      </c>
      <c r="S17" s="1472"/>
      <c r="T17" s="1472">
        <f>T15-T16</f>
        <v>224680.62223598774</v>
      </c>
      <c r="U17" s="1472"/>
      <c r="V17" s="1472">
        <f>V15-V16</f>
        <v>229439.76632516825</v>
      </c>
      <c r="W17" s="1472"/>
      <c r="X17" s="1472">
        <f>X15-X16</f>
        <v>234299.71773914684</v>
      </c>
      <c r="Y17" s="1473"/>
      <c r="Z17" s="1473">
        <f>Z15-Z16</f>
        <v>239920.24358937464</v>
      </c>
      <c r="AA17" s="1223"/>
      <c r="AC17" s="1196"/>
      <c r="AD17" s="1240"/>
      <c r="AE17" s="1243" t="s">
        <v>297</v>
      </c>
      <c r="AF17" s="1241"/>
      <c r="AG17" s="1241">
        <f>AVERAGE(7.5,8,8,8.5,8.5,8.5,15.5,8,8,8.5,8.5,8.5,10)</f>
        <v>8.9230769230769234</v>
      </c>
      <c r="AH17" s="1238">
        <f>AVERAGE(7.5,8,8,8.5,8.5,8.5,15.5,8,8,8.5,8.5,8.5,10)</f>
        <v>8.9230769230769234</v>
      </c>
      <c r="AI17" s="599"/>
      <c r="AJ17" s="250"/>
    </row>
    <row r="18" spans="1:36" x14ac:dyDescent="0.2">
      <c r="AC18" s="1246"/>
      <c r="AD18" s="1247"/>
      <c r="AE18" s="549"/>
      <c r="AF18" s="1248"/>
      <c r="AG18" s="1248"/>
      <c r="AH18" s="1249"/>
      <c r="AI18" s="1250"/>
      <c r="AJ18" s="283"/>
    </row>
    <row r="19" spans="1:36" x14ac:dyDescent="0.2">
      <c r="AC19" s="1194" t="s">
        <v>75</v>
      </c>
      <c r="AD19" s="1240"/>
      <c r="AE19" s="1243" t="s">
        <v>289</v>
      </c>
      <c r="AF19" s="1241"/>
      <c r="AG19" s="1241">
        <f>AVERAGE(11.5,14.5,18.5,24.5,27.5)</f>
        <v>19.3</v>
      </c>
      <c r="AH19" s="1238">
        <f>AVERAGE(11.5,14.5,18.5,24.5,27.5)</f>
        <v>19.3</v>
      </c>
      <c r="AI19" s="599"/>
      <c r="AJ19" s="250"/>
    </row>
    <row r="20" spans="1:36" x14ac:dyDescent="0.2">
      <c r="AC20" s="1196"/>
      <c r="AD20" s="1240"/>
      <c r="AE20" s="1243" t="s">
        <v>294</v>
      </c>
      <c r="AF20" s="1241"/>
      <c r="AG20" s="1241">
        <f>AVERAGE(27.5,35,36.5,22.5)</f>
        <v>30.375</v>
      </c>
      <c r="AH20" s="1238">
        <f>AVERAGE(27.5,35,36.5)</f>
        <v>33</v>
      </c>
      <c r="AI20" s="599"/>
      <c r="AJ20" s="250"/>
    </row>
    <row r="21" spans="1:36" ht="17" thickBot="1" x14ac:dyDescent="0.25">
      <c r="AC21" s="1196"/>
      <c r="AD21" s="1240"/>
      <c r="AE21" s="1243" t="s">
        <v>296</v>
      </c>
      <c r="AF21" s="1241"/>
      <c r="AG21" s="1241">
        <f>AVERAGE(14.5,14.5,15,19)</f>
        <v>15.75</v>
      </c>
      <c r="AH21" s="1238">
        <f>AVERAGE(14.5,14.5,15,19)</f>
        <v>15.75</v>
      </c>
      <c r="AI21" s="599"/>
      <c r="AJ21" s="250"/>
    </row>
    <row r="22" spans="1:36" ht="17" thickBot="1" x14ac:dyDescent="0.25">
      <c r="A22" s="2007" t="s">
        <v>319</v>
      </c>
      <c r="B22" s="2008"/>
      <c r="C22" s="2008"/>
      <c r="D22" s="2008"/>
      <c r="E22" s="2009"/>
      <c r="F22" s="1730" t="s">
        <v>320</v>
      </c>
      <c r="G22" s="1743" t="s">
        <v>321</v>
      </c>
      <c r="H22" s="1743" t="s">
        <v>320</v>
      </c>
      <c r="I22" s="1743" t="s">
        <v>321</v>
      </c>
      <c r="J22" s="1743" t="s">
        <v>320</v>
      </c>
      <c r="K22" s="1743" t="s">
        <v>321</v>
      </c>
      <c r="L22" s="1743" t="s">
        <v>320</v>
      </c>
      <c r="M22" s="1743" t="s">
        <v>321</v>
      </c>
      <c r="N22" s="1743" t="s">
        <v>320</v>
      </c>
      <c r="O22" s="1743" t="s">
        <v>321</v>
      </c>
      <c r="P22" s="1743" t="s">
        <v>320</v>
      </c>
      <c r="Q22" s="1743" t="s">
        <v>321</v>
      </c>
      <c r="R22" s="1743" t="s">
        <v>320</v>
      </c>
      <c r="S22" s="1743" t="s">
        <v>321</v>
      </c>
      <c r="T22" s="1743" t="s">
        <v>320</v>
      </c>
      <c r="U22" s="1743" t="s">
        <v>321</v>
      </c>
      <c r="V22" s="1743" t="s">
        <v>320</v>
      </c>
      <c r="W22" s="1743" t="s">
        <v>321</v>
      </c>
      <c r="X22" s="1743" t="s">
        <v>320</v>
      </c>
      <c r="Y22" s="1743" t="s">
        <v>321</v>
      </c>
      <c r="Z22" s="1743" t="s">
        <v>320</v>
      </c>
      <c r="AA22" s="1743" t="s">
        <v>321</v>
      </c>
      <c r="AC22" s="1246"/>
      <c r="AD22" s="1247"/>
      <c r="AE22" s="549"/>
      <c r="AF22" s="1248"/>
      <c r="AG22" s="1248"/>
      <c r="AH22" s="1249"/>
      <c r="AI22" s="1250"/>
      <c r="AJ22" s="283"/>
    </row>
    <row r="23" spans="1:36" x14ac:dyDescent="0.2">
      <c r="A23" s="1466" t="s">
        <v>322</v>
      </c>
      <c r="E23" s="1541" t="s">
        <v>301</v>
      </c>
      <c r="F23" s="1744">
        <v>5</v>
      </c>
      <c r="G23" s="1744">
        <v>5</v>
      </c>
      <c r="H23" s="1744">
        <v>5</v>
      </c>
      <c r="I23" s="1744">
        <v>5</v>
      </c>
      <c r="J23" s="1744">
        <v>5</v>
      </c>
      <c r="K23" s="1744">
        <v>5</v>
      </c>
      <c r="L23" s="1744">
        <v>5</v>
      </c>
      <c r="M23" s="1744">
        <v>5</v>
      </c>
      <c r="N23" s="1744">
        <v>5</v>
      </c>
      <c r="O23" s="1744">
        <v>5</v>
      </c>
      <c r="P23" s="1744">
        <v>5</v>
      </c>
      <c r="Q23" s="1744">
        <v>5</v>
      </c>
      <c r="R23" s="1744">
        <v>5</v>
      </c>
      <c r="S23" s="1744">
        <v>5</v>
      </c>
      <c r="T23" s="1744">
        <v>5</v>
      </c>
      <c r="U23" s="1744">
        <v>5</v>
      </c>
      <c r="V23" s="1744">
        <v>5</v>
      </c>
      <c r="W23" s="1744">
        <v>5</v>
      </c>
      <c r="X23" s="1744">
        <v>5</v>
      </c>
      <c r="Y23" s="1744">
        <v>5</v>
      </c>
      <c r="Z23" s="1744">
        <v>5</v>
      </c>
      <c r="AA23" s="1744">
        <v>5</v>
      </c>
      <c r="AC23" s="1194" t="s">
        <v>323</v>
      </c>
      <c r="AD23" s="1240">
        <f>AVERAGE(75,79)-AG24</f>
        <v>47.65</v>
      </c>
      <c r="AE23" s="1243" t="s">
        <v>289</v>
      </c>
      <c r="AF23" s="1241">
        <v>21</v>
      </c>
      <c r="AG23" s="1241">
        <f>AVERAGE(9,10.5,11.5,11.8,7.5,16.8,19.2,18.5,19.8)</f>
        <v>13.844444444444443</v>
      </c>
      <c r="AH23" s="1238">
        <f>AVERAGE(9,10.5,11.5,11.8,7.5,16.8,19.2,18.5,19.8)</f>
        <v>13.844444444444443</v>
      </c>
      <c r="AI23" s="599">
        <f>AVERAGE(3.4,3.9,4.2,7.5)</f>
        <v>4.75</v>
      </c>
      <c r="AJ23" s="250" t="s">
        <v>290</v>
      </c>
    </row>
    <row r="24" spans="1:36" x14ac:dyDescent="0.2">
      <c r="A24" s="1466" t="s">
        <v>324</v>
      </c>
      <c r="E24" s="1733" t="s">
        <v>304</v>
      </c>
      <c r="F24" s="1744">
        <f t="shared" ref="F24:G24" si="0">F23*52</f>
        <v>260</v>
      </c>
      <c r="G24" s="1744">
        <f t="shared" si="0"/>
        <v>260</v>
      </c>
      <c r="H24" s="1744">
        <f t="shared" ref="H24:K24" si="1">H23*52</f>
        <v>260</v>
      </c>
      <c r="I24" s="1744">
        <f t="shared" si="1"/>
        <v>260</v>
      </c>
      <c r="J24" s="1744">
        <f t="shared" si="1"/>
        <v>260</v>
      </c>
      <c r="K24" s="1744">
        <f t="shared" si="1"/>
        <v>260</v>
      </c>
      <c r="L24" s="1744">
        <f t="shared" ref="L24:M24" si="2">L23*52</f>
        <v>260</v>
      </c>
      <c r="M24" s="1744">
        <f t="shared" si="2"/>
        <v>260</v>
      </c>
      <c r="N24" s="1744">
        <f t="shared" ref="N24:Y24" si="3">N23*52</f>
        <v>260</v>
      </c>
      <c r="O24" s="1744">
        <f t="shared" si="3"/>
        <v>260</v>
      </c>
      <c r="P24" s="1744">
        <f t="shared" si="3"/>
        <v>260</v>
      </c>
      <c r="Q24" s="1744">
        <f t="shared" si="3"/>
        <v>260</v>
      </c>
      <c r="R24" s="1744">
        <f t="shared" si="3"/>
        <v>260</v>
      </c>
      <c r="S24" s="1744">
        <f t="shared" si="3"/>
        <v>260</v>
      </c>
      <c r="T24" s="1744">
        <f t="shared" si="3"/>
        <v>260</v>
      </c>
      <c r="U24" s="1744">
        <f t="shared" si="3"/>
        <v>260</v>
      </c>
      <c r="V24" s="1744">
        <f t="shared" si="3"/>
        <v>260</v>
      </c>
      <c r="W24" s="1744">
        <f t="shared" si="3"/>
        <v>260</v>
      </c>
      <c r="X24" s="1744">
        <f t="shared" si="3"/>
        <v>260</v>
      </c>
      <c r="Y24" s="1744">
        <f t="shared" si="3"/>
        <v>260</v>
      </c>
      <c r="Z24" s="1744">
        <f t="shared" ref="Z24:AA24" si="4">Z23*52</f>
        <v>260</v>
      </c>
      <c r="AA24" s="1744">
        <f t="shared" si="4"/>
        <v>260</v>
      </c>
      <c r="AC24" s="284"/>
      <c r="AD24" s="1241"/>
      <c r="AE24" s="1243" t="s">
        <v>294</v>
      </c>
      <c r="AF24" s="1241"/>
      <c r="AG24" s="1241">
        <f>AVERAGE(18.5+7.5, 18.5,32.5,26.8,29.5,30.5,34.5,36.5)</f>
        <v>29.35</v>
      </c>
      <c r="AH24" s="1238">
        <f>AVERAGE(18.5+7.5, 18.5,32.5,26.8,29.5,30.5,34.5,36.5)</f>
        <v>29.35</v>
      </c>
      <c r="AI24" s="599">
        <f>AVERAGE(8.9,9.8,9,11.5,9,9.8,9,9,9,10.5,9.8,)</f>
        <v>8.7750000000000004</v>
      </c>
      <c r="AJ24" s="250" t="s">
        <v>297</v>
      </c>
    </row>
    <row r="25" spans="1:36" x14ac:dyDescent="0.2">
      <c r="A25" s="1466" t="s">
        <v>325</v>
      </c>
      <c r="B25" s="600"/>
      <c r="E25" s="1733"/>
      <c r="F25" s="1745"/>
      <c r="G25" s="1744"/>
      <c r="H25" s="1745"/>
      <c r="I25" s="1744"/>
      <c r="J25" s="1745"/>
      <c r="K25" s="1744"/>
      <c r="L25" s="1745"/>
      <c r="M25" s="1744"/>
      <c r="N25" s="1745"/>
      <c r="O25" s="1744"/>
      <c r="P25" s="1745"/>
      <c r="Q25" s="1744"/>
      <c r="R25" s="1745"/>
      <c r="S25" s="1744"/>
      <c r="T25" s="1745"/>
      <c r="U25" s="1744"/>
      <c r="V25" s="1745"/>
      <c r="W25" s="1744"/>
      <c r="X25" s="1745"/>
      <c r="Y25" s="1744"/>
      <c r="Z25" s="1745"/>
      <c r="AA25" s="1744"/>
      <c r="AC25" s="284"/>
      <c r="AD25" s="1241"/>
      <c r="AE25" s="1243" t="s">
        <v>296</v>
      </c>
      <c r="AF25" s="1241"/>
      <c r="AG25" s="1241">
        <f>AVERAGE(10.5,12.5,12.8,10.5,14.8)</f>
        <v>12.219999999999999</v>
      </c>
      <c r="AH25" s="1238">
        <f>AVERAGE(10.5,12.5,12.8,10.5,14.8)</f>
        <v>12.219999999999999</v>
      </c>
      <c r="AI25" s="599">
        <f>AVERAGE(4.9,4.9,6.2,5.9)</f>
        <v>5.4749999999999996</v>
      </c>
      <c r="AJ25" s="250" t="s">
        <v>309</v>
      </c>
    </row>
    <row r="26" spans="1:36" ht="17" thickBot="1" x14ac:dyDescent="0.25">
      <c r="A26" s="1467" t="s">
        <v>326</v>
      </c>
      <c r="E26" s="1733" t="s">
        <v>308</v>
      </c>
      <c r="F26" s="1746">
        <v>80</v>
      </c>
      <c r="G26" s="1744">
        <v>80</v>
      </c>
      <c r="H26" s="1746">
        <v>80</v>
      </c>
      <c r="I26" s="1744">
        <v>80</v>
      </c>
      <c r="J26" s="1746">
        <v>80</v>
      </c>
      <c r="K26" s="1744">
        <v>80</v>
      </c>
      <c r="L26" s="1746">
        <v>80</v>
      </c>
      <c r="M26" s="1744">
        <v>80</v>
      </c>
      <c r="N26" s="1746">
        <v>80</v>
      </c>
      <c r="O26" s="1744">
        <v>80</v>
      </c>
      <c r="P26" s="1746">
        <v>80</v>
      </c>
      <c r="Q26" s="1744">
        <v>80</v>
      </c>
      <c r="R26" s="1746">
        <v>80</v>
      </c>
      <c r="S26" s="1744">
        <v>80</v>
      </c>
      <c r="T26" s="1746">
        <v>80</v>
      </c>
      <c r="U26" s="1744">
        <v>80</v>
      </c>
      <c r="V26" s="1746">
        <v>80</v>
      </c>
      <c r="W26" s="1744">
        <v>80</v>
      </c>
      <c r="X26" s="1746">
        <v>80</v>
      </c>
      <c r="Y26" s="1744">
        <v>80</v>
      </c>
      <c r="Z26" s="1746">
        <v>80</v>
      </c>
      <c r="AA26" s="1744">
        <v>80</v>
      </c>
      <c r="AC26" s="518"/>
      <c r="AD26" s="1242"/>
      <c r="AE26" s="1244" t="s">
        <v>297</v>
      </c>
      <c r="AF26" s="1242"/>
      <c r="AG26" s="1242"/>
      <c r="AH26" s="1239">
        <f>AVERAGE(8.9,9.8,9,11.5,9,9.8,9,9,9,10.5,9.8,)</f>
        <v>8.7750000000000004</v>
      </c>
      <c r="AI26" s="1198">
        <f>AVERAGE(10,10,10,10,12,7.5,7.5)</f>
        <v>9.5714285714285712</v>
      </c>
      <c r="AJ26" s="575" t="s">
        <v>312</v>
      </c>
    </row>
    <row r="27" spans="1:36" x14ac:dyDescent="0.2">
      <c r="E27" s="1733" t="s">
        <v>327</v>
      </c>
      <c r="F27" s="1747">
        <f>($AJ$51*$AK$51+$AJ$53*$AK$53)/52 *(1-0.1)</f>
        <v>45.519230769230774</v>
      </c>
      <c r="G27" s="1748">
        <f>($AJ$52*$AK$52+$AJ$54*$AK$54)/52*(1-0.1)</f>
        <v>42.507692307692309</v>
      </c>
      <c r="H27" s="1747">
        <f>($AJ$51*$AK$51+$AJ$53*$AK$53)/52*(1-0.05)</f>
        <v>48.048076923076927</v>
      </c>
      <c r="I27" s="1748">
        <f>($AJ$52*$AK$52+$AJ$54*$AK$54)/52*(1-0.05)</f>
        <v>44.869230769230768</v>
      </c>
      <c r="J27" s="1747">
        <f>($AJ$51*$AK$51+$AJ$53*$AK$53)/52</f>
        <v>50.57692307692308</v>
      </c>
      <c r="K27" s="1748">
        <f>($AJ$52*$AK$52+$AJ$54*$AK$54)/52</f>
        <v>47.230769230769234</v>
      </c>
      <c r="L27" s="1747">
        <f>($AJ$51*$AK$51+$AJ$53*$AK$53)/52</f>
        <v>50.57692307692308</v>
      </c>
      <c r="M27" s="1748">
        <f>($AJ$52*$AK$52+$AJ$54*$AK$54)/52</f>
        <v>47.230769230769234</v>
      </c>
      <c r="N27" s="1747">
        <f>($AJ$51*$AK$51+$AJ$53*$AK$53)/52</f>
        <v>50.57692307692308</v>
      </c>
      <c r="O27" s="1748">
        <f>($AJ$52*$AK$52+$AJ$54*$AK$54)/52</f>
        <v>47.230769230769234</v>
      </c>
      <c r="P27" s="1747">
        <f>($AJ$51*$AK$51+$AJ$53*$AK$53)/52</f>
        <v>50.57692307692308</v>
      </c>
      <c r="Q27" s="1748">
        <f>($AJ$52*$AK$52+$AJ$54*$AK$54)/52</f>
        <v>47.230769230769234</v>
      </c>
      <c r="R27" s="1747">
        <f>($AJ$51*$AK$51+$AJ$53*$AK$53)/52</f>
        <v>50.57692307692308</v>
      </c>
      <c r="S27" s="1748">
        <f>($AJ$52*$AK$52+$AJ$54*$AK$54)/52</f>
        <v>47.230769230769234</v>
      </c>
      <c r="T27" s="1747">
        <f>($AJ$51*$AK$51+$AJ$53*$AK$53)/52</f>
        <v>50.57692307692308</v>
      </c>
      <c r="U27" s="1748">
        <f>($AJ$52*$AK$52+$AJ$54*$AK$54)/52</f>
        <v>47.230769230769234</v>
      </c>
      <c r="V27" s="1747">
        <f>($AJ$51*$AK$51+$AJ$53*$AK$53)/52</f>
        <v>50.57692307692308</v>
      </c>
      <c r="W27" s="1748">
        <f>($AJ$52*$AK$52+$AJ$54*$AK$54)/52</f>
        <v>47.230769230769234</v>
      </c>
      <c r="X27" s="1747">
        <f>($AJ$51*$AK$51+$AJ$53*$AK$53)/52</f>
        <v>50.57692307692308</v>
      </c>
      <c r="Y27" s="1748">
        <f>($AJ$52*$AK$52+$AJ$54*$AK$54)/52</f>
        <v>47.230769230769234</v>
      </c>
      <c r="Z27" s="1747">
        <f>($AJ$51*$AK$51+$AJ$53*$AK$53)/52</f>
        <v>50.57692307692308</v>
      </c>
      <c r="AA27" s="1748">
        <f>($AJ$52*$AK$52+$AJ$54*$AK$54)/52</f>
        <v>47.230769230769234</v>
      </c>
    </row>
    <row r="28" spans="1:36" ht="17" thickBot="1" x14ac:dyDescent="0.25">
      <c r="E28" s="1733" t="s">
        <v>229</v>
      </c>
      <c r="F28" s="1749">
        <f>F27/F26</f>
        <v>0.56899038461538465</v>
      </c>
      <c r="G28" s="1750">
        <f t="shared" ref="G28:Y28" si="5">G27/G26</f>
        <v>0.53134615384615391</v>
      </c>
      <c r="H28" s="1749">
        <f t="shared" si="5"/>
        <v>0.60060096153846154</v>
      </c>
      <c r="I28" s="1750">
        <f t="shared" si="5"/>
        <v>0.5608653846153846</v>
      </c>
      <c r="J28" s="1749">
        <f t="shared" si="5"/>
        <v>0.63221153846153855</v>
      </c>
      <c r="K28" s="1750">
        <f t="shared" si="5"/>
        <v>0.5903846153846154</v>
      </c>
      <c r="L28" s="1749">
        <f t="shared" si="5"/>
        <v>0.63221153846153855</v>
      </c>
      <c r="M28" s="1750">
        <f t="shared" si="5"/>
        <v>0.5903846153846154</v>
      </c>
      <c r="N28" s="1749">
        <f t="shared" si="5"/>
        <v>0.63221153846153855</v>
      </c>
      <c r="O28" s="1750">
        <f t="shared" si="5"/>
        <v>0.5903846153846154</v>
      </c>
      <c r="P28" s="1749">
        <f t="shared" si="5"/>
        <v>0.63221153846153855</v>
      </c>
      <c r="Q28" s="1750">
        <f t="shared" si="5"/>
        <v>0.5903846153846154</v>
      </c>
      <c r="R28" s="1749">
        <f t="shared" si="5"/>
        <v>0.63221153846153855</v>
      </c>
      <c r="S28" s="1750">
        <f t="shared" si="5"/>
        <v>0.5903846153846154</v>
      </c>
      <c r="T28" s="1749">
        <f t="shared" si="5"/>
        <v>0.63221153846153855</v>
      </c>
      <c r="U28" s="1750">
        <f t="shared" si="5"/>
        <v>0.5903846153846154</v>
      </c>
      <c r="V28" s="1749">
        <f t="shared" si="5"/>
        <v>0.63221153846153855</v>
      </c>
      <c r="W28" s="1750">
        <f t="shared" si="5"/>
        <v>0.5903846153846154</v>
      </c>
      <c r="X28" s="1749">
        <f t="shared" si="5"/>
        <v>0.63221153846153855</v>
      </c>
      <c r="Y28" s="1750">
        <f t="shared" si="5"/>
        <v>0.5903846153846154</v>
      </c>
      <c r="Z28" s="1749">
        <f t="shared" ref="Z28:AA28" si="6">Z27/Z26</f>
        <v>0.63221153846153855</v>
      </c>
      <c r="AA28" s="1750">
        <f t="shared" si="6"/>
        <v>0.5903846153846154</v>
      </c>
    </row>
    <row r="29" spans="1:36" ht="25" thickBot="1" x14ac:dyDescent="0.25">
      <c r="E29" s="1211" t="s">
        <v>314</v>
      </c>
      <c r="F29" s="1212">
        <f>AF36</f>
        <v>36.683694444444441</v>
      </c>
      <c r="G29" s="1212">
        <f>AF41</f>
        <v>52.749007936507937</v>
      </c>
      <c r="H29" s="1212">
        <f t="shared" ref="H29:AA29" si="7">F29*(1+$B$2)</f>
        <v>37.460721790404037</v>
      </c>
      <c r="I29" s="1212">
        <f t="shared" si="7"/>
        <v>53.866327831890331</v>
      </c>
      <c r="J29" s="1212">
        <f t="shared" si="7"/>
        <v>38.254207988328048</v>
      </c>
      <c r="K29" s="1212">
        <f t="shared" si="7"/>
        <v>55.007314594147644</v>
      </c>
      <c r="L29" s="1212">
        <f t="shared" si="7"/>
        <v>39.064501666626271</v>
      </c>
      <c r="M29" s="1212">
        <f t="shared" si="7"/>
        <v>56.172469530550956</v>
      </c>
      <c r="N29" s="1212">
        <f t="shared" si="7"/>
        <v>39.891958838292084</v>
      </c>
      <c r="O29" s="1212">
        <f t="shared" si="7"/>
        <v>57.362304566970806</v>
      </c>
      <c r="P29" s="1212">
        <f t="shared" si="7"/>
        <v>40.736943057321362</v>
      </c>
      <c r="Q29" s="1212">
        <f t="shared" si="7"/>
        <v>58.577342472798463</v>
      </c>
      <c r="R29" s="1212">
        <f t="shared" si="7"/>
        <v>41.599825578444623</v>
      </c>
      <c r="S29" s="1212">
        <f t="shared" si="7"/>
        <v>59.818117090631375</v>
      </c>
      <c r="T29" s="1212">
        <f t="shared" si="7"/>
        <v>42.480985520242584</v>
      </c>
      <c r="U29" s="1212">
        <f t="shared" si="7"/>
        <v>61.085173570823841</v>
      </c>
      <c r="V29" s="1212">
        <f t="shared" si="7"/>
        <v>43.380810031716813</v>
      </c>
      <c r="W29" s="1212">
        <f t="shared" si="7"/>
        <v>62.379068611005835</v>
      </c>
      <c r="X29" s="1212">
        <f t="shared" si="7"/>
        <v>44.299694462388629</v>
      </c>
      <c r="Y29" s="1212">
        <f t="shared" si="7"/>
        <v>63.700370700675322</v>
      </c>
      <c r="Z29" s="1212">
        <f t="shared" si="7"/>
        <v>45.238042536001046</v>
      </c>
      <c r="AA29" s="1212">
        <f t="shared" si="7"/>
        <v>65.049660370971452</v>
      </c>
      <c r="AC29" s="1937" t="s">
        <v>328</v>
      </c>
      <c r="AD29" s="1938"/>
      <c r="AE29" s="1938"/>
      <c r="AF29" s="1938"/>
      <c r="AG29" s="1938"/>
      <c r="AH29" s="1989"/>
      <c r="AI29" s="583"/>
      <c r="AJ29" s="583"/>
    </row>
    <row r="30" spans="1:36" ht="17" thickTop="1" x14ac:dyDescent="0.2">
      <c r="C30" s="1742" t="s">
        <v>315</v>
      </c>
      <c r="D30" s="1742"/>
      <c r="E30" s="1207"/>
      <c r="F30" s="1210">
        <f t="shared" ref="F30:AA30" si="8">F29*F27*F24*(1-VAT)</f>
        <v>351662.7342375</v>
      </c>
      <c r="G30" s="1208">
        <f t="shared" si="8"/>
        <v>472215.44892857154</v>
      </c>
      <c r="H30" s="1210">
        <f t="shared" si="8"/>
        <v>379062.23424296424</v>
      </c>
      <c r="I30" s="1208">
        <f t="shared" si="8"/>
        <v>509007.71019433439</v>
      </c>
      <c r="J30" s="1210">
        <f t="shared" si="8"/>
        <v>407464.69638767629</v>
      </c>
      <c r="K30" s="1208">
        <f t="shared" si="8"/>
        <v>547146.75680506788</v>
      </c>
      <c r="L30" s="1210">
        <f t="shared" si="8"/>
        <v>416095.53950206976</v>
      </c>
      <c r="M30" s="1208">
        <f t="shared" si="8"/>
        <v>558736.31992648437</v>
      </c>
      <c r="N30" s="1210">
        <f t="shared" si="8"/>
        <v>424909.19956606819</v>
      </c>
      <c r="O30" s="1208">
        <f t="shared" si="8"/>
        <v>570571.37106674525</v>
      </c>
      <c r="P30" s="1210">
        <f t="shared" si="8"/>
        <v>433909.54897505854</v>
      </c>
      <c r="Q30" s="1208">
        <f t="shared" si="8"/>
        <v>582657.11010843189</v>
      </c>
      <c r="R30" s="1210">
        <f t="shared" si="8"/>
        <v>443100.54214880295</v>
      </c>
      <c r="S30" s="1208">
        <f t="shared" si="8"/>
        <v>594998.84707709227</v>
      </c>
      <c r="T30" s="1210">
        <f t="shared" si="8"/>
        <v>452486.21726886393</v>
      </c>
      <c r="U30" s="1208">
        <f t="shared" si="8"/>
        <v>607602.00447427062</v>
      </c>
      <c r="V30" s="1210">
        <f t="shared" si="8"/>
        <v>462070.69805283163</v>
      </c>
      <c r="W30" s="1208">
        <f t="shared" si="8"/>
        <v>620472.11965995294</v>
      </c>
      <c r="X30" s="1210">
        <f t="shared" si="8"/>
        <v>471858.19556613255</v>
      </c>
      <c r="Y30" s="1208">
        <f t="shared" si="8"/>
        <v>633614.84728547733</v>
      </c>
      <c r="Z30" s="1210">
        <f t="shared" si="8"/>
        <v>481853.01007221523</v>
      </c>
      <c r="AA30" s="1208">
        <f t="shared" si="8"/>
        <v>647035.96177797893</v>
      </c>
      <c r="AC30" s="1751"/>
      <c r="AD30" s="1752" t="s">
        <v>329</v>
      </c>
      <c r="AE30" s="1753" t="s">
        <v>330</v>
      </c>
      <c r="AF30" s="1753"/>
      <c r="AG30" s="1983" t="s">
        <v>32</v>
      </c>
      <c r="AH30" s="1984"/>
      <c r="AI30" s="1203"/>
      <c r="AJ30" s="1203"/>
    </row>
    <row r="31" spans="1:36" ht="17" thickBot="1" x14ac:dyDescent="0.25">
      <c r="C31" s="1215" t="s">
        <v>316</v>
      </c>
      <c r="D31" s="1216" t="s">
        <v>317</v>
      </c>
      <c r="E31" s="1217">
        <f>$B$3+2%</f>
        <v>0.83799999999999997</v>
      </c>
      <c r="F31" s="1218">
        <f>F30*$E$31</f>
        <v>294693.37129102502</v>
      </c>
      <c r="G31" s="1218">
        <f t="shared" ref="G31" si="9">G30*$E$31</f>
        <v>395716.54620214296</v>
      </c>
      <c r="H31" s="1218">
        <f t="shared" ref="H31:AA31" si="10">H30*$E$31</f>
        <v>317654.152295604</v>
      </c>
      <c r="I31" s="1218">
        <f t="shared" si="10"/>
        <v>426548.4611428522</v>
      </c>
      <c r="J31" s="1218">
        <f t="shared" si="10"/>
        <v>341455.41557287273</v>
      </c>
      <c r="K31" s="1218">
        <f t="shared" si="10"/>
        <v>458508.98220264685</v>
      </c>
      <c r="L31" s="1218">
        <f t="shared" si="10"/>
        <v>348688.06210273446</v>
      </c>
      <c r="M31" s="1218">
        <f t="shared" si="10"/>
        <v>468221.0360983939</v>
      </c>
      <c r="N31" s="1218">
        <f t="shared" si="10"/>
        <v>356073.90923636511</v>
      </c>
      <c r="O31" s="1218">
        <f t="shared" si="10"/>
        <v>478138.80895393249</v>
      </c>
      <c r="P31" s="1218">
        <f t="shared" si="10"/>
        <v>363616.20204109902</v>
      </c>
      <c r="Q31" s="1218">
        <f t="shared" si="10"/>
        <v>488266.65827086591</v>
      </c>
      <c r="R31" s="1218">
        <f t="shared" si="10"/>
        <v>371318.25432069687</v>
      </c>
      <c r="S31" s="1218">
        <f t="shared" si="10"/>
        <v>498609.03385060333</v>
      </c>
      <c r="T31" s="1218">
        <f t="shared" si="10"/>
        <v>379183.45007130795</v>
      </c>
      <c r="U31" s="1218">
        <f t="shared" si="10"/>
        <v>509170.47974943876</v>
      </c>
      <c r="V31" s="1218">
        <f t="shared" si="10"/>
        <v>387215.24496827292</v>
      </c>
      <c r="W31" s="1218">
        <f t="shared" si="10"/>
        <v>519955.63627504057</v>
      </c>
      <c r="X31" s="1218">
        <f t="shared" si="10"/>
        <v>395417.16788441903</v>
      </c>
      <c r="Y31" s="1218">
        <f t="shared" si="10"/>
        <v>530969.24202522996</v>
      </c>
      <c r="Z31" s="1218">
        <f t="shared" si="10"/>
        <v>403792.82244051632</v>
      </c>
      <c r="AA31" s="1218">
        <f t="shared" si="10"/>
        <v>542216.13596994628</v>
      </c>
      <c r="AC31" s="1290" t="s">
        <v>331</v>
      </c>
      <c r="AD31" s="1754" t="s">
        <v>332</v>
      </c>
      <c r="AE31" s="1755">
        <v>0.82</v>
      </c>
      <c r="AF31" s="1756">
        <f>AVERAGE(AF5,AF14,AF23)*AE31*0.9</f>
        <v>16.318000000000001</v>
      </c>
      <c r="AG31" s="1756" t="s">
        <v>333</v>
      </c>
      <c r="AH31" s="1757"/>
    </row>
    <row r="32" spans="1:36" x14ac:dyDescent="0.2">
      <c r="C32" s="1214" t="s">
        <v>318</v>
      </c>
      <c r="D32" s="1214"/>
      <c r="E32" s="1214"/>
      <c r="F32" s="1472">
        <f t="shared" ref="F32:Y32" si="11">F30-F31</f>
        <v>56969.362946474983</v>
      </c>
      <c r="G32" s="1472">
        <f t="shared" si="11"/>
        <v>76498.902726428583</v>
      </c>
      <c r="H32" s="1472">
        <f t="shared" si="11"/>
        <v>61408.081947360246</v>
      </c>
      <c r="I32" s="1472">
        <f t="shared" si="11"/>
        <v>82459.249051482184</v>
      </c>
      <c r="J32" s="1472">
        <f t="shared" si="11"/>
        <v>66009.280814803555</v>
      </c>
      <c r="K32" s="1472">
        <f t="shared" si="11"/>
        <v>88637.774602421036</v>
      </c>
      <c r="L32" s="1472">
        <f t="shared" si="11"/>
        <v>67407.477399335301</v>
      </c>
      <c r="M32" s="1472">
        <f t="shared" si="11"/>
        <v>90515.283828090469</v>
      </c>
      <c r="N32" s="1472">
        <f t="shared" si="11"/>
        <v>68835.290329703072</v>
      </c>
      <c r="O32" s="1472">
        <f t="shared" si="11"/>
        <v>92432.562112812768</v>
      </c>
      <c r="P32" s="1472">
        <f t="shared" si="11"/>
        <v>70293.346933959518</v>
      </c>
      <c r="Q32" s="1472">
        <f t="shared" si="11"/>
        <v>94390.451837565983</v>
      </c>
      <c r="R32" s="1472">
        <f t="shared" si="11"/>
        <v>71782.287828106084</v>
      </c>
      <c r="S32" s="1472">
        <f t="shared" si="11"/>
        <v>96389.813226488943</v>
      </c>
      <c r="T32" s="1472">
        <f t="shared" si="11"/>
        <v>73302.767197555979</v>
      </c>
      <c r="U32" s="1472">
        <f t="shared" si="11"/>
        <v>98431.524724831863</v>
      </c>
      <c r="V32" s="1472">
        <f t="shared" si="11"/>
        <v>74855.453084558714</v>
      </c>
      <c r="W32" s="1472">
        <f t="shared" si="11"/>
        <v>100516.48338491237</v>
      </c>
      <c r="X32" s="1472">
        <f t="shared" si="11"/>
        <v>76441.027681713516</v>
      </c>
      <c r="Y32" s="1473">
        <f t="shared" si="11"/>
        <v>102645.60526024736</v>
      </c>
      <c r="Z32" s="1473">
        <f>Z30-Z31</f>
        <v>78060.187631698907</v>
      </c>
      <c r="AA32" s="1473">
        <f>AA30-AA31</f>
        <v>104819.82580803265</v>
      </c>
      <c r="AC32" s="1985" t="s">
        <v>320</v>
      </c>
      <c r="AD32" s="222" t="s">
        <v>334</v>
      </c>
      <c r="AE32" s="524">
        <v>0.1</v>
      </c>
      <c r="AF32" s="599">
        <f>AVERAGE(AG3,AG9,AG14,AG19,AG23)*AE32</f>
        <v>1.7086111111111113</v>
      </c>
      <c r="AH32" s="250"/>
    </row>
    <row r="33" spans="1:37" x14ac:dyDescent="0.2">
      <c r="A33" s="600"/>
      <c r="AC33" s="1986"/>
      <c r="AD33" s="222" t="s">
        <v>335</v>
      </c>
      <c r="AE33" s="524">
        <v>1</v>
      </c>
      <c r="AF33" s="599">
        <f>AVERAGE(AG5,AG10,AG15,AG20,AG24)*AE33</f>
        <v>29.055</v>
      </c>
      <c r="AH33" s="250"/>
    </row>
    <row r="34" spans="1:37" x14ac:dyDescent="0.2">
      <c r="AC34" s="1986"/>
      <c r="AD34" s="222" t="s">
        <v>336</v>
      </c>
      <c r="AE34" s="524">
        <v>0.1</v>
      </c>
      <c r="AF34" s="599">
        <f>AVERAGE(AG6,AG11,AG16,AG21,AG25)*AE34</f>
        <v>1.22675</v>
      </c>
      <c r="AH34" s="250"/>
    </row>
    <row r="35" spans="1:37" ht="17" thickBot="1" x14ac:dyDescent="0.25">
      <c r="AC35" s="1986"/>
      <c r="AD35" s="1261" t="s">
        <v>337</v>
      </c>
      <c r="AE35" s="1262">
        <v>0.8</v>
      </c>
      <c r="AF35" s="1263">
        <f>AI5*AE35</f>
        <v>4.6933333333333342</v>
      </c>
      <c r="AG35" s="1264"/>
      <c r="AH35" s="672"/>
    </row>
    <row r="36" spans="1:37" ht="18" thickTop="1" thickBot="1" x14ac:dyDescent="0.25">
      <c r="A36" s="2007" t="s">
        <v>338</v>
      </c>
      <c r="B36" s="2008"/>
      <c r="C36" s="2008"/>
      <c r="D36" s="2008"/>
      <c r="E36" s="2009"/>
      <c r="AC36" s="1987"/>
      <c r="AD36" s="1294" t="s">
        <v>332</v>
      </c>
      <c r="AE36" s="1257"/>
      <c r="AF36" s="1257">
        <f>SUM(AF32:AF35)</f>
        <v>36.683694444444441</v>
      </c>
      <c r="AG36" s="1257"/>
      <c r="AH36" s="1258"/>
    </row>
    <row r="37" spans="1:37" x14ac:dyDescent="0.2">
      <c r="A37" s="1466" t="s">
        <v>339</v>
      </c>
      <c r="B37" s="1199"/>
      <c r="E37" s="1541" t="s">
        <v>301</v>
      </c>
      <c r="F37" s="1735">
        <v>7</v>
      </c>
      <c r="G37" s="1736"/>
      <c r="H37" s="1735">
        <v>7</v>
      </c>
      <c r="I37" s="1736"/>
      <c r="J37" s="1735">
        <v>7</v>
      </c>
      <c r="K37" s="1736"/>
      <c r="L37" s="1735">
        <v>7</v>
      </c>
      <c r="M37" s="1736"/>
      <c r="N37" s="1735">
        <v>7</v>
      </c>
      <c r="O37" s="1736"/>
      <c r="P37" s="1735">
        <v>7</v>
      </c>
      <c r="Q37" s="1736"/>
      <c r="R37" s="1735">
        <v>7</v>
      </c>
      <c r="S37" s="1736"/>
      <c r="T37" s="1735">
        <v>7</v>
      </c>
      <c r="U37" s="1736"/>
      <c r="V37" s="1735">
        <v>7</v>
      </c>
      <c r="W37" s="1736"/>
      <c r="X37" s="1735">
        <v>7</v>
      </c>
      <c r="Y37" s="1736"/>
      <c r="Z37" s="1735">
        <v>7</v>
      </c>
      <c r="AA37" s="1736"/>
      <c r="AC37" s="1985" t="s">
        <v>321</v>
      </c>
      <c r="AD37" s="222" t="s">
        <v>334</v>
      </c>
      <c r="AE37" s="524">
        <v>0.4</v>
      </c>
      <c r="AF37" s="599">
        <f>AVERAGE(AH3,AH9,AH14,AH19,AH23)*AE37</f>
        <v>7.0395555555555562</v>
      </c>
      <c r="AH37" s="250"/>
    </row>
    <row r="38" spans="1:37" x14ac:dyDescent="0.2">
      <c r="A38" s="1466" t="s">
        <v>340</v>
      </c>
      <c r="B38" s="1200"/>
      <c r="E38" s="1733" t="s">
        <v>304</v>
      </c>
      <c r="F38" s="1735">
        <v>365</v>
      </c>
      <c r="G38" s="1736"/>
      <c r="H38" s="1735">
        <f>2*30</f>
        <v>60</v>
      </c>
      <c r="I38" s="1736"/>
      <c r="J38" s="1735">
        <v>365</v>
      </c>
      <c r="K38" s="1736"/>
      <c r="L38" s="1735">
        <v>365</v>
      </c>
      <c r="M38" s="1736"/>
      <c r="N38" s="1735">
        <v>365</v>
      </c>
      <c r="O38" s="1736"/>
      <c r="P38" s="1735">
        <v>365</v>
      </c>
      <c r="Q38" s="1736"/>
      <c r="R38" s="1735">
        <v>365</v>
      </c>
      <c r="S38" s="1736"/>
      <c r="T38" s="1735">
        <v>365</v>
      </c>
      <c r="U38" s="1736"/>
      <c r="V38" s="1735">
        <v>365</v>
      </c>
      <c r="W38" s="1736"/>
      <c r="X38" s="1735">
        <v>365</v>
      </c>
      <c r="Y38" s="1736"/>
      <c r="Z38" s="1735">
        <v>365</v>
      </c>
      <c r="AA38" s="1736"/>
      <c r="AC38" s="1986"/>
      <c r="AD38" s="222" t="s">
        <v>335</v>
      </c>
      <c r="AE38" s="524">
        <v>1</v>
      </c>
      <c r="AF38" s="599">
        <f>AVERAGE(AH5,AH10,AH15,AH20,AH24)*AE38</f>
        <v>31.86095238095238</v>
      </c>
      <c r="AH38" s="250"/>
    </row>
    <row r="39" spans="1:37" x14ac:dyDescent="0.2">
      <c r="A39" s="1466" t="s">
        <v>341</v>
      </c>
      <c r="E39" s="1733"/>
      <c r="F39" s="1735"/>
      <c r="G39" s="1736"/>
      <c r="H39" s="1735"/>
      <c r="I39" s="1736"/>
      <c r="J39" s="1735"/>
      <c r="K39" s="1736"/>
      <c r="L39" s="1735"/>
      <c r="M39" s="1736"/>
      <c r="N39" s="1735"/>
      <c r="O39" s="1736"/>
      <c r="P39" s="1735"/>
      <c r="Q39" s="1736"/>
      <c r="R39" s="1735"/>
      <c r="S39" s="1736"/>
      <c r="T39" s="1735"/>
      <c r="U39" s="1736"/>
      <c r="V39" s="1735"/>
      <c r="W39" s="1736"/>
      <c r="X39" s="1735"/>
      <c r="Y39" s="1736"/>
      <c r="Z39" s="1735"/>
      <c r="AA39" s="1736"/>
      <c r="AC39" s="1986"/>
      <c r="AD39" s="222" t="s">
        <v>336</v>
      </c>
      <c r="AE39" s="524">
        <v>0.25</v>
      </c>
      <c r="AF39" s="599">
        <f>AVERAGE(AH6,AH11,AH16,AH21,AH25)*AE39</f>
        <v>3.3984999999999999</v>
      </c>
      <c r="AH39" s="250"/>
    </row>
    <row r="40" spans="1:37" ht="18" thickBot="1" x14ac:dyDescent="0.25">
      <c r="A40" s="1468" t="s">
        <v>342</v>
      </c>
      <c r="E40" s="1733" t="s">
        <v>308</v>
      </c>
      <c r="F40" s="1738">
        <v>60</v>
      </c>
      <c r="G40" s="1736"/>
      <c r="H40" s="1738">
        <v>60</v>
      </c>
      <c r="I40" s="1736"/>
      <c r="J40" s="1738">
        <v>60</v>
      </c>
      <c r="K40" s="1736"/>
      <c r="L40" s="1738">
        <v>70</v>
      </c>
      <c r="M40" s="1736"/>
      <c r="N40" s="1738">
        <v>70</v>
      </c>
      <c r="O40" s="1736"/>
      <c r="P40" s="1738">
        <v>70</v>
      </c>
      <c r="Q40" s="1736"/>
      <c r="R40" s="1738">
        <v>70</v>
      </c>
      <c r="S40" s="1736"/>
      <c r="T40" s="1738">
        <v>70</v>
      </c>
      <c r="U40" s="1736"/>
      <c r="V40" s="1738">
        <v>70</v>
      </c>
      <c r="W40" s="1736"/>
      <c r="X40" s="1738">
        <v>70</v>
      </c>
      <c r="Y40" s="1736"/>
      <c r="Z40" s="1738">
        <v>70</v>
      </c>
      <c r="AA40" s="1736"/>
      <c r="AC40" s="1986"/>
      <c r="AD40" s="1261" t="s">
        <v>337</v>
      </c>
      <c r="AE40" s="1262">
        <v>1</v>
      </c>
      <c r="AF40" s="1263">
        <f>AVERAGE(AI13,AI10)*AE40</f>
        <v>10.45</v>
      </c>
      <c r="AG40" s="1264"/>
      <c r="AH40" s="672"/>
    </row>
    <row r="41" spans="1:37" ht="17" thickTop="1" x14ac:dyDescent="0.2">
      <c r="A41" s="1466" t="s">
        <v>343</v>
      </c>
      <c r="E41" s="1733" t="s">
        <v>344</v>
      </c>
      <c r="F41" s="1758">
        <v>40</v>
      </c>
      <c r="G41" s="1736"/>
      <c r="H41" s="1758">
        <v>40</v>
      </c>
      <c r="I41" s="1736"/>
      <c r="J41" s="1758">
        <f>(5*60+2*50)/7</f>
        <v>57.142857142857146</v>
      </c>
      <c r="K41" s="1736"/>
      <c r="L41" s="1758">
        <f>(5*60+2*50)/7</f>
        <v>57.142857142857146</v>
      </c>
      <c r="M41" s="1736"/>
      <c r="N41" s="1758">
        <f>(5*60+2*50)/7</f>
        <v>57.142857142857146</v>
      </c>
      <c r="O41" s="1736"/>
      <c r="P41" s="1758">
        <f>(5*60+2*50)/7</f>
        <v>57.142857142857146</v>
      </c>
      <c r="Q41" s="1736"/>
      <c r="R41" s="1758">
        <f>(5*60+2*50)/7</f>
        <v>57.142857142857146</v>
      </c>
      <c r="S41" s="1736"/>
      <c r="T41" s="1758">
        <f>(5*60+2*50)/7</f>
        <v>57.142857142857146</v>
      </c>
      <c r="U41" s="1736"/>
      <c r="V41" s="1758">
        <f>(5*60+2*50)/7</f>
        <v>57.142857142857146</v>
      </c>
      <c r="W41" s="1736"/>
      <c r="X41" s="1758">
        <f>(5*60+2*50)/7</f>
        <v>57.142857142857146</v>
      </c>
      <c r="Y41" s="1736"/>
      <c r="Z41" s="1758">
        <f>(5*60+2*50)/7</f>
        <v>57.142857142857146</v>
      </c>
      <c r="AA41" s="1736"/>
      <c r="AC41" s="1987"/>
      <c r="AD41" s="1291" t="s">
        <v>332</v>
      </c>
      <c r="AE41" s="1256"/>
      <c r="AF41" s="1256">
        <f>SUM(AF37:AF40)</f>
        <v>52.749007936507937</v>
      </c>
      <c r="AG41" s="1256"/>
      <c r="AH41" s="1265"/>
    </row>
    <row r="42" spans="1:37" ht="17" thickBot="1" x14ac:dyDescent="0.25">
      <c r="A42" s="1620"/>
      <c r="E42" s="1733" t="s">
        <v>229</v>
      </c>
      <c r="F42" s="1759">
        <f>F41/F40</f>
        <v>0.66666666666666663</v>
      </c>
      <c r="G42" s="1736"/>
      <c r="H42" s="1759">
        <f>H41/H40</f>
        <v>0.66666666666666663</v>
      </c>
      <c r="I42" s="1736"/>
      <c r="J42" s="1759">
        <f>J41/J40</f>
        <v>0.95238095238095244</v>
      </c>
      <c r="K42" s="1736"/>
      <c r="L42" s="1759">
        <f t="shared" ref="L42" si="12">L41/L40</f>
        <v>0.81632653061224492</v>
      </c>
      <c r="M42" s="1736"/>
      <c r="N42" s="1759">
        <f t="shared" ref="N42" si="13">N41/N40</f>
        <v>0.81632653061224492</v>
      </c>
      <c r="O42" s="1736"/>
      <c r="P42" s="1759">
        <f t="shared" ref="P42" si="14">P41/P40</f>
        <v>0.81632653061224492</v>
      </c>
      <c r="Q42" s="1736"/>
      <c r="R42" s="1759">
        <f t="shared" ref="R42" si="15">R41/R40</f>
        <v>0.81632653061224492</v>
      </c>
      <c r="S42" s="1736"/>
      <c r="T42" s="1759">
        <f t="shared" ref="T42" si="16">T41/T40</f>
        <v>0.81632653061224492</v>
      </c>
      <c r="U42" s="1736"/>
      <c r="V42" s="1759">
        <f t="shared" ref="V42" si="17">V41/V40</f>
        <v>0.81632653061224492</v>
      </c>
      <c r="W42" s="1736"/>
      <c r="X42" s="1759">
        <f t="shared" ref="X42:Z42" si="18">X41/X40</f>
        <v>0.81632653061224492</v>
      </c>
      <c r="Y42" s="1736"/>
      <c r="Z42" s="1759">
        <f t="shared" si="18"/>
        <v>0.81632653061224492</v>
      </c>
      <c r="AA42" s="1736"/>
      <c r="AC42" s="1985" t="s">
        <v>345</v>
      </c>
      <c r="AD42" s="1266" t="s">
        <v>346</v>
      </c>
      <c r="AE42" s="1211"/>
      <c r="AF42" s="1267">
        <f>AVERAGE(AD3,AD9,AD23)</f>
        <v>48.550000000000004</v>
      </c>
      <c r="AG42" s="280"/>
      <c r="AH42" s="286"/>
    </row>
    <row r="43" spans="1:37" ht="18" thickTop="1" thickBot="1" x14ac:dyDescent="0.25">
      <c r="A43" s="1621" t="s">
        <v>347</v>
      </c>
      <c r="E43" s="1211" t="s">
        <v>314</v>
      </c>
      <c r="F43" s="1212">
        <f>AF46</f>
        <v>15.455510204081632</v>
      </c>
      <c r="G43" s="1213"/>
      <c r="H43" s="1212">
        <f>F43*(1+$B$2)</f>
        <v>15.782886011131724</v>
      </c>
      <c r="I43" s="1213"/>
      <c r="J43" s="1212">
        <f>H43*(1+$B$2)</f>
        <v>16.117196233003877</v>
      </c>
      <c r="K43" s="1213"/>
      <c r="L43" s="1212">
        <f>J43*(1+$B$2)</f>
        <v>16.458587753212051</v>
      </c>
      <c r="M43" s="1213"/>
      <c r="N43" s="1212">
        <f>L43*(1+$B$2)</f>
        <v>16.807210566530088</v>
      </c>
      <c r="O43" s="1213"/>
      <c r="P43" s="1212">
        <f>N43*(1+$B$2)</f>
        <v>17.163217844893861</v>
      </c>
      <c r="Q43" s="1213"/>
      <c r="R43" s="1212">
        <f>P43*(1+$B$2)</f>
        <v>17.52676600469934</v>
      </c>
      <c r="S43" s="1213"/>
      <c r="T43" s="1212">
        <f>R43*(1+$B$2)</f>
        <v>17.898014775526153</v>
      </c>
      <c r="U43" s="1213"/>
      <c r="V43" s="1212">
        <f>T43*(1+$B$2)</f>
        <v>18.277127270316843</v>
      </c>
      <c r="W43" s="1213"/>
      <c r="X43" s="1212">
        <f>V43*(1+$B$2)</f>
        <v>18.664270057042646</v>
      </c>
      <c r="Y43" s="1213"/>
      <c r="Z43" s="1212">
        <f>X43*(1+$B$2)</f>
        <v>19.059613231887276</v>
      </c>
      <c r="AA43" s="1213"/>
      <c r="AC43" s="1987"/>
      <c r="AD43" s="1292" t="s">
        <v>332</v>
      </c>
      <c r="AE43" s="1257"/>
      <c r="AF43" s="1257">
        <f>SUM(AF42)</f>
        <v>48.550000000000004</v>
      </c>
      <c r="AG43" s="1257"/>
      <c r="AH43" s="1258"/>
    </row>
    <row r="44" spans="1:37" ht="17" thickTop="1" x14ac:dyDescent="0.2">
      <c r="C44" s="1742" t="s">
        <v>315</v>
      </c>
      <c r="D44" s="1742"/>
      <c r="E44" s="1207"/>
      <c r="F44" s="1210">
        <f>F43*F41*F38*(1-VAT)</f>
        <v>182776.86367346937</v>
      </c>
      <c r="G44" s="1210"/>
      <c r="H44" s="1210">
        <f>H43*H41*H38*(1-VAT)*25%</f>
        <v>7670.482601410019</v>
      </c>
      <c r="I44" s="1210"/>
      <c r="J44" s="1210">
        <f>J43*J41*J38*(1-VAT)</f>
        <v>272288.51807357697</v>
      </c>
      <c r="K44" s="1210"/>
      <c r="L44" s="1210">
        <f>L43*L41*L38*(1-VAT)</f>
        <v>278056.0839564082</v>
      </c>
      <c r="M44" s="1210"/>
      <c r="N44" s="1210">
        <f>N43*N41*N38*(1-VAT)</f>
        <v>283945.8173711212</v>
      </c>
      <c r="O44" s="1210"/>
      <c r="P44" s="1210">
        <f>P43*P41*P38*(1-VAT)</f>
        <v>289960.30604816403</v>
      </c>
      <c r="Q44" s="1210"/>
      <c r="R44" s="1210">
        <f>R43*R41*R38*(1-VAT)</f>
        <v>296102.19253082061</v>
      </c>
      <c r="S44" s="1210"/>
      <c r="T44" s="1210">
        <f>T43*T41*T38*(1-VAT)</f>
        <v>302374.17533624615</v>
      </c>
      <c r="U44" s="1210"/>
      <c r="V44" s="1210">
        <f>V43*V41*V38*(1-VAT)</f>
        <v>308779.01014109573</v>
      </c>
      <c r="W44" s="1210"/>
      <c r="X44" s="1210">
        <f>X43*X41*X38*(1-VAT)</f>
        <v>315319.51099226624</v>
      </c>
      <c r="Y44" s="1210"/>
      <c r="Z44" s="1210">
        <f>Z43*Z41*Z38*(1-VAT)</f>
        <v>321998.55154328427</v>
      </c>
      <c r="AA44" s="1208"/>
      <c r="AC44" s="1985" t="s">
        <v>348</v>
      </c>
      <c r="AD44" s="222" t="s">
        <v>337</v>
      </c>
      <c r="AE44" s="524">
        <v>1</v>
      </c>
      <c r="AF44" s="599">
        <f>AVERAGE(AI6:AI7,AI9,AI11:AI12,AI25:AI26)*AE44</f>
        <v>9.5255102040816322</v>
      </c>
      <c r="AH44" s="250"/>
    </row>
    <row r="45" spans="1:37" ht="17" thickBot="1" x14ac:dyDescent="0.25">
      <c r="C45" s="1215" t="s">
        <v>316</v>
      </c>
      <c r="D45" s="1216" t="s">
        <v>317</v>
      </c>
      <c r="E45" s="1217">
        <f>$B$3-10%</f>
        <v>0.71799999999999997</v>
      </c>
      <c r="F45" s="1218">
        <f>F44*$E$45</f>
        <v>131233.78811755101</v>
      </c>
      <c r="G45" s="1474"/>
      <c r="H45" s="1218">
        <f>H44*$E$45</f>
        <v>5507.4065078123931</v>
      </c>
      <c r="I45" s="1474"/>
      <c r="J45" s="1218">
        <f>J44*$E$45</f>
        <v>195503.15597682825</v>
      </c>
      <c r="K45" s="1474"/>
      <c r="L45" s="1218">
        <f>L44*$E$45</f>
        <v>199644.26828070107</v>
      </c>
      <c r="M45" s="1475"/>
      <c r="N45" s="1218">
        <f>N44*$E$45</f>
        <v>203873.09687246502</v>
      </c>
      <c r="O45" s="1474"/>
      <c r="P45" s="1218">
        <f>P44*$E$45</f>
        <v>208191.49974258177</v>
      </c>
      <c r="Q45" s="1475"/>
      <c r="R45" s="1218">
        <f>R44*$E$45</f>
        <v>212601.3742371292</v>
      </c>
      <c r="S45" s="1475"/>
      <c r="T45" s="1218">
        <f>T44*$E$45</f>
        <v>217104.65789142472</v>
      </c>
      <c r="U45" s="1475"/>
      <c r="V45" s="1218">
        <f>V44*$E$45</f>
        <v>221703.32928130674</v>
      </c>
      <c r="W45" s="1475"/>
      <c r="X45" s="1218">
        <f>X44*$E$45</f>
        <v>226399.40889244716</v>
      </c>
      <c r="Y45" s="1476"/>
      <c r="Z45" s="1218">
        <f>Z44*$E$45</f>
        <v>231194.96000807808</v>
      </c>
      <c r="AA45" s="1221"/>
      <c r="AC45" s="1986"/>
      <c r="AD45" s="1261" t="s">
        <v>349</v>
      </c>
      <c r="AE45" s="1262">
        <v>0.3</v>
      </c>
      <c r="AF45" s="1263">
        <f>AVERAGE(AI8,AG12)*AE45</f>
        <v>5.93</v>
      </c>
      <c r="AG45" s="1264"/>
      <c r="AH45" s="672"/>
    </row>
    <row r="46" spans="1:37" ht="17" thickBot="1" x14ac:dyDescent="0.25">
      <c r="C46" s="1214" t="s">
        <v>318</v>
      </c>
      <c r="D46" s="1214"/>
      <c r="E46" s="1214"/>
      <c r="F46" s="1472">
        <f>F44-F45</f>
        <v>51543.07555591836</v>
      </c>
      <c r="G46" s="1472"/>
      <c r="H46" s="1472">
        <f>H44-H45</f>
        <v>2163.0760935976259</v>
      </c>
      <c r="I46" s="1472"/>
      <c r="J46" s="1472">
        <f>J44-J45</f>
        <v>76785.362096748722</v>
      </c>
      <c r="K46" s="1472"/>
      <c r="L46" s="1472">
        <f t="shared" ref="L46" si="19">L44-L45</f>
        <v>78411.815675707127</v>
      </c>
      <c r="M46" s="1472"/>
      <c r="N46" s="1472">
        <f t="shared" ref="N46" si="20">N44-N45</f>
        <v>80072.720498656185</v>
      </c>
      <c r="O46" s="1472"/>
      <c r="P46" s="1472">
        <f t="shared" ref="P46" si="21">P44-P45</f>
        <v>81768.806305582257</v>
      </c>
      <c r="Q46" s="1472"/>
      <c r="R46" s="1472">
        <f t="shared" ref="R46" si="22">R44-R45</f>
        <v>83500.818293691409</v>
      </c>
      <c r="S46" s="1472"/>
      <c r="T46" s="1472">
        <f t="shared" ref="T46" si="23">T44-T45</f>
        <v>85269.517444821424</v>
      </c>
      <c r="U46" s="1472"/>
      <c r="V46" s="1472">
        <f t="shared" ref="V46" si="24">V44-V45</f>
        <v>87075.68085978899</v>
      </c>
      <c r="W46" s="1472"/>
      <c r="X46" s="1472">
        <f t="shared" ref="X46:Z46" si="25">X44-X45</f>
        <v>88920.10209981908</v>
      </c>
      <c r="Y46" s="1473"/>
      <c r="Z46" s="1473">
        <f t="shared" si="25"/>
        <v>90803.591535206186</v>
      </c>
      <c r="AA46" s="1223"/>
      <c r="AC46" s="1988"/>
      <c r="AD46" s="1293" t="s">
        <v>332</v>
      </c>
      <c r="AE46" s="1259"/>
      <c r="AF46" s="1259">
        <f>SUM(AF44:AF45)</f>
        <v>15.455510204081632</v>
      </c>
      <c r="AG46" s="1259"/>
      <c r="AH46" s="1260"/>
    </row>
    <row r="47" spans="1:37" ht="17" thickBot="1" x14ac:dyDescent="0.25">
      <c r="F47" s="1201"/>
      <c r="H47" s="1506"/>
      <c r="J47" s="225"/>
    </row>
    <row r="48" spans="1:37" ht="25" thickBot="1" x14ac:dyDescent="0.25">
      <c r="C48" s="1202"/>
      <c r="D48" s="1201"/>
      <c r="E48" s="1201"/>
      <c r="G48" s="1049"/>
      <c r="AC48" s="1943" t="s">
        <v>350</v>
      </c>
      <c r="AD48" s="1951"/>
      <c r="AE48" s="1951"/>
      <c r="AF48" s="1951"/>
      <c r="AG48" s="1951"/>
      <c r="AH48" s="1951"/>
      <c r="AI48" s="1951"/>
      <c r="AJ48" s="1951"/>
      <c r="AK48" s="1944"/>
    </row>
    <row r="49" spans="1:37" ht="17" thickBot="1" x14ac:dyDescent="0.25">
      <c r="AC49" s="1977" t="s">
        <v>351</v>
      </c>
      <c r="AD49" s="1978"/>
      <c r="AE49" s="1979"/>
      <c r="AF49" s="1980" t="s">
        <v>352</v>
      </c>
      <c r="AG49" s="1981"/>
      <c r="AH49" s="1981"/>
      <c r="AI49" s="1981"/>
      <c r="AJ49" s="1981"/>
      <c r="AK49" s="1982"/>
    </row>
    <row r="50" spans="1:37" ht="17" thickBot="1" x14ac:dyDescent="0.25">
      <c r="A50" s="2007" t="s">
        <v>353</v>
      </c>
      <c r="B50" s="2008"/>
      <c r="C50" s="2008"/>
      <c r="D50" s="2008"/>
      <c r="E50" s="2009"/>
      <c r="AC50" s="1284" t="s">
        <v>354</v>
      </c>
      <c r="AD50" s="1227"/>
      <c r="AE50" s="1542" t="s">
        <v>355</v>
      </c>
      <c r="AF50" s="1542" t="s">
        <v>356</v>
      </c>
      <c r="AG50" s="1542" t="s">
        <v>357</v>
      </c>
      <c r="AH50" s="1542" t="s">
        <v>358</v>
      </c>
      <c r="AI50" s="1542" t="s">
        <v>359</v>
      </c>
      <c r="AJ50" s="1543" t="s">
        <v>360</v>
      </c>
      <c r="AK50" s="503" t="s">
        <v>361</v>
      </c>
    </row>
    <row r="51" spans="1:37" x14ac:dyDescent="0.2">
      <c r="A51" s="1469" t="s">
        <v>362</v>
      </c>
      <c r="B51" s="1726"/>
      <c r="E51" s="1541" t="s">
        <v>301</v>
      </c>
      <c r="F51" s="1735">
        <v>7</v>
      </c>
      <c r="G51" s="1736"/>
      <c r="H51" s="1735">
        <v>7</v>
      </c>
      <c r="I51" s="1736"/>
      <c r="J51" s="1735">
        <v>7</v>
      </c>
      <c r="K51" s="1736"/>
      <c r="L51" s="1735">
        <v>7</v>
      </c>
      <c r="M51" s="1736"/>
      <c r="N51" s="1735">
        <v>7</v>
      </c>
      <c r="O51" s="1736"/>
      <c r="P51" s="1735">
        <v>7</v>
      </c>
      <c r="Q51" s="1736"/>
      <c r="R51" s="1735">
        <v>7</v>
      </c>
      <c r="S51" s="1736"/>
      <c r="T51" s="1735">
        <v>7</v>
      </c>
      <c r="U51" s="1736"/>
      <c r="V51" s="1735">
        <v>7</v>
      </c>
      <c r="W51" s="1736"/>
      <c r="X51" s="1735">
        <v>7</v>
      </c>
      <c r="Y51" s="1736"/>
      <c r="Z51" s="1735">
        <v>7</v>
      </c>
      <c r="AA51" s="1736"/>
      <c r="AC51" s="1283" t="s">
        <v>363</v>
      </c>
      <c r="AD51" s="1760" t="s">
        <v>320</v>
      </c>
      <c r="AE51" s="1204">
        <v>50</v>
      </c>
      <c r="AF51" s="1204">
        <v>50</v>
      </c>
      <c r="AG51" s="1204">
        <v>60</v>
      </c>
      <c r="AH51" s="1204">
        <v>60</v>
      </c>
      <c r="AI51" s="1761">
        <v>55</v>
      </c>
      <c r="AJ51" s="1269">
        <f>AVERAGE(AE51:AI51)</f>
        <v>55</v>
      </c>
      <c r="AK51" s="250">
        <v>38</v>
      </c>
    </row>
    <row r="52" spans="1:37" ht="17" thickBot="1" x14ac:dyDescent="0.25">
      <c r="A52" s="1469" t="s">
        <v>364</v>
      </c>
      <c r="B52" s="1726"/>
      <c r="E52" s="1733" t="s">
        <v>304</v>
      </c>
      <c r="F52" s="1735">
        <f>3*38</f>
        <v>114</v>
      </c>
      <c r="G52" s="1736"/>
      <c r="H52" s="1735">
        <f>3*38</f>
        <v>114</v>
      </c>
      <c r="I52" s="1736"/>
      <c r="J52" s="1735">
        <f>3*38</f>
        <v>114</v>
      </c>
      <c r="K52" s="1736"/>
      <c r="L52" s="1735">
        <f>3*38</f>
        <v>114</v>
      </c>
      <c r="M52" s="1736"/>
      <c r="N52" s="1735">
        <f>3*38</f>
        <v>114</v>
      </c>
      <c r="O52" s="1736"/>
      <c r="P52" s="1735">
        <f>3*38</f>
        <v>114</v>
      </c>
      <c r="Q52" s="1736"/>
      <c r="R52" s="1735">
        <f>3*38</f>
        <v>114</v>
      </c>
      <c r="S52" s="1736"/>
      <c r="T52" s="1735">
        <f>3*38</f>
        <v>114</v>
      </c>
      <c r="U52" s="1736"/>
      <c r="V52" s="1735">
        <f>3*38</f>
        <v>114</v>
      </c>
      <c r="W52" s="1736"/>
      <c r="X52" s="1735">
        <f>3*38</f>
        <v>114</v>
      </c>
      <c r="Y52" s="1736"/>
      <c r="Z52" s="1735">
        <f>3*38</f>
        <v>114</v>
      </c>
      <c r="AA52" s="1736"/>
      <c r="AC52" s="1280" t="s">
        <v>363</v>
      </c>
      <c r="AD52" s="1270" t="s">
        <v>321</v>
      </c>
      <c r="AE52" s="1271">
        <v>50</v>
      </c>
      <c r="AF52" s="1271">
        <v>60</v>
      </c>
      <c r="AG52" s="1271">
        <v>55</v>
      </c>
      <c r="AH52" s="1271">
        <v>50</v>
      </c>
      <c r="AI52" s="1272">
        <v>45</v>
      </c>
      <c r="AJ52" s="1273">
        <f>AVERAGE(AE52:AI52)</f>
        <v>52</v>
      </c>
      <c r="AK52" s="1274">
        <v>38</v>
      </c>
    </row>
    <row r="53" spans="1:37" ht="17" thickTop="1" x14ac:dyDescent="0.2">
      <c r="A53" s="1469" t="s">
        <v>365</v>
      </c>
      <c r="B53" s="1726"/>
      <c r="E53" s="1733"/>
      <c r="F53" s="1735"/>
      <c r="G53" s="1736"/>
      <c r="H53" s="1735"/>
      <c r="I53" s="1736"/>
      <c r="J53" s="1735"/>
      <c r="K53" s="1736"/>
      <c r="L53" s="1735"/>
      <c r="M53" s="1736"/>
      <c r="N53" s="1735"/>
      <c r="O53" s="1736"/>
      <c r="P53" s="1735"/>
      <c r="Q53" s="1736"/>
      <c r="R53" s="1735"/>
      <c r="S53" s="1736"/>
      <c r="T53" s="1735"/>
      <c r="U53" s="1736"/>
      <c r="V53" s="1735"/>
      <c r="W53" s="1736"/>
      <c r="X53" s="1735"/>
      <c r="Y53" s="1736"/>
      <c r="Z53" s="1735"/>
      <c r="AA53" s="1736"/>
      <c r="AC53" s="1281" t="s">
        <v>366</v>
      </c>
      <c r="AD53" s="1760" t="s">
        <v>320</v>
      </c>
      <c r="AE53" s="1204">
        <v>35</v>
      </c>
      <c r="AF53" s="1204">
        <v>45</v>
      </c>
      <c r="AG53" s="1204">
        <v>45</v>
      </c>
      <c r="AH53" s="1204">
        <v>50</v>
      </c>
      <c r="AI53" s="1761">
        <v>50</v>
      </c>
      <c r="AJ53" s="1269">
        <f>AVERAGE(AE53:AI53)</f>
        <v>45</v>
      </c>
      <c r="AK53" s="250">
        <v>12</v>
      </c>
    </row>
    <row r="54" spans="1:37" ht="17" thickBot="1" x14ac:dyDescent="0.25">
      <c r="A54" s="1470" t="s">
        <v>367</v>
      </c>
      <c r="B54" s="1471"/>
      <c r="E54" s="1733" t="s">
        <v>308</v>
      </c>
      <c r="F54" s="1738">
        <v>300</v>
      </c>
      <c r="G54" s="1736"/>
      <c r="H54" s="1738">
        <v>300</v>
      </c>
      <c r="I54" s="1736"/>
      <c r="J54" s="1738">
        <v>300</v>
      </c>
      <c r="K54" s="1736"/>
      <c r="L54" s="1738">
        <v>300</v>
      </c>
      <c r="M54" s="1736"/>
      <c r="N54" s="1738">
        <v>300</v>
      </c>
      <c r="O54" s="1736"/>
      <c r="P54" s="1738">
        <v>300</v>
      </c>
      <c r="Q54" s="1736"/>
      <c r="R54" s="1738">
        <v>300</v>
      </c>
      <c r="S54" s="1736"/>
      <c r="T54" s="1738">
        <v>300</v>
      </c>
      <c r="U54" s="1736"/>
      <c r="V54" s="1738">
        <v>300</v>
      </c>
      <c r="W54" s="1736"/>
      <c r="X54" s="1738">
        <v>300</v>
      </c>
      <c r="Y54" s="1736"/>
      <c r="Z54" s="1738">
        <v>300</v>
      </c>
      <c r="AA54" s="1736"/>
      <c r="AC54" s="1282" t="s">
        <v>366</v>
      </c>
      <c r="AD54" s="1275" t="s">
        <v>321</v>
      </c>
      <c r="AE54" s="1276">
        <v>35</v>
      </c>
      <c r="AF54" s="1276">
        <v>35</v>
      </c>
      <c r="AG54" s="1276">
        <v>40</v>
      </c>
      <c r="AH54" s="1276">
        <v>45</v>
      </c>
      <c r="AI54" s="1277">
        <v>45</v>
      </c>
      <c r="AJ54" s="1278">
        <f>AVERAGE(AE54:AI54)</f>
        <v>40</v>
      </c>
      <c r="AK54" s="1279">
        <v>12</v>
      </c>
    </row>
    <row r="55" spans="1:37" x14ac:dyDescent="0.2">
      <c r="E55" s="1733" t="s">
        <v>344</v>
      </c>
      <c r="F55" s="1758">
        <v>95</v>
      </c>
      <c r="G55" s="1736"/>
      <c r="H55" s="1758">
        <f>F55</f>
        <v>95</v>
      </c>
      <c r="I55" s="1736"/>
      <c r="J55" s="1758">
        <f>H55</f>
        <v>95</v>
      </c>
      <c r="K55" s="1736"/>
      <c r="L55" s="1758">
        <f>J55</f>
        <v>95</v>
      </c>
      <c r="M55" s="1736"/>
      <c r="N55" s="1758">
        <f>L55</f>
        <v>95</v>
      </c>
      <c r="O55" s="1736"/>
      <c r="P55" s="1758">
        <f>N55</f>
        <v>95</v>
      </c>
      <c r="Q55" s="1736"/>
      <c r="R55" s="1758">
        <f>P55</f>
        <v>95</v>
      </c>
      <c r="S55" s="1736"/>
      <c r="T55" s="1758">
        <f>R55</f>
        <v>95</v>
      </c>
      <c r="U55" s="1736"/>
      <c r="V55" s="1758">
        <f>T55</f>
        <v>95</v>
      </c>
      <c r="W55" s="1736"/>
      <c r="X55" s="1758">
        <f>V55</f>
        <v>95</v>
      </c>
      <c r="Y55" s="1736"/>
      <c r="Z55" s="1758">
        <f>X55</f>
        <v>95</v>
      </c>
      <c r="AA55" s="1736"/>
    </row>
    <row r="56" spans="1:37" x14ac:dyDescent="0.2">
      <c r="E56" s="1733" t="s">
        <v>229</v>
      </c>
      <c r="F56" s="1759">
        <f>F55/F54</f>
        <v>0.31666666666666665</v>
      </c>
      <c r="G56" s="1736"/>
      <c r="H56" s="1759">
        <f>H55/H54</f>
        <v>0.31666666666666665</v>
      </c>
      <c r="I56" s="1736"/>
      <c r="J56" s="1759">
        <f>J55/J54</f>
        <v>0.31666666666666665</v>
      </c>
      <c r="K56" s="1736"/>
      <c r="L56" s="1759">
        <f>L55/L54</f>
        <v>0.31666666666666665</v>
      </c>
      <c r="M56" s="1736"/>
      <c r="N56" s="1759">
        <f>N55/N54</f>
        <v>0.31666666666666665</v>
      </c>
      <c r="O56" s="1736"/>
      <c r="P56" s="1759">
        <f>P55/P54</f>
        <v>0.31666666666666665</v>
      </c>
      <c r="Q56" s="1736"/>
      <c r="R56" s="1759">
        <f>R55/R54</f>
        <v>0.31666666666666665</v>
      </c>
      <c r="S56" s="1736"/>
      <c r="T56" s="1759">
        <f>T55/T54</f>
        <v>0.31666666666666665</v>
      </c>
      <c r="U56" s="1736"/>
      <c r="V56" s="1759">
        <f>V55/V54</f>
        <v>0.31666666666666665</v>
      </c>
      <c r="W56" s="1736"/>
      <c r="X56" s="1759">
        <f>X55/X54</f>
        <v>0.31666666666666665</v>
      </c>
      <c r="Y56" s="1736"/>
      <c r="Z56" s="1759">
        <f>Z55/Z54</f>
        <v>0.31666666666666665</v>
      </c>
      <c r="AA56" s="1736"/>
    </row>
    <row r="57" spans="1:37" ht="17" thickBot="1" x14ac:dyDescent="0.25">
      <c r="E57" s="1211" t="s">
        <v>314</v>
      </c>
      <c r="F57" s="1212">
        <f>AF43</f>
        <v>48.550000000000004</v>
      </c>
      <c r="G57" s="1213"/>
      <c r="H57" s="1212">
        <f>F57*(1+$B$2)</f>
        <v>49.57837727272728</v>
      </c>
      <c r="I57" s="1213"/>
      <c r="J57" s="1212">
        <f>H57*(1+$B$2)</f>
        <v>50.628537445867778</v>
      </c>
      <c r="K57" s="1213"/>
      <c r="L57" s="1212">
        <f>J57*(1+$B$2)</f>
        <v>51.700941920857524</v>
      </c>
      <c r="M57" s="1213"/>
      <c r="N57" s="1212">
        <f>L57*(1+$B$2)</f>
        <v>52.796061872453869</v>
      </c>
      <c r="O57" s="1213"/>
      <c r="P57" s="1212">
        <f>N57*(1+$B$2)</f>
        <v>53.914378455752214</v>
      </c>
      <c r="Q57" s="1213"/>
      <c r="R57" s="1212">
        <f>P57*(1+$B$2)</f>
        <v>55.056383017587692</v>
      </c>
      <c r="S57" s="1213"/>
      <c r="T57" s="1212">
        <f>R57*(1+$B$2)</f>
        <v>56.222577312414778</v>
      </c>
      <c r="U57" s="1213"/>
      <c r="V57" s="1212">
        <f>T57*(1+$B$2)</f>
        <v>57.413473722759562</v>
      </c>
      <c r="W57" s="1213"/>
      <c r="X57" s="1212">
        <f>V57*(1+$B$2)</f>
        <v>58.62959548434165</v>
      </c>
      <c r="Y57" s="1213"/>
      <c r="Z57" s="1212">
        <f>X57*(1+$B$2)</f>
        <v>59.871476915964521</v>
      </c>
      <c r="AA57" s="1213"/>
    </row>
    <row r="58" spans="1:37" ht="17" thickTop="1" x14ac:dyDescent="0.2">
      <c r="C58" s="1742" t="s">
        <v>315</v>
      </c>
      <c r="D58" s="1742"/>
      <c r="E58" s="1207"/>
      <c r="F58" s="1210">
        <f>F57*F55*F52*(1-VAT)</f>
        <v>425895.16500000004</v>
      </c>
      <c r="G58" s="1208"/>
      <c r="H58" s="1210">
        <f>H57*H55*H52*(1-VAT)</f>
        <v>434916.39894954558</v>
      </c>
      <c r="I58" s="1208"/>
      <c r="J58" s="1210">
        <f>J57*J55*J52*(1-VAT)</f>
        <v>444128.71903638594</v>
      </c>
      <c r="K58" s="1208"/>
      <c r="L58" s="1210">
        <f>L57*L55*L52*(1-VAT)</f>
        <v>453536.17281233851</v>
      </c>
      <c r="M58" s="1208"/>
      <c r="N58" s="1210">
        <f>N57*N55*N52*(1-VAT)</f>
        <v>463142.89356372715</v>
      </c>
      <c r="O58" s="1208"/>
      <c r="P58" s="1210">
        <f>P57*P55*P52*(1-VAT)</f>
        <v>472953.10212739522</v>
      </c>
      <c r="Q58" s="1208"/>
      <c r="R58" s="1210">
        <f>R57*R55*R52*(1-VAT)</f>
        <v>482971.10874518449</v>
      </c>
      <c r="S58" s="1208"/>
      <c r="T58" s="1210">
        <f>T57*T55*T52*(1-VAT)</f>
        <v>493201.31495769619</v>
      </c>
      <c r="U58" s="1208"/>
      <c r="V58" s="1210">
        <f>V57*V55*V52*(1-VAT)</f>
        <v>503648.21553816379</v>
      </c>
      <c r="W58" s="1208"/>
      <c r="X58" s="1210">
        <f>X57*X55*X52*(1-VAT)</f>
        <v>514316.40046729025</v>
      </c>
      <c r="Y58" s="1208"/>
      <c r="Z58" s="1210">
        <f>Z57*Z55*Z52*(1-VAT)</f>
        <v>525210.5569499156</v>
      </c>
      <c r="AA58" s="1208"/>
    </row>
    <row r="59" spans="1:37" ht="17" thickBot="1" x14ac:dyDescent="0.25">
      <c r="C59" s="1215" t="s">
        <v>316</v>
      </c>
      <c r="D59" s="1216" t="s">
        <v>317</v>
      </c>
      <c r="E59" s="1217">
        <f>$B$3-15%</f>
        <v>0.66799999999999993</v>
      </c>
      <c r="F59" s="1218">
        <f>F58*$E$59</f>
        <v>284497.97022000002</v>
      </c>
      <c r="G59" s="1219"/>
      <c r="H59" s="1218">
        <f>H58*$E$59</f>
        <v>290524.15449829644</v>
      </c>
      <c r="I59" s="1219"/>
      <c r="J59" s="1218">
        <f>J58*$E$59</f>
        <v>296677.98431630578</v>
      </c>
      <c r="K59" s="1219"/>
      <c r="L59" s="1218">
        <f>L58*$E$59</f>
        <v>302962.16343864211</v>
      </c>
      <c r="M59" s="1220"/>
      <c r="N59" s="1218">
        <f>N58*$E$59</f>
        <v>309379.45290056971</v>
      </c>
      <c r="O59" s="1219"/>
      <c r="P59" s="1218">
        <f>P58*$E$59</f>
        <v>315932.67222109996</v>
      </c>
      <c r="Q59" s="1220"/>
      <c r="R59" s="1218">
        <f>R58*$E$59</f>
        <v>322624.70064178319</v>
      </c>
      <c r="S59" s="1220"/>
      <c r="T59" s="1218">
        <f>T58*$E$59</f>
        <v>329458.47839174099</v>
      </c>
      <c r="U59" s="1220"/>
      <c r="V59" s="1218">
        <f>V58*$E$59</f>
        <v>336437.00797949336</v>
      </c>
      <c r="W59" s="1220"/>
      <c r="X59" s="1218">
        <f>X58*$E$59</f>
        <v>343563.35551214986</v>
      </c>
      <c r="Y59" s="1221"/>
      <c r="Z59" s="1218">
        <f>Z58*$E$59</f>
        <v>350840.65204254357</v>
      </c>
      <c r="AA59" s="1221"/>
    </row>
    <row r="60" spans="1:37" x14ac:dyDescent="0.2">
      <c r="C60" s="1214" t="s">
        <v>318</v>
      </c>
      <c r="D60" s="1214"/>
      <c r="E60" s="1214"/>
      <c r="F60" s="1472">
        <f>F58-F59</f>
        <v>141397.19478000002</v>
      </c>
      <c r="G60" s="1472"/>
      <c r="H60" s="1472">
        <f>H58-H59</f>
        <v>144392.24445124913</v>
      </c>
      <c r="I60" s="1472"/>
      <c r="J60" s="1472">
        <f>J58-J59</f>
        <v>147450.73472008016</v>
      </c>
      <c r="K60" s="1472"/>
      <c r="L60" s="1472">
        <f>L58-L59</f>
        <v>150574.0093736964</v>
      </c>
      <c r="M60" s="1472"/>
      <c r="N60" s="1472">
        <f>N58-N59</f>
        <v>153763.44066315744</v>
      </c>
      <c r="O60" s="1472"/>
      <c r="P60" s="1472">
        <f>P58-P59</f>
        <v>157020.42990629526</v>
      </c>
      <c r="Q60" s="1472"/>
      <c r="R60" s="1472">
        <f>R58-R59</f>
        <v>160346.40810340131</v>
      </c>
      <c r="S60" s="1472"/>
      <c r="T60" s="1472">
        <f>T58-T59</f>
        <v>163742.83656595519</v>
      </c>
      <c r="U60" s="1472"/>
      <c r="V60" s="1472">
        <f>V58-V59</f>
        <v>167211.20755867043</v>
      </c>
      <c r="W60" s="1472"/>
      <c r="X60" s="1472">
        <f>X58-X59</f>
        <v>170753.04495514039</v>
      </c>
      <c r="Y60" s="1473"/>
      <c r="Z60" s="1473">
        <f>Z58-Z59</f>
        <v>174369.90490737202</v>
      </c>
      <c r="AA60" s="1223"/>
      <c r="AC60" s="1205"/>
    </row>
    <row r="61" spans="1:37" x14ac:dyDescent="0.2">
      <c r="AC61" s="1205"/>
    </row>
    <row r="63" spans="1:37" ht="17" thickBot="1" x14ac:dyDescent="0.25"/>
    <row r="64" spans="1:37" ht="17" thickBot="1" x14ac:dyDescent="0.25">
      <c r="A64" s="2007" t="s">
        <v>368</v>
      </c>
      <c r="B64" s="2008"/>
      <c r="C64" s="2008"/>
      <c r="D64" s="2008"/>
      <c r="E64" s="2009"/>
      <c r="F64" s="1730" t="s">
        <v>369</v>
      </c>
      <c r="G64" s="1743" t="s">
        <v>370</v>
      </c>
      <c r="H64" s="1743" t="s">
        <v>369</v>
      </c>
      <c r="I64" s="1743" t="s">
        <v>370</v>
      </c>
      <c r="J64" s="1743" t="s">
        <v>369</v>
      </c>
      <c r="K64" s="1743" t="s">
        <v>370</v>
      </c>
      <c r="L64" s="1743" t="s">
        <v>369</v>
      </c>
      <c r="M64" s="1743" t="s">
        <v>370</v>
      </c>
      <c r="N64" s="1743" t="s">
        <v>369</v>
      </c>
      <c r="O64" s="1743" t="s">
        <v>370</v>
      </c>
      <c r="P64" s="1743" t="s">
        <v>369</v>
      </c>
      <c r="Q64" s="1743" t="s">
        <v>370</v>
      </c>
      <c r="R64" s="1743" t="s">
        <v>369</v>
      </c>
      <c r="S64" s="1743" t="s">
        <v>370</v>
      </c>
      <c r="T64" s="1743" t="s">
        <v>369</v>
      </c>
      <c r="U64" s="1743" t="s">
        <v>370</v>
      </c>
      <c r="V64" s="1743" t="s">
        <v>369</v>
      </c>
      <c r="W64" s="1743" t="s">
        <v>370</v>
      </c>
      <c r="X64" s="1743" t="s">
        <v>369</v>
      </c>
      <c r="Y64" s="1743" t="s">
        <v>370</v>
      </c>
      <c r="Z64" s="1743" t="s">
        <v>369</v>
      </c>
      <c r="AA64" s="1743" t="s">
        <v>370</v>
      </c>
    </row>
    <row r="65" spans="1:27" x14ac:dyDescent="0.2">
      <c r="A65" s="1466" t="s">
        <v>371</v>
      </c>
      <c r="E65" s="1541" t="s">
        <v>301</v>
      </c>
      <c r="F65" s="1744">
        <v>0</v>
      </c>
      <c r="G65" s="1744">
        <v>0</v>
      </c>
      <c r="H65" s="1744">
        <v>5</v>
      </c>
      <c r="I65" s="1744">
        <v>2.5</v>
      </c>
      <c r="J65" s="1744">
        <v>5</v>
      </c>
      <c r="K65" s="1744">
        <v>2.5</v>
      </c>
      <c r="L65" s="1744">
        <v>5</v>
      </c>
      <c r="M65" s="1744">
        <v>2.5</v>
      </c>
      <c r="N65" s="1744">
        <v>5</v>
      </c>
      <c r="O65" s="1744">
        <v>2.5</v>
      </c>
      <c r="P65" s="1744">
        <v>5</v>
      </c>
      <c r="Q65" s="1744">
        <v>2.5</v>
      </c>
      <c r="R65" s="1744">
        <v>5</v>
      </c>
      <c r="S65" s="1744">
        <v>2.5</v>
      </c>
      <c r="T65" s="1744">
        <v>5</v>
      </c>
      <c r="U65" s="1744">
        <v>2.5</v>
      </c>
      <c r="V65" s="1744">
        <v>5</v>
      </c>
      <c r="W65" s="1744">
        <v>2.5</v>
      </c>
      <c r="X65" s="1744">
        <v>5</v>
      </c>
      <c r="Y65" s="1744">
        <v>2.5</v>
      </c>
      <c r="Z65" s="1744">
        <v>5</v>
      </c>
      <c r="AA65" s="1744">
        <v>2.5</v>
      </c>
    </row>
    <row r="66" spans="1:27" x14ac:dyDescent="0.2">
      <c r="A66" s="1466" t="s">
        <v>372</v>
      </c>
      <c r="E66" s="1733" t="s">
        <v>304</v>
      </c>
      <c r="F66" s="1744">
        <f t="shared" ref="F66:Y66" si="26">F65*52</f>
        <v>0</v>
      </c>
      <c r="G66" s="1744">
        <f t="shared" si="26"/>
        <v>0</v>
      </c>
      <c r="H66" s="1744">
        <f t="shared" si="26"/>
        <v>260</v>
      </c>
      <c r="I66" s="1744">
        <f t="shared" si="26"/>
        <v>130</v>
      </c>
      <c r="J66" s="1744">
        <f t="shared" si="26"/>
        <v>260</v>
      </c>
      <c r="K66" s="1744">
        <f t="shared" si="26"/>
        <v>130</v>
      </c>
      <c r="L66" s="1744">
        <f t="shared" si="26"/>
        <v>260</v>
      </c>
      <c r="M66" s="1744">
        <f t="shared" si="26"/>
        <v>130</v>
      </c>
      <c r="N66" s="1744">
        <f t="shared" si="26"/>
        <v>260</v>
      </c>
      <c r="O66" s="1744">
        <f t="shared" si="26"/>
        <v>130</v>
      </c>
      <c r="P66" s="1744">
        <f t="shared" si="26"/>
        <v>260</v>
      </c>
      <c r="Q66" s="1744">
        <f t="shared" si="26"/>
        <v>130</v>
      </c>
      <c r="R66" s="1744">
        <f t="shared" si="26"/>
        <v>260</v>
      </c>
      <c r="S66" s="1744">
        <f t="shared" si="26"/>
        <v>130</v>
      </c>
      <c r="T66" s="1744">
        <f t="shared" si="26"/>
        <v>260</v>
      </c>
      <c r="U66" s="1744">
        <f t="shared" si="26"/>
        <v>130</v>
      </c>
      <c r="V66" s="1744">
        <f t="shared" si="26"/>
        <v>260</v>
      </c>
      <c r="W66" s="1744">
        <f t="shared" si="26"/>
        <v>130</v>
      </c>
      <c r="X66" s="1744">
        <f t="shared" si="26"/>
        <v>260</v>
      </c>
      <c r="Y66" s="1744">
        <f t="shared" si="26"/>
        <v>130</v>
      </c>
      <c r="Z66" s="1744">
        <f t="shared" ref="Z66:AA66" si="27">Z65*52</f>
        <v>260</v>
      </c>
      <c r="AA66" s="1744">
        <f t="shared" si="27"/>
        <v>130</v>
      </c>
    </row>
    <row r="67" spans="1:27" x14ac:dyDescent="0.2">
      <c r="A67" s="1466" t="s">
        <v>373</v>
      </c>
      <c r="B67" s="600"/>
      <c r="E67" s="1733"/>
      <c r="F67" s="1745"/>
      <c r="G67" s="1744"/>
      <c r="H67" s="1745"/>
      <c r="I67" s="1744"/>
      <c r="J67" s="1745"/>
      <c r="K67" s="1744"/>
      <c r="L67" s="1745"/>
      <c r="M67" s="1744"/>
      <c r="N67" s="1745"/>
      <c r="O67" s="1744"/>
      <c r="P67" s="1745"/>
      <c r="Q67" s="1744"/>
      <c r="R67" s="1745"/>
      <c r="S67" s="1744"/>
      <c r="T67" s="1745"/>
      <c r="U67" s="1744"/>
      <c r="V67" s="1745"/>
      <c r="W67" s="1744"/>
      <c r="X67" s="1745"/>
      <c r="Y67" s="1744"/>
      <c r="Z67" s="1745"/>
      <c r="AA67" s="1744"/>
    </row>
    <row r="68" spans="1:27" x14ac:dyDescent="0.2">
      <c r="A68" s="1466" t="s">
        <v>374</v>
      </c>
      <c r="E68" s="1733" t="s">
        <v>308</v>
      </c>
      <c r="F68" s="1746">
        <v>0</v>
      </c>
      <c r="G68" s="1744">
        <v>0</v>
      </c>
      <c r="H68" s="1746">
        <v>40</v>
      </c>
      <c r="I68" s="1744">
        <v>40</v>
      </c>
      <c r="J68" s="1746">
        <v>40</v>
      </c>
      <c r="K68" s="1744">
        <v>40</v>
      </c>
      <c r="L68" s="1746">
        <v>40</v>
      </c>
      <c r="M68" s="1744">
        <v>40</v>
      </c>
      <c r="N68" s="1746">
        <v>40</v>
      </c>
      <c r="O68" s="1744">
        <v>40</v>
      </c>
      <c r="P68" s="1746">
        <v>40</v>
      </c>
      <c r="Q68" s="1744">
        <v>40</v>
      </c>
      <c r="R68" s="1746">
        <v>40</v>
      </c>
      <c r="S68" s="1744">
        <v>40</v>
      </c>
      <c r="T68" s="1746">
        <v>40</v>
      </c>
      <c r="U68" s="1744">
        <v>40</v>
      </c>
      <c r="V68" s="1746">
        <v>40</v>
      </c>
      <c r="W68" s="1744">
        <v>40</v>
      </c>
      <c r="X68" s="1746">
        <v>40</v>
      </c>
      <c r="Y68" s="1744">
        <v>40</v>
      </c>
      <c r="Z68" s="1746">
        <v>40</v>
      </c>
      <c r="AA68" s="1744">
        <v>40</v>
      </c>
    </row>
    <row r="69" spans="1:27" x14ac:dyDescent="0.2">
      <c r="A69" s="1612"/>
      <c r="E69" s="1733" t="s">
        <v>344</v>
      </c>
      <c r="F69" s="1747">
        <v>0</v>
      </c>
      <c r="G69" s="1748">
        <v>0</v>
      </c>
      <c r="H69" s="1747">
        <v>55</v>
      </c>
      <c r="I69" s="1748">
        <v>17</v>
      </c>
      <c r="J69" s="1747">
        <v>55</v>
      </c>
      <c r="K69" s="1748">
        <v>17</v>
      </c>
      <c r="L69" s="1747">
        <v>55</v>
      </c>
      <c r="M69" s="1748">
        <v>17</v>
      </c>
      <c r="N69" s="1747">
        <v>55</v>
      </c>
      <c r="O69" s="1748">
        <v>17</v>
      </c>
      <c r="P69" s="1747">
        <v>55</v>
      </c>
      <c r="Q69" s="1748">
        <v>17</v>
      </c>
      <c r="R69" s="1747">
        <v>55</v>
      </c>
      <c r="S69" s="1748">
        <v>17</v>
      </c>
      <c r="T69" s="1747">
        <v>55</v>
      </c>
      <c r="U69" s="1748">
        <v>17</v>
      </c>
      <c r="V69" s="1747">
        <v>55</v>
      </c>
      <c r="W69" s="1748">
        <v>17</v>
      </c>
      <c r="X69" s="1747">
        <v>55</v>
      </c>
      <c r="Y69" s="1748">
        <v>17</v>
      </c>
      <c r="Z69" s="1747">
        <v>55</v>
      </c>
      <c r="AA69" s="1748">
        <v>17</v>
      </c>
    </row>
    <row r="70" spans="1:27" x14ac:dyDescent="0.2">
      <c r="E70" s="1733" t="s">
        <v>229</v>
      </c>
      <c r="F70" s="1749">
        <f>IFERROR(F69/F68,0)</f>
        <v>0</v>
      </c>
      <c r="G70" s="1750">
        <f>IFERROR(G69/G68,0)</f>
        <v>0</v>
      </c>
      <c r="H70" s="1749">
        <f>H69/H68</f>
        <v>1.375</v>
      </c>
      <c r="I70" s="1750">
        <f t="shared" ref="I70:Y70" si="28">I69/I68</f>
        <v>0.42499999999999999</v>
      </c>
      <c r="J70" s="1749">
        <f t="shared" si="28"/>
        <v>1.375</v>
      </c>
      <c r="K70" s="1750">
        <f t="shared" si="28"/>
        <v>0.42499999999999999</v>
      </c>
      <c r="L70" s="1749">
        <f t="shared" si="28"/>
        <v>1.375</v>
      </c>
      <c r="M70" s="1750">
        <f t="shared" si="28"/>
        <v>0.42499999999999999</v>
      </c>
      <c r="N70" s="1749">
        <f t="shared" si="28"/>
        <v>1.375</v>
      </c>
      <c r="O70" s="1750">
        <f t="shared" si="28"/>
        <v>0.42499999999999999</v>
      </c>
      <c r="P70" s="1749">
        <f t="shared" si="28"/>
        <v>1.375</v>
      </c>
      <c r="Q70" s="1750">
        <f t="shared" si="28"/>
        <v>0.42499999999999999</v>
      </c>
      <c r="R70" s="1749">
        <f t="shared" si="28"/>
        <v>1.375</v>
      </c>
      <c r="S70" s="1750">
        <f t="shared" si="28"/>
        <v>0.42499999999999999</v>
      </c>
      <c r="T70" s="1749">
        <f t="shared" si="28"/>
        <v>1.375</v>
      </c>
      <c r="U70" s="1750">
        <f t="shared" si="28"/>
        <v>0.42499999999999999</v>
      </c>
      <c r="V70" s="1749">
        <f t="shared" si="28"/>
        <v>1.375</v>
      </c>
      <c r="W70" s="1750">
        <f t="shared" si="28"/>
        <v>0.42499999999999999</v>
      </c>
      <c r="X70" s="1749">
        <f t="shared" si="28"/>
        <v>1.375</v>
      </c>
      <c r="Y70" s="1750">
        <f t="shared" si="28"/>
        <v>0.42499999999999999</v>
      </c>
      <c r="Z70" s="1749">
        <f t="shared" ref="Z70:AA70" si="29">Z69/Z68</f>
        <v>1.375</v>
      </c>
      <c r="AA70" s="1750">
        <f t="shared" si="29"/>
        <v>0.42499999999999999</v>
      </c>
    </row>
    <row r="71" spans="1:27" ht="17" thickBot="1" x14ac:dyDescent="0.25">
      <c r="E71" s="1211" t="s">
        <v>314</v>
      </c>
      <c r="F71" s="1212">
        <v>0</v>
      </c>
      <c r="G71" s="1212">
        <v>0</v>
      </c>
      <c r="H71" s="1212">
        <v>6</v>
      </c>
      <c r="I71" s="1212">
        <v>17</v>
      </c>
      <c r="J71" s="1212">
        <f>H71*(1+$B$2)</f>
        <v>6.1270909090909091</v>
      </c>
      <c r="K71" s="1212">
        <f>I71*(1+$B$2)</f>
        <v>17.360090909090911</v>
      </c>
      <c r="L71" s="1212">
        <f t="shared" ref="L71:AA71" si="30">J71*(1+$B$2)</f>
        <v>6.2568738347107438</v>
      </c>
      <c r="M71" s="1212">
        <f t="shared" si="30"/>
        <v>17.72780919834711</v>
      </c>
      <c r="N71" s="1212">
        <f t="shared" si="30"/>
        <v>6.3894057986641624</v>
      </c>
      <c r="O71" s="1212">
        <f t="shared" si="30"/>
        <v>18.103316429548464</v>
      </c>
      <c r="P71" s="1212">
        <f t="shared" si="30"/>
        <v>6.5247450305813217</v>
      </c>
      <c r="Q71" s="1212">
        <f t="shared" si="30"/>
        <v>18.486777586647083</v>
      </c>
      <c r="R71" s="1212">
        <f t="shared" si="30"/>
        <v>6.6629509935018172</v>
      </c>
      <c r="S71" s="1212">
        <f t="shared" si="30"/>
        <v>18.878361148255152</v>
      </c>
      <c r="T71" s="1212">
        <f t="shared" si="30"/>
        <v>6.804084410000538</v>
      </c>
      <c r="U71" s="1212">
        <f t="shared" si="30"/>
        <v>19.278239161668193</v>
      </c>
      <c r="V71" s="1212">
        <f t="shared" si="30"/>
        <v>6.9482072888669126</v>
      </c>
      <c r="W71" s="1212">
        <f t="shared" si="30"/>
        <v>19.686587318456255</v>
      </c>
      <c r="X71" s="1212">
        <f t="shared" si="30"/>
        <v>7.0953829523492757</v>
      </c>
      <c r="Y71" s="1212">
        <f t="shared" si="30"/>
        <v>20.103585031656284</v>
      </c>
      <c r="Z71" s="1212">
        <f t="shared" si="30"/>
        <v>7.24567606397631</v>
      </c>
      <c r="AA71" s="1212">
        <f t="shared" si="30"/>
        <v>20.529415514599549</v>
      </c>
    </row>
    <row r="72" spans="1:27" ht="17" thickTop="1" x14ac:dyDescent="0.2">
      <c r="C72" s="1742" t="s">
        <v>315</v>
      </c>
      <c r="D72" s="1742"/>
      <c r="E72" s="1207"/>
      <c r="F72" s="1210">
        <f t="shared" ref="F72:G72" si="31">F71*F69*F66</f>
        <v>0</v>
      </c>
      <c r="G72" s="1208">
        <f t="shared" si="31"/>
        <v>0</v>
      </c>
      <c r="H72" s="1210">
        <f t="shared" ref="H72:AA72" si="32">H71*H69*H66*(1-VAT)</f>
        <v>69498</v>
      </c>
      <c r="I72" s="1208">
        <f t="shared" si="32"/>
        <v>30431.7</v>
      </c>
      <c r="J72" s="1210">
        <f t="shared" si="32"/>
        <v>70970.094000000012</v>
      </c>
      <c r="K72" s="1208">
        <f t="shared" si="32"/>
        <v>31076.298736363638</v>
      </c>
      <c r="L72" s="1210">
        <f t="shared" si="32"/>
        <v>72473.369627454536</v>
      </c>
      <c r="M72" s="1208">
        <f t="shared" si="32"/>
        <v>31734.551245961164</v>
      </c>
      <c r="N72" s="1210">
        <f t="shared" si="32"/>
        <v>74008.487365926994</v>
      </c>
      <c r="O72" s="1208">
        <f t="shared" si="32"/>
        <v>32406.746740534709</v>
      </c>
      <c r="P72" s="1210">
        <f t="shared" si="32"/>
        <v>75576.121689223452</v>
      </c>
      <c r="Q72" s="1208">
        <f t="shared" si="32"/>
        <v>33093.180557856947</v>
      </c>
      <c r="R72" s="1210">
        <f t="shared" si="32"/>
        <v>77176.961357731547</v>
      </c>
      <c r="S72" s="1208">
        <f t="shared" si="32"/>
        <v>33794.154291491555</v>
      </c>
      <c r="T72" s="1210">
        <f t="shared" si="32"/>
        <v>78811.709721036241</v>
      </c>
      <c r="U72" s="1208">
        <f t="shared" si="32"/>
        <v>34509.975923302227</v>
      </c>
      <c r="V72" s="1210">
        <f t="shared" si="32"/>
        <v>80481.085026945453</v>
      </c>
      <c r="W72" s="1208">
        <f t="shared" si="32"/>
        <v>35240.959958768544</v>
      </c>
      <c r="X72" s="1210">
        <f t="shared" si="32"/>
        <v>82185.820737061673</v>
      </c>
      <c r="Y72" s="1208">
        <f t="shared" si="32"/>
        <v>35987.427565167913</v>
      </c>
      <c r="Z72" s="1210">
        <f t="shared" si="32"/>
        <v>83926.665849037614</v>
      </c>
      <c r="AA72" s="1208">
        <f t="shared" si="32"/>
        <v>36749.70671268466</v>
      </c>
    </row>
    <row r="73" spans="1:27" ht="17" thickBot="1" x14ac:dyDescent="0.25">
      <c r="C73" s="1215" t="s">
        <v>316</v>
      </c>
      <c r="D73" s="1216" t="s">
        <v>317</v>
      </c>
      <c r="E73" s="1217">
        <f>$B$3-20%</f>
        <v>0.61799999999999988</v>
      </c>
      <c r="F73" s="1218">
        <f>F72*$E$73</f>
        <v>0</v>
      </c>
      <c r="G73" s="1219">
        <f t="shared" ref="G73:H73" si="33">G72*$E$73</f>
        <v>0</v>
      </c>
      <c r="H73" s="1218">
        <f t="shared" si="33"/>
        <v>42949.763999999988</v>
      </c>
      <c r="I73" s="1218">
        <f>I72*$E$73</f>
        <v>18806.790599999997</v>
      </c>
      <c r="J73" s="1218">
        <f t="shared" ref="J73:AA73" si="34">J72*$E$73</f>
        <v>43859.518091999998</v>
      </c>
      <c r="K73" s="1218">
        <f t="shared" si="34"/>
        <v>19205.152619072724</v>
      </c>
      <c r="L73" s="1218">
        <f t="shared" si="34"/>
        <v>44788.542429766894</v>
      </c>
      <c r="M73" s="1218">
        <f t="shared" si="34"/>
        <v>19611.952670003997</v>
      </c>
      <c r="N73" s="1218">
        <f t="shared" si="34"/>
        <v>45737.245192142873</v>
      </c>
      <c r="O73" s="1218">
        <f t="shared" si="34"/>
        <v>20027.369485650448</v>
      </c>
      <c r="P73" s="1218">
        <f t="shared" si="34"/>
        <v>46706.043203940084</v>
      </c>
      <c r="Q73" s="1218">
        <f t="shared" si="34"/>
        <v>20451.58558475559</v>
      </c>
      <c r="R73" s="1218">
        <f t="shared" si="34"/>
        <v>47695.36211907809</v>
      </c>
      <c r="S73" s="1218">
        <f t="shared" si="34"/>
        <v>20884.787352141779</v>
      </c>
      <c r="T73" s="1218">
        <f t="shared" si="34"/>
        <v>48705.636607600391</v>
      </c>
      <c r="U73" s="1218">
        <f t="shared" si="34"/>
        <v>21327.165120600774</v>
      </c>
      <c r="V73" s="1218">
        <f t="shared" si="34"/>
        <v>49737.310546652283</v>
      </c>
      <c r="W73" s="1218">
        <f t="shared" si="34"/>
        <v>21778.913254518957</v>
      </c>
      <c r="X73" s="1218">
        <f t="shared" si="34"/>
        <v>50790.837215504107</v>
      </c>
      <c r="Y73" s="1218">
        <f t="shared" si="34"/>
        <v>22240.230235273764</v>
      </c>
      <c r="Z73" s="1218">
        <f t="shared" si="34"/>
        <v>51866.679494705233</v>
      </c>
      <c r="AA73" s="1218">
        <f t="shared" si="34"/>
        <v>22711.318748439116</v>
      </c>
    </row>
    <row r="74" spans="1:27" x14ac:dyDescent="0.2">
      <c r="C74" s="1214" t="s">
        <v>318</v>
      </c>
      <c r="D74" s="1214"/>
      <c r="E74" s="1214"/>
      <c r="F74" s="1222">
        <f t="shared" ref="F74:Y74" si="35">F72-F73</f>
        <v>0</v>
      </c>
      <c r="G74" s="1222">
        <f t="shared" si="35"/>
        <v>0</v>
      </c>
      <c r="H74" s="1472">
        <f t="shared" si="35"/>
        <v>26548.236000000012</v>
      </c>
      <c r="I74" s="1472">
        <f t="shared" si="35"/>
        <v>11624.909400000004</v>
      </c>
      <c r="J74" s="1472">
        <f t="shared" si="35"/>
        <v>27110.575908000013</v>
      </c>
      <c r="K74" s="1472">
        <f t="shared" si="35"/>
        <v>11871.146117290915</v>
      </c>
      <c r="L74" s="1472">
        <f t="shared" si="35"/>
        <v>27684.827197687642</v>
      </c>
      <c r="M74" s="1472">
        <f t="shared" si="35"/>
        <v>12122.598575957167</v>
      </c>
      <c r="N74" s="1472">
        <f t="shared" si="35"/>
        <v>28271.242173784121</v>
      </c>
      <c r="O74" s="1472">
        <f t="shared" si="35"/>
        <v>12379.377254884261</v>
      </c>
      <c r="P74" s="1472">
        <f t="shared" si="35"/>
        <v>28870.078485283368</v>
      </c>
      <c r="Q74" s="1472">
        <f t="shared" si="35"/>
        <v>12641.594973101357</v>
      </c>
      <c r="R74" s="1472">
        <f t="shared" si="35"/>
        <v>29481.599238653456</v>
      </c>
      <c r="S74" s="1472">
        <f t="shared" si="35"/>
        <v>12909.366939349777</v>
      </c>
      <c r="T74" s="1472">
        <f t="shared" si="35"/>
        <v>30106.07311343585</v>
      </c>
      <c r="U74" s="1472">
        <f t="shared" si="35"/>
        <v>13182.810802701453</v>
      </c>
      <c r="V74" s="1472">
        <f t="shared" si="35"/>
        <v>30743.77448029317</v>
      </c>
      <c r="W74" s="1472">
        <f t="shared" si="35"/>
        <v>13462.046704249587</v>
      </c>
      <c r="X74" s="1472">
        <f t="shared" si="35"/>
        <v>31394.983521557566</v>
      </c>
      <c r="Y74" s="1473">
        <f t="shared" si="35"/>
        <v>13747.197329894148</v>
      </c>
      <c r="Z74" s="1473">
        <f t="shared" ref="Z74:AA74" si="36">Z72-Z73</f>
        <v>32059.986354332381</v>
      </c>
      <c r="AA74" s="1473">
        <f t="shared" si="36"/>
        <v>14038.387964245543</v>
      </c>
    </row>
    <row r="77" spans="1:27" ht="17" thickBot="1" x14ac:dyDescent="0.25"/>
    <row r="78" spans="1:27" ht="17" thickBot="1" x14ac:dyDescent="0.25">
      <c r="A78" s="2007" t="s">
        <v>61</v>
      </c>
      <c r="B78" s="2008"/>
      <c r="C78" s="2008"/>
      <c r="D78" s="2008"/>
      <c r="E78" s="2009"/>
    </row>
    <row r="79" spans="1:27" x14ac:dyDescent="0.2">
      <c r="A79" s="1466" t="s">
        <v>362</v>
      </c>
      <c r="E79" s="1541" t="s">
        <v>301</v>
      </c>
      <c r="F79" s="1735">
        <v>7</v>
      </c>
      <c r="G79" s="1736"/>
      <c r="H79" s="1735">
        <v>7</v>
      </c>
      <c r="I79" s="1736"/>
      <c r="J79" s="1735">
        <v>7</v>
      </c>
      <c r="K79" s="1736"/>
      <c r="L79" s="1735">
        <v>7</v>
      </c>
      <c r="M79" s="1736"/>
      <c r="N79" s="1735">
        <v>7</v>
      </c>
      <c r="O79" s="1736"/>
      <c r="P79" s="1735">
        <v>7</v>
      </c>
      <c r="Q79" s="1736"/>
      <c r="R79" s="1735">
        <v>7</v>
      </c>
      <c r="S79" s="1736"/>
      <c r="T79" s="1735">
        <v>7</v>
      </c>
      <c r="U79" s="1736"/>
      <c r="V79" s="1735">
        <v>7</v>
      </c>
      <c r="W79" s="1736"/>
      <c r="X79" s="1735">
        <v>7</v>
      </c>
      <c r="Y79" s="1736"/>
      <c r="Z79" s="1735">
        <v>7</v>
      </c>
      <c r="AA79" s="1736"/>
    </row>
    <row r="80" spans="1:27" x14ac:dyDescent="0.2">
      <c r="A80" s="1466" t="s">
        <v>375</v>
      </c>
      <c r="E80" s="1733" t="s">
        <v>304</v>
      </c>
      <c r="F80" s="1735">
        <f>F79*52</f>
        <v>364</v>
      </c>
      <c r="G80" s="1736"/>
      <c r="H80" s="1735">
        <f>H79*52</f>
        <v>364</v>
      </c>
      <c r="I80" s="1736"/>
      <c r="J80" s="1735">
        <f>J79*52</f>
        <v>364</v>
      </c>
      <c r="K80" s="1736"/>
      <c r="L80" s="1735">
        <f>L79*52</f>
        <v>364</v>
      </c>
      <c r="M80" s="1736"/>
      <c r="N80" s="1735">
        <f>N79*52</f>
        <v>364</v>
      </c>
      <c r="O80" s="1736"/>
      <c r="P80" s="1735">
        <f t="shared" ref="P80" si="37">P79*52</f>
        <v>364</v>
      </c>
      <c r="Q80" s="1736"/>
      <c r="R80" s="1735">
        <f t="shared" ref="R80" si="38">R79*52</f>
        <v>364</v>
      </c>
      <c r="S80" s="1736"/>
      <c r="T80" s="1735">
        <f t="shared" ref="T80" si="39">T79*52</f>
        <v>364</v>
      </c>
      <c r="U80" s="1736"/>
      <c r="V80" s="1735">
        <f t="shared" ref="V80" si="40">V79*52</f>
        <v>364</v>
      </c>
      <c r="W80" s="1736"/>
      <c r="X80" s="1735">
        <f t="shared" ref="X80:Z80" si="41">X79*52</f>
        <v>364</v>
      </c>
      <c r="Y80" s="1736"/>
      <c r="Z80" s="1735">
        <f t="shared" si="41"/>
        <v>364</v>
      </c>
      <c r="AA80" s="1736"/>
    </row>
    <row r="81" spans="1:27" x14ac:dyDescent="0.2">
      <c r="A81" s="1466" t="s">
        <v>376</v>
      </c>
      <c r="E81" s="1733"/>
      <c r="F81" s="1735"/>
      <c r="G81" s="1736"/>
      <c r="H81" s="1735"/>
      <c r="I81" s="1736"/>
      <c r="J81" s="1735"/>
      <c r="K81" s="1736"/>
      <c r="L81" s="1735"/>
      <c r="M81" s="1736"/>
      <c r="N81" s="1735"/>
      <c r="O81" s="1736"/>
      <c r="P81" s="1735"/>
      <c r="Q81" s="1736"/>
      <c r="R81" s="1735"/>
      <c r="S81" s="1736"/>
      <c r="T81" s="1735"/>
      <c r="U81" s="1736"/>
      <c r="V81" s="1735"/>
      <c r="W81" s="1736"/>
      <c r="X81" s="1735"/>
      <c r="Y81" s="1736"/>
      <c r="Z81" s="1735"/>
      <c r="AA81" s="1736"/>
    </row>
    <row r="82" spans="1:27" x14ac:dyDescent="0.2">
      <c r="A82" s="1466" t="s">
        <v>377</v>
      </c>
      <c r="E82" s="1733" t="s">
        <v>308</v>
      </c>
      <c r="F82" s="1738">
        <f>15+(142-15)*2</f>
        <v>269</v>
      </c>
      <c r="G82" s="1736"/>
      <c r="H82" s="1738">
        <f>15+(142-15)*2</f>
        <v>269</v>
      </c>
      <c r="I82" s="1736"/>
      <c r="J82" s="1738">
        <f>15+(142-15)*2</f>
        <v>269</v>
      </c>
      <c r="K82" s="1736"/>
      <c r="L82" s="1738">
        <f>15+(142-15)*2</f>
        <v>269</v>
      </c>
      <c r="M82" s="1736"/>
      <c r="N82" s="1738">
        <f>15+(142-15)*2</f>
        <v>269</v>
      </c>
      <c r="O82" s="1736"/>
      <c r="P82" s="1738">
        <f t="shared" ref="P82" si="42">15+(142-15)*2</f>
        <v>269</v>
      </c>
      <c r="Q82" s="1736"/>
      <c r="R82" s="1738">
        <f t="shared" ref="R82" si="43">15+(142-15)*2</f>
        <v>269</v>
      </c>
      <c r="S82" s="1736"/>
      <c r="T82" s="1738">
        <f t="shared" ref="T82" si="44">15+(142-15)*2</f>
        <v>269</v>
      </c>
      <c r="U82" s="1736"/>
      <c r="V82" s="1738">
        <f t="shared" ref="V82" si="45">15+(142-15)*2</f>
        <v>269</v>
      </c>
      <c r="W82" s="1736"/>
      <c r="X82" s="1738">
        <f t="shared" ref="X82:Z82" si="46">15+(142-15)*2</f>
        <v>269</v>
      </c>
      <c r="Y82" s="1736"/>
      <c r="Z82" s="1738">
        <f t="shared" si="46"/>
        <v>269</v>
      </c>
      <c r="AA82" s="1736"/>
    </row>
    <row r="83" spans="1:27" x14ac:dyDescent="0.2">
      <c r="A83" s="1466" t="s">
        <v>378</v>
      </c>
      <c r="E83" s="1733" t="s">
        <v>344</v>
      </c>
      <c r="F83" s="1758">
        <v>17</v>
      </c>
      <c r="G83" s="1736"/>
      <c r="H83" s="1758">
        <v>17</v>
      </c>
      <c r="I83" s="1736"/>
      <c r="J83" s="1758">
        <v>17</v>
      </c>
      <c r="K83" s="1736"/>
      <c r="L83" s="1758">
        <v>17</v>
      </c>
      <c r="M83" s="1736"/>
      <c r="N83" s="1758">
        <v>17</v>
      </c>
      <c r="O83" s="1736"/>
      <c r="P83" s="1758">
        <v>17</v>
      </c>
      <c r="Q83" s="1736"/>
      <c r="R83" s="1758">
        <v>17</v>
      </c>
      <c r="S83" s="1736"/>
      <c r="T83" s="1758">
        <v>17</v>
      </c>
      <c r="U83" s="1736"/>
      <c r="V83" s="1758">
        <v>17</v>
      </c>
      <c r="W83" s="1736"/>
      <c r="X83" s="1758">
        <v>17</v>
      </c>
      <c r="Y83" s="1736"/>
      <c r="Z83" s="1758">
        <v>17</v>
      </c>
      <c r="AA83" s="1736"/>
    </row>
    <row r="84" spans="1:27" x14ac:dyDescent="0.2">
      <c r="A84" s="1466" t="s">
        <v>324</v>
      </c>
      <c r="E84" s="1733" t="s">
        <v>229</v>
      </c>
      <c r="F84" s="1759">
        <f>F83/F82</f>
        <v>6.3197026022304828E-2</v>
      </c>
      <c r="G84" s="1736"/>
      <c r="H84" s="1759">
        <f>H83/H82</f>
        <v>6.3197026022304828E-2</v>
      </c>
      <c r="I84" s="1736"/>
      <c r="J84" s="1759">
        <f>J83/J82</f>
        <v>6.3197026022304828E-2</v>
      </c>
      <c r="K84" s="1736"/>
      <c r="L84" s="1759">
        <f>L83/L82</f>
        <v>6.3197026022304828E-2</v>
      </c>
      <c r="M84" s="1736"/>
      <c r="N84" s="1759">
        <f>N83/N82</f>
        <v>6.3197026022304828E-2</v>
      </c>
      <c r="O84" s="1736"/>
      <c r="P84" s="1759">
        <f t="shared" ref="P84" si="47">P83/P82</f>
        <v>6.3197026022304828E-2</v>
      </c>
      <c r="Q84" s="1736"/>
      <c r="R84" s="1759">
        <f t="shared" ref="R84" si="48">R83/R82</f>
        <v>6.3197026022304828E-2</v>
      </c>
      <c r="S84" s="1736"/>
      <c r="T84" s="1759">
        <f t="shared" ref="T84" si="49">T83/T82</f>
        <v>6.3197026022304828E-2</v>
      </c>
      <c r="U84" s="1736"/>
      <c r="V84" s="1759">
        <f t="shared" ref="V84" si="50">V83/V82</f>
        <v>6.3197026022304828E-2</v>
      </c>
      <c r="W84" s="1736"/>
      <c r="X84" s="1759">
        <f t="shared" ref="X84" si="51">X83/X82</f>
        <v>6.3197026022304828E-2</v>
      </c>
      <c r="Y84" s="1736"/>
      <c r="Z84" s="1759">
        <f>Z83/Z82</f>
        <v>6.3197026022304828E-2</v>
      </c>
      <c r="AA84" s="1736"/>
    </row>
    <row r="85" spans="1:27" ht="17" thickBot="1" x14ac:dyDescent="0.25">
      <c r="A85" s="1467" t="s">
        <v>379</v>
      </c>
      <c r="E85" s="1211" t="s">
        <v>314</v>
      </c>
      <c r="F85" s="1212">
        <f>(AF38+AF35)*1.2</f>
        <v>43.86514285714285</v>
      </c>
      <c r="G85" s="1213"/>
      <c r="H85" s="1212">
        <f>F85*(1+$B$2)</f>
        <v>44.794286337662328</v>
      </c>
      <c r="I85" s="1213"/>
      <c r="J85" s="1212">
        <f>H85*(1+$B$2)</f>
        <v>45.743110766450997</v>
      </c>
      <c r="K85" s="1213"/>
      <c r="L85" s="1212">
        <f>J85*(1+$B$2)</f>
        <v>46.712033021776733</v>
      </c>
      <c r="M85" s="1213"/>
      <c r="N85" s="1212">
        <f>L85*(1+$B$2)</f>
        <v>47.701478812147094</v>
      </c>
      <c r="O85" s="1213"/>
      <c r="P85" s="1212">
        <f>N85*(1+$B$2)</f>
        <v>48.71188286334985</v>
      </c>
      <c r="Q85" s="1213"/>
      <c r="R85" s="1212">
        <f>P85*(1+$B$2)</f>
        <v>49.743689109455353</v>
      </c>
      <c r="S85" s="1213"/>
      <c r="T85" s="1212">
        <f>R85*(1+$B$2)</f>
        <v>50.797350887864724</v>
      </c>
      <c r="U85" s="1213"/>
      <c r="V85" s="1212">
        <f>T85*(1+$B$2)</f>
        <v>51.873331138489498</v>
      </c>
      <c r="W85" s="1213"/>
      <c r="X85" s="1212">
        <f>V85*(1+$B$2)</f>
        <v>52.972102607150227</v>
      </c>
      <c r="Y85" s="1213"/>
      <c r="Z85" s="1212">
        <f>X85*(1+$B$2)</f>
        <v>54.094148053283497</v>
      </c>
      <c r="AA85" s="1213"/>
    </row>
    <row r="86" spans="1:27" ht="17" thickTop="1" x14ac:dyDescent="0.2">
      <c r="C86" s="1742" t="s">
        <v>315</v>
      </c>
      <c r="D86" s="1742"/>
      <c r="E86" s="1207"/>
      <c r="F86" s="1210">
        <f>F85*F83*F80*(1-VAT)</f>
        <v>219864.37823999999</v>
      </c>
      <c r="G86" s="1208"/>
      <c r="H86" s="1210">
        <f>H85*H83*H80*(1-VAT)</f>
        <v>224521.50552453817</v>
      </c>
      <c r="I86" s="1208"/>
      <c r="J86" s="1210">
        <f>J85*J83*J80*(1-VAT)</f>
        <v>229277.279232467</v>
      </c>
      <c r="K86" s="1208"/>
      <c r="L86" s="1210">
        <f>L85*L83*L80*(1-VAT)</f>
        <v>234133.78887439112</v>
      </c>
      <c r="M86" s="1208"/>
      <c r="N86" s="1210">
        <f>N85*N83*N80*(1-VAT)</f>
        <v>239093.16822054863</v>
      </c>
      <c r="O86" s="1208"/>
      <c r="P86" s="1210">
        <f>P85*P83*P80*(1-VAT)</f>
        <v>244157.59623831121</v>
      </c>
      <c r="Q86" s="1208"/>
      <c r="R86" s="1210">
        <f>R85*R83*R80*(1-VAT)</f>
        <v>249329.2980495409</v>
      </c>
      <c r="S86" s="1208"/>
      <c r="T86" s="1210">
        <f>T85*T83*T80*(1-VAT)</f>
        <v>254610.5459082266</v>
      </c>
      <c r="U86" s="1208"/>
      <c r="V86" s="1210">
        <f>V85*V83*V80*(1-VAT)</f>
        <v>260003.66019882815</v>
      </c>
      <c r="W86" s="1208"/>
      <c r="X86" s="1210">
        <f>X85*X83*X80*(1-VAT)</f>
        <v>265511.01045576693</v>
      </c>
      <c r="Y86" s="1208"/>
      <c r="Z86" s="1210">
        <f>Z85*Z83*Z80*(1-VAT)</f>
        <v>271135.01640451181</v>
      </c>
      <c r="AA86" s="1208"/>
    </row>
    <row r="87" spans="1:27" ht="17" thickBot="1" x14ac:dyDescent="0.25">
      <c r="C87" s="1215" t="s">
        <v>316</v>
      </c>
      <c r="D87" s="1216" t="s">
        <v>317</v>
      </c>
      <c r="E87" s="1217">
        <f>$B$3+10%</f>
        <v>0.91799999999999993</v>
      </c>
      <c r="F87" s="1218">
        <f>F86*$E$87</f>
        <v>201835.49922431997</v>
      </c>
      <c r="G87" s="1219"/>
      <c r="H87" s="1218">
        <f>H86*$E$87</f>
        <v>206110.74207152601</v>
      </c>
      <c r="I87" s="1219"/>
      <c r="J87" s="1218">
        <f>J86*$E$87</f>
        <v>210476.54233540469</v>
      </c>
      <c r="K87" s="1219"/>
      <c r="L87" s="1218">
        <f>L86*$E$87</f>
        <v>214934.81818669103</v>
      </c>
      <c r="M87" s="1220"/>
      <c r="N87" s="1218">
        <f>N86*$E$87</f>
        <v>219487.52842646363</v>
      </c>
      <c r="O87" s="1219"/>
      <c r="P87" s="1218">
        <f>P86*$E$87</f>
        <v>224136.67334676968</v>
      </c>
      <c r="Q87" s="1220"/>
      <c r="R87" s="1218">
        <f>R86*$E$87</f>
        <v>228884.29560947852</v>
      </c>
      <c r="S87" s="1220"/>
      <c r="T87" s="1218">
        <f>T86*$E$87</f>
        <v>233732.481143752</v>
      </c>
      <c r="U87" s="1220"/>
      <c r="V87" s="1218">
        <f>V86*$E$87</f>
        <v>238683.36006252421</v>
      </c>
      <c r="W87" s="1220"/>
      <c r="X87" s="1218">
        <f>X86*$E$87</f>
        <v>243739.10759839401</v>
      </c>
      <c r="Y87" s="1221"/>
      <c r="Z87" s="1218">
        <f>Z86*$E$87</f>
        <v>248901.94505934182</v>
      </c>
      <c r="AA87" s="1221"/>
    </row>
    <row r="88" spans="1:27" x14ac:dyDescent="0.2">
      <c r="C88" s="1214" t="s">
        <v>318</v>
      </c>
      <c r="D88" s="1214"/>
      <c r="E88" s="1214"/>
      <c r="F88" s="1472">
        <f>F86-F87</f>
        <v>18028.879015680024</v>
      </c>
      <c r="G88" s="1472"/>
      <c r="H88" s="1472">
        <f>H86-H87</f>
        <v>18410.763453012158</v>
      </c>
      <c r="I88" s="1472"/>
      <c r="J88" s="1472">
        <f>J86-J87</f>
        <v>18800.736897062307</v>
      </c>
      <c r="K88" s="1472"/>
      <c r="L88" s="1472">
        <f>L86-L87</f>
        <v>19198.970687700086</v>
      </c>
      <c r="M88" s="1472"/>
      <c r="N88" s="1472">
        <f>N86-N87</f>
        <v>19605.639794085</v>
      </c>
      <c r="O88" s="1472"/>
      <c r="P88" s="1472">
        <f t="shared" ref="P88" si="52">P86-P87</f>
        <v>20020.92289154153</v>
      </c>
      <c r="Q88" s="1472"/>
      <c r="R88" s="1472">
        <f t="shared" ref="R88" si="53">R86-R87</f>
        <v>20445.002440062381</v>
      </c>
      <c r="S88" s="1472"/>
      <c r="T88" s="1472">
        <f t="shared" ref="T88" si="54">T86-T87</f>
        <v>20878.064764474606</v>
      </c>
      <c r="U88" s="1472"/>
      <c r="V88" s="1472">
        <f t="shared" ref="V88" si="55">V86-V87</f>
        <v>21320.300136303937</v>
      </c>
      <c r="W88" s="1472"/>
      <c r="X88" s="1472">
        <f t="shared" ref="X88:Z88" si="56">X86-X87</f>
        <v>21771.902857372916</v>
      </c>
      <c r="Y88" s="1473"/>
      <c r="Z88" s="1473">
        <f t="shared" si="56"/>
        <v>22233.071345169999</v>
      </c>
      <c r="AA88" s="1223"/>
    </row>
    <row r="89" spans="1:27" x14ac:dyDescent="0.2">
      <c r="A89" s="1621" t="s">
        <v>380</v>
      </c>
    </row>
    <row r="91" spans="1:27" ht="17" thickBot="1" x14ac:dyDescent="0.25"/>
    <row r="92" spans="1:27" ht="20" thickBot="1" x14ac:dyDescent="0.3">
      <c r="A92" s="2000" t="s">
        <v>381</v>
      </c>
      <c r="B92" s="2001"/>
      <c r="C92" s="2001"/>
      <c r="D92" s="2001"/>
      <c r="E92" s="2002"/>
      <c r="F92" s="2017">
        <v>2026</v>
      </c>
      <c r="G92" s="2013"/>
      <c r="H92" s="2013">
        <v>2027</v>
      </c>
      <c r="I92" s="2013"/>
      <c r="J92" s="2013">
        <v>2028</v>
      </c>
      <c r="K92" s="2013"/>
      <c r="L92" s="2013">
        <v>2029</v>
      </c>
      <c r="M92" s="2013"/>
      <c r="N92" s="2013">
        <v>2030</v>
      </c>
      <c r="O92" s="2013"/>
      <c r="P92" s="2013">
        <v>2031</v>
      </c>
      <c r="Q92" s="2013"/>
      <c r="R92" s="2013">
        <v>2032</v>
      </c>
      <c r="S92" s="2013"/>
      <c r="T92" s="2013">
        <v>2033</v>
      </c>
      <c r="U92" s="2013"/>
      <c r="V92" s="2013">
        <v>2034</v>
      </c>
      <c r="W92" s="2013"/>
      <c r="X92" s="2013">
        <v>2035</v>
      </c>
      <c r="Y92" s="2013"/>
      <c r="Z92" s="2013">
        <v>2036</v>
      </c>
      <c r="AA92" s="2013"/>
    </row>
    <row r="93" spans="1:27" x14ac:dyDescent="0.2">
      <c r="C93" s="1992" t="s">
        <v>382</v>
      </c>
      <c r="D93" s="1992"/>
      <c r="E93" s="1992"/>
      <c r="F93" s="2016">
        <f>SUM(F15:G15,F30:G30,F44:G44,F58:G58,F72:G72,F86:G86)</f>
        <v>2161878.650723781</v>
      </c>
      <c r="G93" s="2015"/>
      <c r="H93" s="2015">
        <f>SUM(H15:I15,H30:I30,H44:I44,H58:I58,H72:I72,H86:I86)</f>
        <v>2187636.7646404919</v>
      </c>
      <c r="I93" s="2015"/>
      <c r="J93" s="2015">
        <f>SUM(J15:K15,J30:K30,J44:K44,J58:K58,J72:K72,J86:K86)</f>
        <v>2529748.7590051051</v>
      </c>
      <c r="K93" s="2015"/>
      <c r="L93" s="2015">
        <f>SUM(L15:M15,L30:M30,L44:M44,L58:M58,L72:M72,L86:M86)</f>
        <v>2640965.303176885</v>
      </c>
      <c r="M93" s="2015"/>
      <c r="N93" s="2015">
        <f>SUM(N15:O15,N30:O30,N44:O44,N58:O58,N72:O72,N86:O86)</f>
        <v>2722401.90966288</v>
      </c>
      <c r="O93" s="2015"/>
      <c r="P93" s="2015">
        <f>SUM(P15:Q15,P30:Q30,P44:Q44,P58:Q58,P72:Q72,P86:Q86)</f>
        <v>2781272.1327282269</v>
      </c>
      <c r="Q93" s="2015"/>
      <c r="R93" s="2015">
        <f>SUM(R15:S15,R30:S30,R44:S44,R58:S58,R72:S72,R86:S86)</f>
        <v>2842006.0470747761</v>
      </c>
      <c r="S93" s="2015"/>
      <c r="T93" s="2015">
        <f>SUM(T15:U15,T30:U30,T44:U44,T58:U58,T72:U72,T86:U86)</f>
        <v>2900344.8057462312</v>
      </c>
      <c r="U93" s="2015"/>
      <c r="V93" s="2015">
        <f>SUM(V15:W15,V30:W30,V44:W44,V58:W58,V72:W72,V86:W86)</f>
        <v>2961779.3820861289</v>
      </c>
      <c r="W93" s="2015"/>
      <c r="X93" s="2015">
        <f>SUM(X15:Y15,X30:Y30,X44:Y44,X58:Y58,X72:Y72,X86:Y86)</f>
        <v>3024515.2544521354</v>
      </c>
      <c r="Y93" s="2015"/>
      <c r="Z93" s="2015">
        <f>SUM(Z15:AA15,Z30:AA30,Z44:AA44,Z58:AA58,Z72:AA72,Z86:AA86)</f>
        <v>3090560.8054222022</v>
      </c>
      <c r="AA93" s="2015"/>
    </row>
    <row r="94" spans="1:27" ht="17" thickBot="1" x14ac:dyDescent="0.25">
      <c r="C94" s="1994" t="s">
        <v>383</v>
      </c>
      <c r="D94" s="1994"/>
      <c r="E94" s="1994"/>
      <c r="F94" s="1225">
        <f>SUM(F16:G16,F31:G31,F45:G45,F59:G59,F73:G73,F87:G87)</f>
        <v>1648299.1675653914</v>
      </c>
      <c r="G94" s="1226">
        <f>F94/F93</f>
        <v>0.76243833899444502</v>
      </c>
      <c r="H94" s="1225">
        <f>SUM(H16:I16,H31:I31,H45:I45,H59:I59,H73:I73,H87:I87)</f>
        <v>1663830.6648453944</v>
      </c>
      <c r="I94" s="1226">
        <f>H94/H93</f>
        <v>0.76056075292683345</v>
      </c>
      <c r="J94" s="1225">
        <f t="shared" ref="J94" si="57">SUM(J16:K16,J31:K31,J45:K45,J59:K59,J73:K73,J87:K87)</f>
        <v>1917987.5441331537</v>
      </c>
      <c r="K94" s="1226">
        <f t="shared" ref="K94" si="58">J94/J93</f>
        <v>0.75817313371761719</v>
      </c>
      <c r="L94" s="1225">
        <f t="shared" ref="L94" si="59">SUM(L16:M16,L31:M31,L45:M45,L59:M59,L73:M73,L87:M87)</f>
        <v>1997112.0939977607</v>
      </c>
      <c r="M94" s="1226">
        <f t="shared" ref="M94" si="60">L94/L93</f>
        <v>0.75620535097351838</v>
      </c>
      <c r="N94" s="1225">
        <f t="shared" ref="N94" si="61">SUM(N16:O16,N31:O31,N45:O45,N59:O59,N73:O73,N87:O87)</f>
        <v>2056445.993880752</v>
      </c>
      <c r="O94" s="1226">
        <f t="shared" ref="O94" si="62">N94/N93</f>
        <v>0.75537927981229103</v>
      </c>
      <c r="P94" s="1225">
        <f t="shared" ref="P94" si="63">SUM(P16:Q16,P31:Q31,P45:Q45,P59:Q59,P73:Q73,P87:Q87)</f>
        <v>2100810.0659562806</v>
      </c>
      <c r="Q94" s="1226">
        <f t="shared" ref="Q94" si="64">P94/P93</f>
        <v>0.75534142856259723</v>
      </c>
      <c r="R94" s="1225">
        <f t="shared" ref="R94" si="65">SUM(R16:S16,R31:S31,R45:S45,R59:S59,R73:S73,R87:S87)</f>
        <v>2146525.8139708177</v>
      </c>
      <c r="S94" s="1226">
        <f>R94/R93</f>
        <v>0.75528544922703345</v>
      </c>
      <c r="T94" s="1225">
        <f t="shared" ref="T94" si="66">SUM(T16:U16,T31:U31,T45:U45,T59:U59,T73:U73,T87:U87)</f>
        <v>2190750.5888964674</v>
      </c>
      <c r="U94" s="1226">
        <f>T94/T93</f>
        <v>0.75534142856259745</v>
      </c>
      <c r="V94" s="1225">
        <f t="shared" ref="V94" si="67">SUM(V16:W16,V31:W31,V45:W45,V59:W59,V73:W73,V87:W87)</f>
        <v>2237154.6695521837</v>
      </c>
      <c r="W94" s="1226">
        <f t="shared" ref="W94" si="68">V94/V93</f>
        <v>0.75534142856259745</v>
      </c>
      <c r="X94" s="1225">
        <f t="shared" ref="X94:Z94" si="69">SUM(X16:Y16,X31:Y31,X45:Y45,X59:Y59,X73:Y73,X87:Y87)</f>
        <v>2284541.6730072433</v>
      </c>
      <c r="Y94" s="1226">
        <f t="shared" ref="Y94" si="70">X94/X93</f>
        <v>0.75534142856259723</v>
      </c>
      <c r="Z94" s="1225">
        <f t="shared" si="69"/>
        <v>2334255.6062867697</v>
      </c>
      <c r="AA94" s="1226">
        <f t="shared" ref="AA94" si="71">Z94/Z93</f>
        <v>0.75528544922703322</v>
      </c>
    </row>
    <row r="95" spans="1:27" x14ac:dyDescent="0.2">
      <c r="C95" s="1993" t="s">
        <v>384</v>
      </c>
      <c r="D95" s="1993"/>
      <c r="E95" s="1993"/>
      <c r="F95" s="1999">
        <f>SUM(F17:G17,F32:G32,F46:G46,F60:G60,F74:G74,F88:G88)</f>
        <v>513579.48315838969</v>
      </c>
      <c r="G95" s="1991"/>
      <c r="H95" s="1990">
        <f t="shared" ref="H95" si="72">SUM(H17:I17,H32:I32,H46:I46,H60:I60,H74:I74,H88:I88)</f>
        <v>523806.09979509778</v>
      </c>
      <c r="I95" s="1991"/>
      <c r="J95" s="1990">
        <f t="shared" ref="J95" si="73">SUM(J17:K17,J32:K32,J46:K46,J60:K60,J74:K74,J88:K88)</f>
        <v>611761.21487195103</v>
      </c>
      <c r="K95" s="1991"/>
      <c r="L95" s="1990">
        <f t="shared" ref="L95" si="74">SUM(L17:M17,L32:M32,L46:M46,L60:M60,L74:M74,L88:M88)</f>
        <v>643853.20917912445</v>
      </c>
      <c r="M95" s="1991"/>
      <c r="N95" s="1990">
        <f t="shared" ref="N95" si="75">SUM(N17:O17,N32:O32,N46:O46,N60:O60,N74:O74,N88:O88)</f>
        <v>665955.91578212776</v>
      </c>
      <c r="O95" s="1991"/>
      <c r="P95" s="1990">
        <f t="shared" ref="P95" si="76">SUM(P17:Q17,P32:Q32,P46:Q46,P60:Q60,P74:Q74,P88:Q88)</f>
        <v>680462.06677194627</v>
      </c>
      <c r="Q95" s="1991"/>
      <c r="R95" s="1990">
        <f t="shared" ref="R95" si="77">SUM(R17:S17,R32:S32,R46:S46,R60:S60,R74:S74,R88:S88)</f>
        <v>695480.23310395866</v>
      </c>
      <c r="S95" s="1991"/>
      <c r="T95" s="1990">
        <f t="shared" ref="T95" si="78">SUM(T17:U17,T32:U32,T46:U46,T60:U60,T74:U74,T88:U88)</f>
        <v>709594.21684976423</v>
      </c>
      <c r="U95" s="1991"/>
      <c r="V95" s="1990">
        <f t="shared" ref="V95" si="79">SUM(V17:W17,V32:W32,V46:W46,V60:W60,V74:W74,V88:W88)</f>
        <v>724624.71253394545</v>
      </c>
      <c r="W95" s="1991"/>
      <c r="X95" s="1990">
        <f t="shared" ref="X95:Z95" si="80">SUM(X17:Y17,X32:Y32,X46:Y46,X60:Y60,X74:Y74,X88:Y88)</f>
        <v>739973.58144489187</v>
      </c>
      <c r="Y95" s="1991"/>
      <c r="Z95" s="1990">
        <f t="shared" si="80"/>
        <v>756305.19913543237</v>
      </c>
      <c r="AA95" s="1991"/>
    </row>
  </sheetData>
  <mergeCells count="101">
    <mergeCell ref="Z93:AA93"/>
    <mergeCell ref="P93:Q93"/>
    <mergeCell ref="R93:S93"/>
    <mergeCell ref="T93:U93"/>
    <mergeCell ref="V93:W93"/>
    <mergeCell ref="X93:Y93"/>
    <mergeCell ref="P92:Q92"/>
    <mergeCell ref="R92:S92"/>
    <mergeCell ref="F93:G93"/>
    <mergeCell ref="H93:I93"/>
    <mergeCell ref="J93:K93"/>
    <mergeCell ref="L93:M93"/>
    <mergeCell ref="N93:O93"/>
    <mergeCell ref="F92:G92"/>
    <mergeCell ref="H92:I92"/>
    <mergeCell ref="J92:K92"/>
    <mergeCell ref="L92:M92"/>
    <mergeCell ref="N92:O92"/>
    <mergeCell ref="Z2:AA2"/>
    <mergeCell ref="Z7:AA7"/>
    <mergeCell ref="Z92:AA92"/>
    <mergeCell ref="T7:U7"/>
    <mergeCell ref="V7:W7"/>
    <mergeCell ref="X7:Y7"/>
    <mergeCell ref="T92:U92"/>
    <mergeCell ref="V92:W92"/>
    <mergeCell ref="X92:Y92"/>
    <mergeCell ref="V2:W2"/>
    <mergeCell ref="X2:Y2"/>
    <mergeCell ref="R2:S2"/>
    <mergeCell ref="T2:U2"/>
    <mergeCell ref="F2:G2"/>
    <mergeCell ref="H2:I2"/>
    <mergeCell ref="J2:K2"/>
    <mergeCell ref="E1:F1"/>
    <mergeCell ref="G1:H1"/>
    <mergeCell ref="A1:D1"/>
    <mergeCell ref="A50:E50"/>
    <mergeCell ref="R7:S7"/>
    <mergeCell ref="L2:M2"/>
    <mergeCell ref="N2:O2"/>
    <mergeCell ref="P2:Q2"/>
    <mergeCell ref="J7:K7"/>
    <mergeCell ref="L7:M7"/>
    <mergeCell ref="N7:O7"/>
    <mergeCell ref="P7:Q7"/>
    <mergeCell ref="J8:K8"/>
    <mergeCell ref="A92:E92"/>
    <mergeCell ref="A5:A6"/>
    <mergeCell ref="B5:B6"/>
    <mergeCell ref="A64:E64"/>
    <mergeCell ref="A7:E7"/>
    <mergeCell ref="A22:E22"/>
    <mergeCell ref="A36:E36"/>
    <mergeCell ref="A78:E78"/>
    <mergeCell ref="H7:I7"/>
    <mergeCell ref="H8:I8"/>
    <mergeCell ref="F8:G8"/>
    <mergeCell ref="A12:A16"/>
    <mergeCell ref="F95:G95"/>
    <mergeCell ref="H95:I95"/>
    <mergeCell ref="J95:K95"/>
    <mergeCell ref="L95:M95"/>
    <mergeCell ref="N95:O95"/>
    <mergeCell ref="P95:Q95"/>
    <mergeCell ref="R95:S95"/>
    <mergeCell ref="T95:U95"/>
    <mergeCell ref="V95:W95"/>
    <mergeCell ref="X95:Y95"/>
    <mergeCell ref="Z95:AA95"/>
    <mergeCell ref="C93:E93"/>
    <mergeCell ref="C95:E95"/>
    <mergeCell ref="C94:E94"/>
    <mergeCell ref="F5:G5"/>
    <mergeCell ref="H5:I5"/>
    <mergeCell ref="J5:K5"/>
    <mergeCell ref="L5:M5"/>
    <mergeCell ref="N5:O5"/>
    <mergeCell ref="P5:Q5"/>
    <mergeCell ref="R5:S5"/>
    <mergeCell ref="T5:U5"/>
    <mergeCell ref="V5:W5"/>
    <mergeCell ref="X5:Y5"/>
    <mergeCell ref="Z5:AA5"/>
    <mergeCell ref="Z8:AA8"/>
    <mergeCell ref="X8:Y8"/>
    <mergeCell ref="V8:W8"/>
    <mergeCell ref="T8:U8"/>
    <mergeCell ref="R8:S8"/>
    <mergeCell ref="P8:Q8"/>
    <mergeCell ref="N8:O8"/>
    <mergeCell ref="L8:M8"/>
    <mergeCell ref="AC49:AE49"/>
    <mergeCell ref="AF49:AK49"/>
    <mergeCell ref="AC48:AK48"/>
    <mergeCell ref="AG30:AH30"/>
    <mergeCell ref="AC32:AC36"/>
    <mergeCell ref="AC37:AC41"/>
    <mergeCell ref="AC42:AC43"/>
    <mergeCell ref="AC44:AC46"/>
    <mergeCell ref="AC29:AH29"/>
  </mergeCells>
  <phoneticPr fontId="67" type="noConversion"/>
  <hyperlinks>
    <hyperlink ref="C5" r:id="rId1" xr:uid="{6CAAE5D3-B63C-BE4A-970F-12E6EC110FE3}"/>
    <hyperlink ref="A89" r:id="rId2" xr:uid="{A43043EF-F2A9-5D49-94B3-C0E53DBCDBFA}"/>
    <hyperlink ref="A43" r:id="rId3" xr:uid="{DAF206EC-55A9-174D-8AEA-52EE8F8A7C8F}"/>
  </hyperlinks>
  <pageMargins left="0.7" right="0.7" top="0.75" bottom="0.75" header="0.3" footer="0.3"/>
  <pageSetup paperSize="9" orientation="portrait" horizontalDpi="0" verticalDpi="0"/>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95A06-C543-2E47-BC3F-56964CC5B536}">
  <sheetPr>
    <tabColor theme="3" tint="0.249977111117893"/>
  </sheetPr>
  <dimension ref="A1:CY319"/>
  <sheetViews>
    <sheetView showGridLines="0" topLeftCell="I79" zoomScale="115" zoomScaleNormal="75" workbookViewId="0">
      <selection activeCell="K36" sqref="K36"/>
    </sheetView>
  </sheetViews>
  <sheetFormatPr baseColWidth="10" defaultColWidth="11" defaultRowHeight="16" x14ac:dyDescent="0.2"/>
  <cols>
    <col min="1" max="1" width="11" style="222"/>
    <col min="2" max="2" width="50.33203125" style="222" bestFit="1" customWidth="1"/>
    <col min="3" max="3" width="14.6640625" style="222" bestFit="1" customWidth="1"/>
    <col min="4" max="4" width="15.83203125" style="222" bestFit="1" customWidth="1"/>
    <col min="5" max="5" width="14.83203125" style="222" bestFit="1" customWidth="1"/>
    <col min="6" max="6" width="30.5" style="222" customWidth="1"/>
    <col min="7" max="7" width="15.83203125" style="222" bestFit="1" customWidth="1"/>
    <col min="8" max="8" width="18.5" style="222" bestFit="1" customWidth="1"/>
    <col min="9" max="9" width="20.83203125" style="222" bestFit="1" customWidth="1"/>
    <col min="10" max="10" width="15.33203125" style="222" customWidth="1"/>
    <col min="11" max="11" width="66.1640625" style="222" bestFit="1" customWidth="1"/>
    <col min="12" max="12" width="15.1640625" style="222" customWidth="1"/>
    <col min="13" max="13" width="22.83203125" style="222" bestFit="1" customWidth="1"/>
    <col min="14" max="14" width="14.1640625" style="222" customWidth="1"/>
    <col min="15" max="15" width="20.5" style="222" bestFit="1" customWidth="1"/>
    <col min="16" max="16" width="14.5" style="222" bestFit="1" customWidth="1"/>
    <col min="17" max="17" width="12.83203125" style="222" bestFit="1" customWidth="1"/>
    <col min="18" max="18" width="14.83203125" style="222" bestFit="1" customWidth="1"/>
    <col min="19" max="19" width="25.83203125" style="222" bestFit="1" customWidth="1"/>
    <col min="20" max="20" width="56.83203125" style="222" bestFit="1" customWidth="1"/>
    <col min="21" max="21" width="19.5" style="222" bestFit="1" customWidth="1"/>
    <col min="22" max="22" width="20.83203125" style="222" bestFit="1" customWidth="1"/>
    <col min="23" max="23" width="14.1640625" style="222" bestFit="1" customWidth="1"/>
    <col min="24" max="24" width="22.83203125" style="222" bestFit="1" customWidth="1"/>
    <col min="25" max="25" width="15.1640625" style="222" bestFit="1" customWidth="1"/>
    <col min="26" max="26" width="22.83203125" style="222" bestFit="1" customWidth="1"/>
    <col min="27" max="27" width="14.33203125" style="222" bestFit="1" customWidth="1"/>
    <col min="28" max="28" width="12.6640625" style="222" bestFit="1" customWidth="1"/>
    <col min="29" max="29" width="66" style="222" bestFit="1" customWidth="1"/>
    <col min="30" max="30" width="14.6640625" style="222" bestFit="1" customWidth="1"/>
    <col min="31" max="31" width="15.83203125" style="222" bestFit="1" customWidth="1"/>
    <col min="32" max="32" width="14.1640625" style="222" bestFit="1" customWidth="1"/>
    <col min="33" max="33" width="12.83203125" style="222" bestFit="1" customWidth="1"/>
    <col min="34" max="34" width="11.83203125" style="222" bestFit="1" customWidth="1"/>
    <col min="35" max="35" width="12.5" style="222" bestFit="1" customWidth="1"/>
    <col min="36" max="36" width="14.33203125" style="222" bestFit="1" customWidth="1"/>
    <col min="37" max="37" width="11" style="222"/>
    <col min="38" max="38" width="51.5" style="222" bestFit="1" customWidth="1"/>
    <col min="39" max="39" width="17.5" style="222" bestFit="1" customWidth="1"/>
    <col min="40" max="40" width="15.83203125" style="222" bestFit="1" customWidth="1"/>
    <col min="41" max="41" width="12.6640625" style="222" bestFit="1" customWidth="1"/>
    <col min="42" max="42" width="10.83203125" style="222" bestFit="1" customWidth="1"/>
    <col min="43" max="43" width="12.83203125" style="222" bestFit="1" customWidth="1"/>
    <col min="44" max="44" width="12.5" style="222" customWidth="1"/>
    <col min="45" max="45" width="14.33203125" style="222" bestFit="1" customWidth="1"/>
    <col min="46" max="46" width="13" style="222" bestFit="1" customWidth="1"/>
    <col min="47" max="47" width="46.1640625" style="222" bestFit="1" customWidth="1"/>
    <col min="48" max="48" width="12.6640625" style="222" customWidth="1"/>
    <col min="49" max="49" width="15.6640625" style="222" bestFit="1" customWidth="1"/>
    <col min="50" max="50" width="14.33203125" style="222" bestFit="1" customWidth="1"/>
    <col min="51" max="51" width="11.83203125" style="222" customWidth="1"/>
    <col min="52" max="52" width="11.83203125" style="222" bestFit="1" customWidth="1"/>
    <col min="53" max="54" width="14.33203125" style="222" bestFit="1" customWidth="1"/>
    <col min="55" max="56" width="11.33203125" style="222" bestFit="1" customWidth="1"/>
    <col min="57" max="57" width="11" style="222"/>
    <col min="58" max="58" width="13.83203125" style="222" bestFit="1" customWidth="1"/>
    <col min="59" max="59" width="9.83203125" style="222" bestFit="1" customWidth="1"/>
    <col min="60" max="60" width="13.5" style="222" customWidth="1"/>
    <col min="61" max="61" width="14.1640625" style="222" bestFit="1" customWidth="1"/>
    <col min="62" max="62" width="8.5" style="222" bestFit="1" customWidth="1"/>
    <col min="63" max="63" width="14.6640625" style="222" bestFit="1" customWidth="1"/>
    <col min="64" max="64" width="15.83203125" style="222" bestFit="1" customWidth="1"/>
    <col min="65" max="65" width="11" style="222"/>
    <col min="66" max="66" width="14.1640625" style="222" bestFit="1" customWidth="1"/>
    <col min="67" max="67" width="12.5" style="222" bestFit="1" customWidth="1"/>
    <col min="68" max="68" width="13" style="222" bestFit="1" customWidth="1"/>
    <col min="69" max="69" width="11" style="222"/>
    <col min="70" max="71" width="14.33203125" style="222" bestFit="1" customWidth="1"/>
    <col min="72" max="72" width="11" style="222" customWidth="1"/>
    <col min="73" max="73" width="11" style="222"/>
    <col min="75" max="75" width="19" bestFit="1" customWidth="1"/>
    <col min="76" max="77" width="15.83203125" bestFit="1" customWidth="1"/>
    <col min="78" max="78" width="16.33203125" customWidth="1"/>
    <col min="79" max="79" width="14.5" bestFit="1" customWidth="1"/>
    <col min="80" max="80" width="12" customWidth="1"/>
    <col min="81" max="81" width="20.1640625" customWidth="1"/>
    <col min="83" max="83" width="14.33203125" bestFit="1" customWidth="1"/>
    <col min="86" max="103" width="11" style="222"/>
  </cols>
  <sheetData>
    <row r="1" spans="1:28" ht="35" thickBot="1" x14ac:dyDescent="0.25">
      <c r="A1" s="1900" t="s">
        <v>385</v>
      </c>
      <c r="B1" s="1901"/>
      <c r="AB1" s="567"/>
    </row>
    <row r="3" spans="1:28" x14ac:dyDescent="0.2">
      <c r="AB3" s="567"/>
    </row>
    <row r="5" spans="1:28" ht="17" thickBot="1" x14ac:dyDescent="0.25">
      <c r="N5" s="567"/>
      <c r="AB5" s="567"/>
    </row>
    <row r="6" spans="1:28" ht="17" thickBot="1" x14ac:dyDescent="0.25">
      <c r="Q6" s="295"/>
      <c r="R6" s="295"/>
      <c r="S6" s="2036" t="s">
        <v>386</v>
      </c>
      <c r="T6" s="2037"/>
      <c r="U6" s="2037"/>
      <c r="V6" s="2037"/>
      <c r="W6" s="2038"/>
      <c r="X6" s="2034" t="s">
        <v>387</v>
      </c>
      <c r="Y6" s="2034"/>
      <c r="Z6" s="2034"/>
      <c r="AA6" s="2034"/>
      <c r="AB6" s="2035"/>
    </row>
    <row r="7" spans="1:28" ht="17" thickBot="1" x14ac:dyDescent="0.25">
      <c r="B7" s="1285" t="s">
        <v>388</v>
      </c>
      <c r="C7" s="1237" t="s">
        <v>203</v>
      </c>
      <c r="D7" s="1237" t="s">
        <v>389</v>
      </c>
      <c r="E7" s="1237" t="s">
        <v>390</v>
      </c>
      <c r="F7" s="1285" t="s">
        <v>391</v>
      </c>
      <c r="G7" s="1237" t="s">
        <v>392</v>
      </c>
      <c r="H7" s="1237" t="s">
        <v>393</v>
      </c>
      <c r="I7" s="1237" t="s">
        <v>394</v>
      </c>
      <c r="J7" s="1237" t="s">
        <v>395</v>
      </c>
      <c r="K7" s="1237" t="s">
        <v>396</v>
      </c>
      <c r="L7" s="1237" t="s">
        <v>397</v>
      </c>
      <c r="M7" s="1285" t="s">
        <v>398</v>
      </c>
      <c r="N7" s="567"/>
      <c r="O7" s="1299" t="s">
        <v>399</v>
      </c>
      <c r="P7" s="1300" t="s">
        <v>400</v>
      </c>
      <c r="Q7" s="1300" t="s">
        <v>401</v>
      </c>
      <c r="R7" s="1300" t="s">
        <v>402</v>
      </c>
      <c r="S7" s="1299" t="s">
        <v>403</v>
      </c>
      <c r="T7" s="1300" t="s">
        <v>404</v>
      </c>
      <c r="U7" s="1300" t="s">
        <v>405</v>
      </c>
      <c r="V7" s="1300" t="s">
        <v>406</v>
      </c>
      <c r="W7" s="1301" t="s">
        <v>407</v>
      </c>
      <c r="X7" s="1300" t="s">
        <v>403</v>
      </c>
      <c r="Y7" s="1300" t="s">
        <v>404</v>
      </c>
      <c r="Z7" s="1300" t="s">
        <v>405</v>
      </c>
      <c r="AA7" s="1300" t="s">
        <v>406</v>
      </c>
      <c r="AB7" s="1301" t="s">
        <v>407</v>
      </c>
    </row>
    <row r="8" spans="1:28" x14ac:dyDescent="0.2">
      <c r="B8" s="1762" t="s">
        <v>408</v>
      </c>
      <c r="C8" s="1763">
        <f>E84+R8*30</f>
        <v>37264.319999999992</v>
      </c>
      <c r="D8" s="226">
        <f>F84</f>
        <v>11982.949737742303</v>
      </c>
      <c r="E8" s="1763">
        <f>G84</f>
        <v>18596.334047890534</v>
      </c>
      <c r="F8" s="1764">
        <f>SUM(C8:E8)</f>
        <v>67843.603785632833</v>
      </c>
      <c r="G8" s="225">
        <f>F8*10%</f>
        <v>6784.360378563284</v>
      </c>
      <c r="H8" s="225">
        <f>C8*15%</f>
        <v>5589.6479999999983</v>
      </c>
      <c r="I8" s="225">
        <f>E8*15%</f>
        <v>2789.4501071835798</v>
      </c>
      <c r="J8" s="225">
        <f>F8*16.8797%</f>
        <v>11451.796788203466</v>
      </c>
      <c r="K8" s="225">
        <f t="shared" ref="K8:K26" si="0">F8*6%</f>
        <v>4070.6162271379699</v>
      </c>
      <c r="L8" s="225">
        <f>F8*10%</f>
        <v>6784.360378563284</v>
      </c>
      <c r="M8" s="294">
        <f>SUM(F8:L8)</f>
        <v>105313.83566528444</v>
      </c>
      <c r="O8" s="1295" t="s">
        <v>408</v>
      </c>
      <c r="P8" s="222">
        <v>15</v>
      </c>
      <c r="Q8" s="222">
        <v>18</v>
      </c>
      <c r="R8" s="222">
        <f t="shared" ref="R8:R14" si="1">P8*Q8</f>
        <v>270</v>
      </c>
      <c r="S8" s="284">
        <v>0</v>
      </c>
      <c r="T8" s="222">
        <v>4</v>
      </c>
      <c r="U8" s="222">
        <v>4</v>
      </c>
      <c r="V8" s="222">
        <v>4</v>
      </c>
      <c r="W8" s="250">
        <v>3</v>
      </c>
      <c r="X8" s="222">
        <f>$Q8*S8</f>
        <v>0</v>
      </c>
      <c r="Y8" s="222">
        <f t="shared" ref="Y8:AB8" si="2">$Q8*T8</f>
        <v>72</v>
      </c>
      <c r="Z8" s="222">
        <f t="shared" si="2"/>
        <v>72</v>
      </c>
      <c r="AA8" s="222">
        <f t="shared" si="2"/>
        <v>72</v>
      </c>
      <c r="AB8" s="250">
        <f t="shared" si="2"/>
        <v>54</v>
      </c>
    </row>
    <row r="9" spans="1:28" x14ac:dyDescent="0.2">
      <c r="B9" s="1305" t="s">
        <v>409</v>
      </c>
      <c r="C9" s="226">
        <f>E111+R9*30</f>
        <v>139120.12800000003</v>
      </c>
      <c r="D9" s="226">
        <f>F111</f>
        <v>44736.345687571251</v>
      </c>
      <c r="E9" s="226">
        <f>G111</f>
        <v>69426.313778791344</v>
      </c>
      <c r="F9" s="294">
        <f t="shared" ref="F9:F25" si="3">SUM(C9:E9)</f>
        <v>253282.78746636261</v>
      </c>
      <c r="G9" s="225">
        <f t="shared" ref="G9:G26" si="4">F9*10%</f>
        <v>25328.278746636264</v>
      </c>
      <c r="H9" s="225">
        <f t="shared" ref="H9:H26" si="5">C9*15%</f>
        <v>20868.019200000002</v>
      </c>
      <c r="I9" s="225">
        <f>E9*15%</f>
        <v>10413.9470668187</v>
      </c>
      <c r="J9" s="225">
        <f t="shared" ref="J9:J26" si="6">F9*16.8797%</f>
        <v>42753.374675959611</v>
      </c>
      <c r="K9" s="225">
        <f t="shared" si="0"/>
        <v>15196.967247981756</v>
      </c>
      <c r="L9" s="225">
        <f t="shared" ref="L9:L26" si="7">F9*10%</f>
        <v>25328.278746636264</v>
      </c>
      <c r="M9" s="294">
        <f t="shared" ref="M9:M26" si="8">SUM(F9:L9)</f>
        <v>393171.65315039526</v>
      </c>
      <c r="N9" s="567"/>
      <c r="O9" s="1296" t="s">
        <v>409</v>
      </c>
      <c r="P9" s="222">
        <v>42</v>
      </c>
      <c r="Q9" s="222">
        <v>24</v>
      </c>
      <c r="R9" s="222">
        <f t="shared" si="1"/>
        <v>1008</v>
      </c>
      <c r="S9" s="284">
        <v>8</v>
      </c>
      <c r="T9" s="222">
        <v>8</v>
      </c>
      <c r="U9" s="222">
        <v>9</v>
      </c>
      <c r="V9" s="222">
        <v>9</v>
      </c>
      <c r="W9" s="250">
        <v>8</v>
      </c>
      <c r="X9" s="222">
        <f t="shared" ref="X9:X14" si="9">$Q9*S9</f>
        <v>192</v>
      </c>
      <c r="Y9" s="222">
        <f t="shared" ref="Y9:Y14" si="10">$Q9*T9</f>
        <v>192</v>
      </c>
      <c r="Z9" s="222">
        <f t="shared" ref="Z9:Z14" si="11">$Q9*U9</f>
        <v>216</v>
      </c>
      <c r="AA9" s="222">
        <f t="shared" ref="AA9:AA14" si="12">$Q9*V9</f>
        <v>216</v>
      </c>
      <c r="AB9" s="250">
        <f t="shared" ref="AB9:AB14" si="13">$Q9*W9</f>
        <v>192</v>
      </c>
    </row>
    <row r="10" spans="1:28" x14ac:dyDescent="0.2">
      <c r="B10" s="1305" t="s">
        <v>410</v>
      </c>
      <c r="C10" s="226">
        <f>E138+R10*30</f>
        <v>223585.91999999998</v>
      </c>
      <c r="D10" s="226">
        <f>F138</f>
        <v>71897.698426453819</v>
      </c>
      <c r="E10" s="226">
        <f>G138</f>
        <v>111578.00428734322</v>
      </c>
      <c r="F10" s="294">
        <f t="shared" si="3"/>
        <v>407061.62271379703</v>
      </c>
      <c r="G10" s="225">
        <f t="shared" si="4"/>
        <v>40706.162271379704</v>
      </c>
      <c r="H10" s="225">
        <f t="shared" si="5"/>
        <v>33537.887999999999</v>
      </c>
      <c r="I10" s="225">
        <f>E10*15%</f>
        <v>16736.700643101482</v>
      </c>
      <c r="J10" s="225">
        <f t="shared" si="6"/>
        <v>68710.780729220802</v>
      </c>
      <c r="K10" s="225">
        <f t="shared" si="0"/>
        <v>24423.697362827821</v>
      </c>
      <c r="L10" s="225">
        <f t="shared" si="7"/>
        <v>40706.162271379704</v>
      </c>
      <c r="M10" s="294">
        <f>SUM(F10:L10)</f>
        <v>631883.01399170654</v>
      </c>
      <c r="O10" s="1296" t="s">
        <v>410</v>
      </c>
      <c r="P10" s="222">
        <v>54</v>
      </c>
      <c r="Q10" s="222">
        <v>30</v>
      </c>
      <c r="R10" s="222">
        <f t="shared" si="1"/>
        <v>1620</v>
      </c>
      <c r="S10" s="284">
        <v>0</v>
      </c>
      <c r="T10" s="222">
        <v>14</v>
      </c>
      <c r="U10" s="222">
        <v>13</v>
      </c>
      <c r="V10" s="222">
        <v>13</v>
      </c>
      <c r="W10" s="250">
        <v>14</v>
      </c>
      <c r="X10" s="222">
        <f t="shared" si="9"/>
        <v>0</v>
      </c>
      <c r="Y10" s="222">
        <f t="shared" si="10"/>
        <v>420</v>
      </c>
      <c r="Z10" s="222">
        <f t="shared" si="11"/>
        <v>390</v>
      </c>
      <c r="AA10" s="222">
        <f t="shared" si="12"/>
        <v>390</v>
      </c>
      <c r="AB10" s="250">
        <f t="shared" si="13"/>
        <v>420</v>
      </c>
    </row>
    <row r="11" spans="1:28" ht="14" customHeight="1" x14ac:dyDescent="0.25">
      <c r="B11" s="1305" t="s">
        <v>411</v>
      </c>
      <c r="C11" s="226">
        <f>E165+R11*30</f>
        <v>96546.902654867255</v>
      </c>
      <c r="D11" s="226">
        <f>F165</f>
        <v>31237.709407574093</v>
      </c>
      <c r="E11" s="226">
        <f>G165</f>
        <v>48477.786500640759</v>
      </c>
      <c r="F11" s="294">
        <f t="shared" si="3"/>
        <v>176262.3985630821</v>
      </c>
      <c r="G11" s="225">
        <f t="shared" si="4"/>
        <v>17626.23985630821</v>
      </c>
      <c r="H11" s="225">
        <f t="shared" si="5"/>
        <v>14482.035398230088</v>
      </c>
      <c r="I11" s="225">
        <f>E11*15%</f>
        <v>7271.6679750961139</v>
      </c>
      <c r="J11" s="225">
        <f t="shared" si="6"/>
        <v>29752.56409025257</v>
      </c>
      <c r="K11" s="225">
        <f t="shared" si="0"/>
        <v>10575.743913784925</v>
      </c>
      <c r="L11" s="225">
        <f t="shared" si="7"/>
        <v>17626.23985630821</v>
      </c>
      <c r="M11" s="294">
        <f t="shared" si="8"/>
        <v>273596.88965306222</v>
      </c>
      <c r="N11" s="558"/>
      <c r="O11" s="1296" t="s">
        <v>412</v>
      </c>
      <c r="P11" s="222">
        <v>19</v>
      </c>
      <c r="Q11" s="222">
        <v>36</v>
      </c>
      <c r="R11" s="222">
        <f t="shared" si="1"/>
        <v>684</v>
      </c>
      <c r="S11" s="284">
        <v>0</v>
      </c>
      <c r="T11" s="222">
        <v>5</v>
      </c>
      <c r="U11" s="222">
        <v>5</v>
      </c>
      <c r="V11" s="222">
        <v>4</v>
      </c>
      <c r="W11" s="250">
        <v>5</v>
      </c>
      <c r="X11" s="222">
        <f t="shared" si="9"/>
        <v>0</v>
      </c>
      <c r="Y11" s="222">
        <f t="shared" si="10"/>
        <v>180</v>
      </c>
      <c r="Z11" s="222">
        <f t="shared" si="11"/>
        <v>180</v>
      </c>
      <c r="AA11" s="222">
        <f t="shared" si="12"/>
        <v>144</v>
      </c>
      <c r="AB11" s="250">
        <f t="shared" si="13"/>
        <v>180</v>
      </c>
    </row>
    <row r="12" spans="1:28" x14ac:dyDescent="0.2">
      <c r="B12" s="1305" t="s">
        <v>413</v>
      </c>
      <c r="C12" s="226">
        <f>E192+R12*30</f>
        <v>59622.912000000011</v>
      </c>
      <c r="D12" s="226">
        <f>F192</f>
        <v>19172.719580387678</v>
      </c>
      <c r="E12" s="226">
        <f>G192</f>
        <v>29754.134476624859</v>
      </c>
      <c r="F12" s="294">
        <f t="shared" si="3"/>
        <v>108549.76605701254</v>
      </c>
      <c r="G12" s="225">
        <f t="shared" si="4"/>
        <v>10854.976605701255</v>
      </c>
      <c r="H12" s="225">
        <f t="shared" si="5"/>
        <v>8943.4368000000013</v>
      </c>
      <c r="I12" s="225">
        <f t="shared" ref="I12:I25" si="14">E12*15%</f>
        <v>4463.1201714937288</v>
      </c>
      <c r="J12" s="225">
        <f t="shared" si="6"/>
        <v>18322.874861125547</v>
      </c>
      <c r="K12" s="225">
        <f t="shared" si="0"/>
        <v>6512.9859634207523</v>
      </c>
      <c r="L12" s="225">
        <f t="shared" si="7"/>
        <v>10854.976605701255</v>
      </c>
      <c r="M12" s="294">
        <f t="shared" si="8"/>
        <v>168502.13706445508</v>
      </c>
      <c r="O12" s="1296" t="s">
        <v>413</v>
      </c>
      <c r="P12" s="222">
        <v>9</v>
      </c>
      <c r="Q12" s="222">
        <v>48</v>
      </c>
      <c r="R12" s="222">
        <f t="shared" si="1"/>
        <v>432</v>
      </c>
      <c r="S12" s="284">
        <v>9</v>
      </c>
      <c r="T12" s="222">
        <v>0</v>
      </c>
      <c r="U12" s="222">
        <v>0</v>
      </c>
      <c r="V12" s="222">
        <v>0</v>
      </c>
      <c r="W12" s="250">
        <v>0</v>
      </c>
      <c r="X12" s="222">
        <f t="shared" si="9"/>
        <v>432</v>
      </c>
      <c r="Y12" s="222">
        <f t="shared" si="10"/>
        <v>0</v>
      </c>
      <c r="Z12" s="222">
        <f t="shared" si="11"/>
        <v>0</v>
      </c>
      <c r="AA12" s="222">
        <f t="shared" si="12"/>
        <v>0</v>
      </c>
      <c r="AB12" s="250">
        <f t="shared" si="13"/>
        <v>0</v>
      </c>
    </row>
    <row r="13" spans="1:28" x14ac:dyDescent="0.2">
      <c r="B13" s="1305" t="s">
        <v>414</v>
      </c>
      <c r="C13" s="226">
        <f>E219+R13*30</f>
        <v>18770.175999999999</v>
      </c>
      <c r="D13" s="226">
        <f>F219</f>
        <v>6035.8561641961232</v>
      </c>
      <c r="E13" s="226">
        <f>G219</f>
        <v>9367.0423352337511</v>
      </c>
      <c r="F13" s="294">
        <f t="shared" si="3"/>
        <v>34173.074499429873</v>
      </c>
      <c r="G13" s="225">
        <f t="shared" si="4"/>
        <v>3417.3074499429877</v>
      </c>
      <c r="H13" s="225">
        <f t="shared" si="5"/>
        <v>2815.5263999999997</v>
      </c>
      <c r="I13" s="225">
        <f t="shared" si="14"/>
        <v>1405.0563502850625</v>
      </c>
      <c r="J13" s="225">
        <f t="shared" si="6"/>
        <v>5768.3124562802641</v>
      </c>
      <c r="K13" s="225">
        <f t="shared" si="0"/>
        <v>2050.3844699657925</v>
      </c>
      <c r="L13" s="225">
        <f t="shared" si="7"/>
        <v>3417.3074499429877</v>
      </c>
      <c r="M13" s="294">
        <f t="shared" si="8"/>
        <v>53046.969075846966</v>
      </c>
      <c r="O13" s="1765" t="s">
        <v>415</v>
      </c>
      <c r="P13" s="222">
        <v>2</v>
      </c>
      <c r="Q13" s="222">
        <v>68</v>
      </c>
      <c r="R13" s="222">
        <f t="shared" si="1"/>
        <v>136</v>
      </c>
      <c r="S13" s="284">
        <v>2</v>
      </c>
      <c r="T13" s="222">
        <v>0</v>
      </c>
      <c r="U13" s="222">
        <v>0</v>
      </c>
      <c r="V13" s="222">
        <v>0</v>
      </c>
      <c r="W13" s="250">
        <v>0</v>
      </c>
      <c r="X13" s="222">
        <f t="shared" si="9"/>
        <v>136</v>
      </c>
      <c r="Y13" s="222">
        <f t="shared" si="10"/>
        <v>0</v>
      </c>
      <c r="Z13" s="222">
        <f t="shared" si="11"/>
        <v>0</v>
      </c>
      <c r="AA13" s="222">
        <f t="shared" si="12"/>
        <v>0</v>
      </c>
      <c r="AB13" s="250">
        <f t="shared" si="13"/>
        <v>0</v>
      </c>
    </row>
    <row r="14" spans="1:28" ht="17" thickBot="1" x14ac:dyDescent="0.25">
      <c r="B14" s="1306" t="s">
        <v>416</v>
      </c>
      <c r="C14" s="290">
        <f>E263+R14*30</f>
        <v>23765.720592930444</v>
      </c>
      <c r="D14" s="290">
        <f>F263</f>
        <v>1452.1016647662486</v>
      </c>
      <c r="E14" s="290">
        <f>G263</f>
        <v>9315.3238768529081</v>
      </c>
      <c r="F14" s="1286">
        <f t="shared" si="3"/>
        <v>34533.146134549599</v>
      </c>
      <c r="G14" s="291">
        <f t="shared" si="4"/>
        <v>3453.3146134549602</v>
      </c>
      <c r="H14" s="291">
        <f t="shared" si="5"/>
        <v>3564.8580889395666</v>
      </c>
      <c r="I14" s="291">
        <f t="shared" si="14"/>
        <v>1397.2985815279362</v>
      </c>
      <c r="J14" s="291">
        <f t="shared" si="6"/>
        <v>5829.0914680735686</v>
      </c>
      <c r="K14" s="291">
        <f t="shared" si="0"/>
        <v>2071.9887680729757</v>
      </c>
      <c r="L14" s="291">
        <f t="shared" si="7"/>
        <v>3453.3146134549602</v>
      </c>
      <c r="M14" s="1286">
        <f t="shared" si="8"/>
        <v>54303.012268073566</v>
      </c>
      <c r="O14" s="1297" t="s">
        <v>416</v>
      </c>
      <c r="P14" s="366">
        <v>1</v>
      </c>
      <c r="Q14" s="366">
        <v>90</v>
      </c>
      <c r="R14" s="366">
        <f t="shared" si="1"/>
        <v>90</v>
      </c>
      <c r="S14" s="1302">
        <v>1</v>
      </c>
      <c r="T14" s="366">
        <v>0</v>
      </c>
      <c r="U14" s="366">
        <v>0</v>
      </c>
      <c r="V14" s="366">
        <v>0</v>
      </c>
      <c r="W14" s="1298">
        <v>0</v>
      </c>
      <c r="X14" s="366">
        <f t="shared" si="9"/>
        <v>90</v>
      </c>
      <c r="Y14" s="366">
        <f t="shared" si="10"/>
        <v>0</v>
      </c>
      <c r="Z14" s="366">
        <f t="shared" si="11"/>
        <v>0</v>
      </c>
      <c r="AA14" s="366">
        <f t="shared" si="12"/>
        <v>0</v>
      </c>
      <c r="AB14" s="1298">
        <f t="shared" si="13"/>
        <v>0</v>
      </c>
    </row>
    <row r="15" spans="1:28" ht="21" thickTop="1" thickBot="1" x14ac:dyDescent="0.3">
      <c r="B15" s="1305" t="s">
        <v>417</v>
      </c>
      <c r="C15" s="226">
        <f>N74</f>
        <v>7777.8262713797039</v>
      </c>
      <c r="D15" s="226">
        <f>O74</f>
        <v>1451.2897149372864</v>
      </c>
      <c r="E15" s="226">
        <f>P74</f>
        <v>4315.319179019385</v>
      </c>
      <c r="F15" s="294">
        <f t="shared" si="3"/>
        <v>13544.435165336376</v>
      </c>
      <c r="G15" s="225">
        <f t="shared" si="4"/>
        <v>1354.4435165336376</v>
      </c>
      <c r="H15" s="225">
        <f t="shared" si="5"/>
        <v>1166.6739407069556</v>
      </c>
      <c r="I15" s="225">
        <f t="shared" si="14"/>
        <v>647.29787685290773</v>
      </c>
      <c r="J15" s="225">
        <f t="shared" si="6"/>
        <v>2286.2600226032841</v>
      </c>
      <c r="K15" s="225">
        <f t="shared" si="0"/>
        <v>812.66610992018252</v>
      </c>
      <c r="L15" s="225">
        <f t="shared" si="7"/>
        <v>1354.4435165336376</v>
      </c>
      <c r="M15" s="294">
        <f t="shared" si="8"/>
        <v>21166.22014848698</v>
      </c>
      <c r="N15" s="558"/>
      <c r="O15" s="1310" t="s">
        <v>418</v>
      </c>
      <c r="P15" s="1311">
        <f>SUM(P8:P14)</f>
        <v>142</v>
      </c>
      <c r="Q15" s="1311">
        <f t="shared" ref="Q15:R15" si="15">SUM(Q8:Q14)</f>
        <v>314</v>
      </c>
      <c r="R15" s="1311">
        <f t="shared" si="15"/>
        <v>4240</v>
      </c>
      <c r="S15" s="1312">
        <f t="shared" ref="S15:AB15" si="16">SUM(S8:S14)</f>
        <v>20</v>
      </c>
      <c r="T15" s="1313">
        <f>SUM(T8:T14)</f>
        <v>31</v>
      </c>
      <c r="U15" s="1313">
        <f t="shared" si="16"/>
        <v>31</v>
      </c>
      <c r="V15" s="1313">
        <f t="shared" si="16"/>
        <v>30</v>
      </c>
      <c r="W15" s="1314">
        <f t="shared" si="16"/>
        <v>30</v>
      </c>
      <c r="X15" s="1313">
        <f t="shared" si="16"/>
        <v>850</v>
      </c>
      <c r="Y15" s="1313">
        <f t="shared" si="16"/>
        <v>864</v>
      </c>
      <c r="Z15" s="1313">
        <f t="shared" si="16"/>
        <v>858</v>
      </c>
      <c r="AA15" s="1313">
        <f t="shared" si="16"/>
        <v>822</v>
      </c>
      <c r="AB15" s="1314">
        <f t="shared" si="16"/>
        <v>846</v>
      </c>
    </row>
    <row r="16" spans="1:28" x14ac:dyDescent="0.2">
      <c r="B16" s="1305" t="s">
        <v>419</v>
      </c>
      <c r="C16" s="226">
        <f>N101</f>
        <v>29037.218079817561</v>
      </c>
      <c r="D16" s="226">
        <f>O101</f>
        <v>5418.1482690992016</v>
      </c>
      <c r="E16" s="226">
        <f>P101</f>
        <v>16110.5249350057</v>
      </c>
      <c r="F16" s="294">
        <f t="shared" si="3"/>
        <v>50565.891283922465</v>
      </c>
      <c r="G16" s="225">
        <f t="shared" si="4"/>
        <v>5056.5891283922465</v>
      </c>
      <c r="H16" s="225">
        <f t="shared" si="5"/>
        <v>4355.5827119726337</v>
      </c>
      <c r="I16" s="225">
        <f t="shared" si="14"/>
        <v>2416.5787402508549</v>
      </c>
      <c r="J16" s="225">
        <f t="shared" si="6"/>
        <v>8535.3707510522599</v>
      </c>
      <c r="K16" s="225">
        <f t="shared" si="0"/>
        <v>3033.953477035348</v>
      </c>
      <c r="L16" s="225">
        <f t="shared" si="7"/>
        <v>5056.5891283922465</v>
      </c>
      <c r="M16" s="294">
        <f t="shared" si="8"/>
        <v>79020.555221018061</v>
      </c>
      <c r="AB16" s="567"/>
    </row>
    <row r="17" spans="2:26" x14ac:dyDescent="0.2">
      <c r="B17" s="1305" t="s">
        <v>420</v>
      </c>
      <c r="C17" s="226">
        <f>N128</f>
        <v>46666.957628278215</v>
      </c>
      <c r="D17" s="226">
        <f>O128</f>
        <v>8707.7382896237177</v>
      </c>
      <c r="E17" s="226">
        <f>P128</f>
        <v>25891.915074116307</v>
      </c>
      <c r="F17" s="294">
        <f t="shared" si="3"/>
        <v>81266.610992018235</v>
      </c>
      <c r="G17" s="225">
        <f t="shared" si="4"/>
        <v>8126.6610992018241</v>
      </c>
      <c r="H17" s="225">
        <f t="shared" si="5"/>
        <v>7000.0436442417322</v>
      </c>
      <c r="I17" s="225">
        <f t="shared" si="14"/>
        <v>3883.7872611174457</v>
      </c>
      <c r="J17" s="225">
        <f t="shared" si="6"/>
        <v>13717.560135619702</v>
      </c>
      <c r="K17" s="225">
        <f t="shared" si="0"/>
        <v>4875.9966595210935</v>
      </c>
      <c r="L17" s="225">
        <f t="shared" si="7"/>
        <v>8126.6610992018241</v>
      </c>
      <c r="M17" s="294">
        <f t="shared" si="8"/>
        <v>126997.32089092184</v>
      </c>
      <c r="N17" s="567"/>
    </row>
    <row r="18" spans="2:26" x14ac:dyDescent="0.2">
      <c r="B18" s="1305" t="s">
        <v>421</v>
      </c>
      <c r="C18" s="226">
        <f>N155</f>
        <v>19703.826554161918</v>
      </c>
      <c r="D18" s="226">
        <f>O155</f>
        <v>3676.6006111744587</v>
      </c>
      <c r="E18" s="226">
        <f>P155</f>
        <v>10932.141920182441</v>
      </c>
      <c r="F18" s="294">
        <f t="shared" si="3"/>
        <v>34312.569085518815</v>
      </c>
      <c r="G18" s="225">
        <f t="shared" si="4"/>
        <v>3431.2569085518817</v>
      </c>
      <c r="H18" s="225">
        <f t="shared" si="5"/>
        <v>2955.5739831242877</v>
      </c>
      <c r="I18" s="225">
        <f t="shared" si="14"/>
        <v>1639.8212880273661</v>
      </c>
      <c r="J18" s="225">
        <f t="shared" si="6"/>
        <v>5791.8587239283197</v>
      </c>
      <c r="K18" s="225">
        <f t="shared" si="0"/>
        <v>2058.754145131129</v>
      </c>
      <c r="L18" s="225">
        <f t="shared" si="7"/>
        <v>3431.2569085518817</v>
      </c>
      <c r="M18" s="294">
        <f t="shared" si="8"/>
        <v>53621.091042833687</v>
      </c>
    </row>
    <row r="19" spans="2:26" x14ac:dyDescent="0.2">
      <c r="B19" s="1305" t="s">
        <v>422</v>
      </c>
      <c r="C19" s="226">
        <f>N182</f>
        <v>12444.522034207526</v>
      </c>
      <c r="D19" s="226">
        <f>O182</f>
        <v>2322.0635438996578</v>
      </c>
      <c r="E19" s="226">
        <f>P182</f>
        <v>6904.5106864310146</v>
      </c>
      <c r="F19" s="294">
        <f t="shared" si="3"/>
        <v>21671.096264538199</v>
      </c>
      <c r="G19" s="225">
        <f t="shared" si="4"/>
        <v>2167.1096264538201</v>
      </c>
      <c r="H19" s="225">
        <f t="shared" si="5"/>
        <v>1866.6783051311288</v>
      </c>
      <c r="I19" s="225">
        <f t="shared" si="14"/>
        <v>1035.6766029646521</v>
      </c>
      <c r="J19" s="225">
        <f t="shared" si="6"/>
        <v>3658.0160361652543</v>
      </c>
      <c r="K19" s="225">
        <f t="shared" si="0"/>
        <v>1300.2657758722919</v>
      </c>
      <c r="L19" s="225">
        <f t="shared" si="7"/>
        <v>2167.1096264538201</v>
      </c>
      <c r="M19" s="294">
        <f t="shared" si="8"/>
        <v>33865.952237579171</v>
      </c>
      <c r="N19" s="567"/>
    </row>
    <row r="20" spans="2:26" x14ac:dyDescent="0.2">
      <c r="B20" s="1305" t="s">
        <v>423</v>
      </c>
      <c r="C20" s="226">
        <f>N209</f>
        <v>3917.7198996579255</v>
      </c>
      <c r="D20" s="226">
        <f>O209</f>
        <v>731.02000456100336</v>
      </c>
      <c r="E20" s="226">
        <f>P209</f>
        <v>2173.6422531356898</v>
      </c>
      <c r="F20" s="294">
        <f t="shared" si="3"/>
        <v>6822.3821573546193</v>
      </c>
      <c r="G20" s="225">
        <f t="shared" si="4"/>
        <v>682.23821573546195</v>
      </c>
      <c r="H20" s="225">
        <f t="shared" si="5"/>
        <v>587.65798494868875</v>
      </c>
      <c r="I20" s="225">
        <f t="shared" si="14"/>
        <v>326.04633797035348</v>
      </c>
      <c r="J20" s="225">
        <f t="shared" si="6"/>
        <v>1151.5976410149876</v>
      </c>
      <c r="K20" s="225">
        <f t="shared" si="0"/>
        <v>409.34292944127714</v>
      </c>
      <c r="L20" s="225">
        <f t="shared" si="7"/>
        <v>682.23821573546195</v>
      </c>
      <c r="M20" s="294">
        <f t="shared" si="8"/>
        <v>10661.503482200849</v>
      </c>
    </row>
    <row r="21" spans="2:26" ht="17" thickBot="1" x14ac:dyDescent="0.25">
      <c r="B21" s="1306" t="s">
        <v>424</v>
      </c>
      <c r="C21" s="290">
        <f>N250</f>
        <v>10304.15521094641</v>
      </c>
      <c r="D21" s="290">
        <f>O250</f>
        <v>483.76323831242865</v>
      </c>
      <c r="E21" s="290">
        <f>P250</f>
        <v>19360.167023945261</v>
      </c>
      <c r="F21" s="1286">
        <f t="shared" si="3"/>
        <v>30148.085473204101</v>
      </c>
      <c r="G21" s="291">
        <f t="shared" si="4"/>
        <v>3014.8085473204101</v>
      </c>
      <c r="H21" s="291">
        <f t="shared" si="5"/>
        <v>1545.6232816419615</v>
      </c>
      <c r="I21" s="291">
        <f t="shared" si="14"/>
        <v>2904.0250535917889</v>
      </c>
      <c r="J21" s="291">
        <f t="shared" si="6"/>
        <v>5088.9063836204323</v>
      </c>
      <c r="K21" s="291">
        <f t="shared" si="0"/>
        <v>1808.8851283922461</v>
      </c>
      <c r="L21" s="291">
        <f t="shared" si="7"/>
        <v>3014.8085473204101</v>
      </c>
      <c r="M21" s="1286">
        <f t="shared" si="8"/>
        <v>47525.142415091344</v>
      </c>
    </row>
    <row r="22" spans="2:26" ht="17" thickBot="1" x14ac:dyDescent="0.25">
      <c r="B22" s="1307" t="s">
        <v>425</v>
      </c>
      <c r="C22" s="226">
        <f>W95+AA62*30</f>
        <v>175336.7701258302</v>
      </c>
      <c r="D22" s="226">
        <f>X95</f>
        <v>20534.789170783868</v>
      </c>
      <c r="E22" s="226">
        <f>Y95</f>
        <v>76591.021316139784</v>
      </c>
      <c r="F22" s="1287">
        <f>SUM(C22:E22)</f>
        <v>272462.58061275387</v>
      </c>
      <c r="G22" s="225">
        <f t="shared" si="4"/>
        <v>27246.258061275388</v>
      </c>
      <c r="H22" s="225">
        <f t="shared" si="5"/>
        <v>26300.51551887453</v>
      </c>
      <c r="I22" s="225">
        <f t="shared" si="14"/>
        <v>11488.653197420967</v>
      </c>
      <c r="J22" s="225">
        <f t="shared" si="6"/>
        <v>45990.866219691015</v>
      </c>
      <c r="K22" s="225">
        <f t="shared" si="0"/>
        <v>16347.754836765231</v>
      </c>
      <c r="L22" s="225">
        <f t="shared" si="7"/>
        <v>27246.258061275388</v>
      </c>
      <c r="M22" s="294">
        <f t="shared" si="8"/>
        <v>427082.88650805643</v>
      </c>
      <c r="N22" s="567"/>
      <c r="O22" s="1326" t="s">
        <v>388</v>
      </c>
      <c r="P22" s="1327" t="s">
        <v>203</v>
      </c>
      <c r="Q22" s="1327" t="s">
        <v>389</v>
      </c>
      <c r="R22" s="1327" t="s">
        <v>390</v>
      </c>
      <c r="S22" s="1326" t="s">
        <v>391</v>
      </c>
      <c r="T22" s="1327" t="s">
        <v>392</v>
      </c>
      <c r="U22" s="1327" t="s">
        <v>426</v>
      </c>
      <c r="V22" s="1327" t="s">
        <v>394</v>
      </c>
      <c r="W22" s="1327" t="s">
        <v>395</v>
      </c>
      <c r="X22" s="1327" t="s">
        <v>396</v>
      </c>
      <c r="Y22" s="1327" t="s">
        <v>397</v>
      </c>
      <c r="Z22" s="1326" t="s">
        <v>398</v>
      </c>
    </row>
    <row r="23" spans="2:26" x14ac:dyDescent="0.2">
      <c r="B23" s="1308" t="s">
        <v>427</v>
      </c>
      <c r="C23" s="290">
        <f>W133+AA100*30</f>
        <v>152793.47110965202</v>
      </c>
      <c r="D23" s="290">
        <f>X133</f>
        <v>17894.601991683081</v>
      </c>
      <c r="E23" s="290">
        <f>Y133</f>
        <v>66743.60428977893</v>
      </c>
      <c r="F23" s="1286">
        <f t="shared" si="3"/>
        <v>237431.677391114</v>
      </c>
      <c r="G23" s="291">
        <f t="shared" si="4"/>
        <v>23743.167739111403</v>
      </c>
      <c r="H23" s="291">
        <f t="shared" si="5"/>
        <v>22919.020666447803</v>
      </c>
      <c r="I23" s="291">
        <f t="shared" si="14"/>
        <v>10011.540643466838</v>
      </c>
      <c r="J23" s="291">
        <f t="shared" si="6"/>
        <v>40077.754848587872</v>
      </c>
      <c r="K23" s="291">
        <f t="shared" si="0"/>
        <v>14245.900643466839</v>
      </c>
      <c r="L23" s="291">
        <f t="shared" si="7"/>
        <v>23743.167739111403</v>
      </c>
      <c r="M23" s="1286">
        <f t="shared" si="8"/>
        <v>372172.22967130615</v>
      </c>
      <c r="O23" s="1362" t="s">
        <v>428</v>
      </c>
      <c r="P23" s="225">
        <f>E110*8+E191*9+E218*2+E262+N100*8+N181*9+N208*2+N249+X15*BJ63</f>
        <v>160855.17641961231</v>
      </c>
      <c r="Q23" s="225">
        <f>F110*8+F191*9+F218*2+F262+O100*8+O181*9+O208*2+O249</f>
        <v>39750.761140250841</v>
      </c>
      <c r="R23" s="225">
        <f>G110*8+G191*9+G218*2+G262+P100*8+P181*9+P208*2+P249</f>
        <v>93167.551835803868</v>
      </c>
      <c r="S23" s="292">
        <f t="shared" ref="S23:S31" si="17">SUM(P23:R23)</f>
        <v>293773.48939566698</v>
      </c>
      <c r="T23" s="225">
        <f>S23*10%</f>
        <v>29377.348939566698</v>
      </c>
      <c r="U23" s="225">
        <f>P23*15%</f>
        <v>24128.276462941845</v>
      </c>
      <c r="V23" s="225">
        <f>R23*15%</f>
        <v>13975.132775370579</v>
      </c>
      <c r="W23" s="225">
        <f>S23*16.8797%</f>
        <v>49588.083689520397</v>
      </c>
      <c r="X23" s="225">
        <f t="shared" ref="X23:X32" si="18">S23*6%</f>
        <v>17626.409363740018</v>
      </c>
      <c r="Y23" s="225">
        <f>S23*10%</f>
        <v>29377.348939566698</v>
      </c>
      <c r="Z23" s="292">
        <f>SUM(S23:Y23)</f>
        <v>457846.08956637321</v>
      </c>
    </row>
    <row r="24" spans="2:26" x14ac:dyDescent="0.2">
      <c r="B24" s="1309" t="s">
        <v>429</v>
      </c>
      <c r="C24" s="226">
        <f>AF72+AJ63*30</f>
        <v>24377.111140726312</v>
      </c>
      <c r="D24" s="226">
        <f>AG72</f>
        <v>126278.18972705603</v>
      </c>
      <c r="E24" s="226">
        <f>AH72</f>
        <v>34947.343285066243</v>
      </c>
      <c r="F24" s="294">
        <f>SUM(C24:E24)</f>
        <v>185602.6441528486</v>
      </c>
      <c r="G24" s="225">
        <f t="shared" si="4"/>
        <v>18560.264415284862</v>
      </c>
      <c r="H24" s="225">
        <f t="shared" si="5"/>
        <v>3656.5666711089466</v>
      </c>
      <c r="I24" s="225">
        <f t="shared" si="14"/>
        <v>5242.1014927599363</v>
      </c>
      <c r="J24" s="225">
        <f t="shared" si="6"/>
        <v>31329.169525068388</v>
      </c>
      <c r="K24" s="225">
        <f t="shared" si="0"/>
        <v>11136.158649170915</v>
      </c>
      <c r="L24" s="225">
        <f t="shared" si="7"/>
        <v>18560.264415284862</v>
      </c>
      <c r="M24" s="1286">
        <f t="shared" si="8"/>
        <v>274087.16932152654</v>
      </c>
      <c r="N24" s="567"/>
      <c r="O24" s="1321" t="s">
        <v>430</v>
      </c>
      <c r="P24" s="225">
        <f>E83*4+E110*8+E137*14+E164*5+N73*4+N100*8+N127*14+N154*5+Y15*BJ63</f>
        <v>144699.06771443272</v>
      </c>
      <c r="Q24" s="225">
        <f>F83*4+F110*8+F137*14+F164*5+O73*4+O100*8+O127*14+O154*5</f>
        <v>43221.382934178269</v>
      </c>
      <c r="R24" s="225">
        <f>G83*4+G110*8+G137*14+G164*5+P73*4+P100*8+P127*14+P154*5</f>
        <v>73677.046531195432</v>
      </c>
      <c r="S24" s="292">
        <f t="shared" si="17"/>
        <v>261597.49717980644</v>
      </c>
      <c r="T24" s="225">
        <f t="shared" ref="T24:T32" si="19">S24*10%</f>
        <v>26159.749717980645</v>
      </c>
      <c r="U24" s="225">
        <f t="shared" ref="U24:U32" si="20">P24*15%</f>
        <v>21704.860157164909</v>
      </c>
      <c r="V24" s="225">
        <f t="shared" ref="V24:V31" si="21">R24*15%</f>
        <v>11051.556979679315</v>
      </c>
      <c r="W24" s="225">
        <f t="shared" ref="W24:W32" si="22">S24*16.8797%</f>
        <v>44156.872731459785</v>
      </c>
      <c r="X24" s="225">
        <f t="shared" si="18"/>
        <v>15695.849830788386</v>
      </c>
      <c r="Y24" s="225">
        <f t="shared" ref="Y24:Y32" si="23">S24*10%</f>
        <v>26159.749717980645</v>
      </c>
      <c r="Z24" s="292">
        <f t="shared" ref="Z24:Z32" si="24">SUM(S24:Y24)</f>
        <v>406526.13631486014</v>
      </c>
    </row>
    <row r="25" spans="2:26" x14ac:dyDescent="0.2">
      <c r="B25" s="1766" t="s">
        <v>431</v>
      </c>
      <c r="C25" s="1763">
        <f>AO90+AS63*30</f>
        <v>61528.580270446029</v>
      </c>
      <c r="D25" s="1763">
        <f>AP90</f>
        <v>4312.3909582221422</v>
      </c>
      <c r="E25" s="1763">
        <f>AQ90</f>
        <v>109670.56609781804</v>
      </c>
      <c r="F25" s="1764">
        <f t="shared" si="3"/>
        <v>175511.5373264862</v>
      </c>
      <c r="G25" s="1767">
        <f t="shared" si="4"/>
        <v>17551.153732648621</v>
      </c>
      <c r="H25" s="1767">
        <f t="shared" si="5"/>
        <v>9229.2870405669037</v>
      </c>
      <c r="I25" s="1767">
        <f t="shared" si="14"/>
        <v>16450.584914672705</v>
      </c>
      <c r="J25" s="1767">
        <f t="shared" si="6"/>
        <v>29625.82096609889</v>
      </c>
      <c r="K25" s="1767">
        <f t="shared" si="0"/>
        <v>10530.692239589172</v>
      </c>
      <c r="L25" s="1767">
        <f t="shared" si="7"/>
        <v>17551.153732648621</v>
      </c>
      <c r="M25" s="1286">
        <f t="shared" si="8"/>
        <v>276450.22995271115</v>
      </c>
      <c r="O25" s="1321" t="s">
        <v>432</v>
      </c>
      <c r="P25" s="225">
        <f>E83*4+E110*9+E137*13+E164*5+N73*4+N100*9+N127*13+N154*5+Z15*BJ63</f>
        <v>143698.1311306243</v>
      </c>
      <c r="Q25" s="225">
        <f>F83*4+F110*9+F137*13+F164*5+O73*4+O100*9+O127*13+O154*5</f>
        <v>42922.844279674267</v>
      </c>
      <c r="R25" s="225">
        <f>G83*4+G110*9+G137*13+G164*5+P73*4+P100*9+P127*13+P154*5</f>
        <v>73167.898681708553</v>
      </c>
      <c r="S25" s="292">
        <f t="shared" si="17"/>
        <v>259788.87409200711</v>
      </c>
      <c r="T25" s="225">
        <f t="shared" si="19"/>
        <v>25978.887409200714</v>
      </c>
      <c r="U25" s="225">
        <f t="shared" si="20"/>
        <v>21554.719669593644</v>
      </c>
      <c r="V25" s="225">
        <f t="shared" si="21"/>
        <v>10975.184802256283</v>
      </c>
      <c r="W25" s="225">
        <f t="shared" si="22"/>
        <v>43851.582580108523</v>
      </c>
      <c r="X25" s="225">
        <f t="shared" si="18"/>
        <v>15587.332445520426</v>
      </c>
      <c r="Y25" s="225">
        <f t="shared" si="23"/>
        <v>25978.887409200714</v>
      </c>
      <c r="Z25" s="292">
        <f t="shared" si="24"/>
        <v>403715.46840788744</v>
      </c>
    </row>
    <row r="26" spans="2:26" x14ac:dyDescent="0.2">
      <c r="B26" s="1337" t="s">
        <v>433</v>
      </c>
      <c r="C26" s="1338">
        <f>AX66+BA63*30</f>
        <v>162711.48808816238</v>
      </c>
      <c r="D26" s="1338">
        <f>AY66</f>
        <v>12912.292770591488</v>
      </c>
      <c r="E26" s="1338">
        <f>AZ66</f>
        <v>26174.45048039169</v>
      </c>
      <c r="F26" s="1339">
        <f>SUM(C26:E26)</f>
        <v>201798.23133914554</v>
      </c>
      <c r="G26" s="1338">
        <f t="shared" si="4"/>
        <v>20179.823133914557</v>
      </c>
      <c r="H26" s="1338">
        <f t="shared" si="5"/>
        <v>24406.723213224355</v>
      </c>
      <c r="I26" s="1338">
        <f>E26*15%</f>
        <v>3926.1675720587532</v>
      </c>
      <c r="J26" s="1338">
        <f t="shared" si="6"/>
        <v>34062.936055353748</v>
      </c>
      <c r="K26" s="1338">
        <f t="shared" si="0"/>
        <v>12107.893880348733</v>
      </c>
      <c r="L26" s="1338">
        <f t="shared" si="7"/>
        <v>20179.823133914557</v>
      </c>
      <c r="M26" s="1286">
        <f t="shared" si="8"/>
        <v>316661.59832796024</v>
      </c>
      <c r="N26" s="567"/>
      <c r="O26" s="1321" t="s">
        <v>434</v>
      </c>
      <c r="P26" s="225">
        <f>E83*4+E110*9+E137*13+E164*4+N73*4+N100*9+N127*13+N154*4+AA15*BJ63</f>
        <v>137579.67169857014</v>
      </c>
      <c r="Q26" s="225">
        <f>F83*4+F110*9+F137*13+F164*4+O73*4+O100*9+O127*13+O154*4</f>
        <v>41085.249015529611</v>
      </c>
      <c r="R26" s="225">
        <f>G83*4+G110*9+G137*13+G164*4+P73*4+P100*9+P127*13+P154*4</f>
        <v>70041.060343770499</v>
      </c>
      <c r="S26" s="292">
        <f t="shared" si="17"/>
        <v>248705.98105787026</v>
      </c>
      <c r="T26" s="225">
        <f t="shared" si="19"/>
        <v>24870.598105787027</v>
      </c>
      <c r="U26" s="225">
        <f t="shared" si="20"/>
        <v>20636.950754785521</v>
      </c>
      <c r="V26" s="225">
        <f t="shared" si="21"/>
        <v>10506.159051565575</v>
      </c>
      <c r="W26" s="225">
        <f t="shared" si="22"/>
        <v>41980.823484625325</v>
      </c>
      <c r="X26" s="225">
        <f t="shared" si="18"/>
        <v>14922.358863472215</v>
      </c>
      <c r="Y26" s="225">
        <f t="shared" si="23"/>
        <v>24870.598105787027</v>
      </c>
      <c r="Z26" s="292">
        <f t="shared" si="24"/>
        <v>386493.46942389291</v>
      </c>
    </row>
    <row r="27" spans="2:26" ht="17" thickBot="1" x14ac:dyDescent="0.25">
      <c r="B27" s="1544" t="s">
        <v>435</v>
      </c>
      <c r="C27" s="1336">
        <f>BG68*BJ68+240*30</f>
        <v>9900</v>
      </c>
      <c r="D27" s="1264"/>
      <c r="E27" s="1264"/>
      <c r="F27" s="1288">
        <f>SUM(C27:E27)</f>
        <v>9900</v>
      </c>
      <c r="G27" s="443">
        <f>F27*10%</f>
        <v>990</v>
      </c>
      <c r="H27" s="443">
        <f>C27*15%</f>
        <v>1485</v>
      </c>
      <c r="I27" s="443">
        <f>E27*15%</f>
        <v>0</v>
      </c>
      <c r="J27" s="443">
        <f>F27*16.8797%</f>
        <v>1671.0903000000001</v>
      </c>
      <c r="K27" s="443">
        <f>F27*6%</f>
        <v>594</v>
      </c>
      <c r="L27" s="443">
        <f>F27*10%</f>
        <v>990</v>
      </c>
      <c r="M27" s="1335">
        <f>SUM(F27:L27)</f>
        <v>15630.0903</v>
      </c>
      <c r="O27" s="1322" t="s">
        <v>436</v>
      </c>
      <c r="P27" s="291">
        <f>E83*3+E110*8+E137*14+E164*5+N73*3+N100*8+N127*14+N154*5+AB15*BJ63</f>
        <v>141696.2579630074</v>
      </c>
      <c r="Q27" s="291">
        <f>F83*3+F110*8+F137*14+F164*5+O73*3+O100*8+O127*14+O154*5</f>
        <v>42325.766970666293</v>
      </c>
      <c r="R27" s="291">
        <f>G83*3+G110*8+G137*14+G164*5+P73*3+P100*8+P127*14+P154*5</f>
        <v>72149.602982734767</v>
      </c>
      <c r="S27" s="293">
        <f t="shared" si="17"/>
        <v>256171.62791640847</v>
      </c>
      <c r="T27" s="291">
        <f t="shared" si="19"/>
        <v>25617.162791640847</v>
      </c>
      <c r="U27" s="291">
        <f t="shared" si="20"/>
        <v>21254.43869445111</v>
      </c>
      <c r="V27" s="291">
        <f t="shared" si="21"/>
        <v>10822.440447410214</v>
      </c>
      <c r="W27" s="291">
        <f t="shared" si="22"/>
        <v>43241.002277405998</v>
      </c>
      <c r="X27" s="291">
        <f t="shared" si="18"/>
        <v>15370.297674984507</v>
      </c>
      <c r="Y27" s="291">
        <f t="shared" si="23"/>
        <v>25617.162791640847</v>
      </c>
      <c r="Z27" s="293">
        <f t="shared" si="24"/>
        <v>398094.13259394199</v>
      </c>
    </row>
    <row r="28" spans="2:26" ht="18" thickTop="1" thickBot="1" x14ac:dyDescent="0.25">
      <c r="B28" s="1315" t="s">
        <v>437</v>
      </c>
      <c r="C28" s="1289">
        <f t="shared" ref="C28:L28" si="25">SUM(C8:C26)</f>
        <v>1305275.725661064</v>
      </c>
      <c r="D28" s="1289">
        <f t="shared" si="25"/>
        <v>391238.26895863586</v>
      </c>
      <c r="E28" s="1289">
        <f t="shared" si="25"/>
        <v>696330.14584440796</v>
      </c>
      <c r="F28" s="289">
        <f t="shared" si="25"/>
        <v>2392844.140464107</v>
      </c>
      <c r="G28" s="1289">
        <f t="shared" si="25"/>
        <v>239284.41404641073</v>
      </c>
      <c r="H28" s="1289">
        <f t="shared" si="25"/>
        <v>195791.35884915959</v>
      </c>
      <c r="I28" s="1289">
        <f t="shared" si="25"/>
        <v>104449.52187666118</v>
      </c>
      <c r="J28" s="1289">
        <f t="shared" si="25"/>
        <v>403904.91237791989</v>
      </c>
      <c r="K28" s="1289">
        <f t="shared" si="25"/>
        <v>143570.64842784646</v>
      </c>
      <c r="L28" s="1289">
        <f t="shared" si="25"/>
        <v>239284.41404641073</v>
      </c>
      <c r="M28" s="1510">
        <f>SUM(M8:M27)</f>
        <v>3734759.5003885166</v>
      </c>
      <c r="O28" s="1323" t="s">
        <v>425</v>
      </c>
      <c r="P28" s="226">
        <f>W95+AA62*BJ67</f>
        <v>175336.7701258302</v>
      </c>
      <c r="Q28" s="226">
        <f>X95</f>
        <v>20534.789170783868</v>
      </c>
      <c r="R28" s="226">
        <f>Y95</f>
        <v>76591.021316139784</v>
      </c>
      <c r="S28" s="292">
        <f t="shared" si="17"/>
        <v>272462.58061275387</v>
      </c>
      <c r="T28" s="225">
        <f t="shared" si="19"/>
        <v>27246.258061275388</v>
      </c>
      <c r="U28" s="225">
        <f t="shared" si="20"/>
        <v>26300.51551887453</v>
      </c>
      <c r="V28" s="225">
        <f t="shared" si="21"/>
        <v>11488.653197420967</v>
      </c>
      <c r="W28" s="225">
        <f t="shared" si="22"/>
        <v>45990.866219691015</v>
      </c>
      <c r="X28" s="225">
        <f t="shared" si="18"/>
        <v>16347.754836765231</v>
      </c>
      <c r="Y28" s="225">
        <f t="shared" si="23"/>
        <v>27246.258061275388</v>
      </c>
      <c r="Z28" s="292">
        <f t="shared" si="24"/>
        <v>427082.88650805643</v>
      </c>
    </row>
    <row r="29" spans="2:26" ht="17" thickBot="1" x14ac:dyDescent="0.25">
      <c r="M29" s="226"/>
      <c r="N29" s="567"/>
      <c r="O29" s="1324" t="s">
        <v>427</v>
      </c>
      <c r="P29" s="290">
        <f>W133+AA100*BJ67</f>
        <v>152793.47110965202</v>
      </c>
      <c r="Q29" s="290">
        <f>X133</f>
        <v>17894.601991683081</v>
      </c>
      <c r="R29" s="290">
        <f>Y133</f>
        <v>66743.60428977893</v>
      </c>
      <c r="S29" s="293">
        <f>SUM(P29:R29)</f>
        <v>237431.677391114</v>
      </c>
      <c r="T29" s="291">
        <f t="shared" si="19"/>
        <v>23743.167739111403</v>
      </c>
      <c r="U29" s="291">
        <f t="shared" si="20"/>
        <v>22919.020666447803</v>
      </c>
      <c r="V29" s="291">
        <f t="shared" si="21"/>
        <v>10011.540643466838</v>
      </c>
      <c r="W29" s="291">
        <f t="shared" si="22"/>
        <v>40077.754848587872</v>
      </c>
      <c r="X29" s="291">
        <f t="shared" si="18"/>
        <v>14245.900643466839</v>
      </c>
      <c r="Y29" s="291">
        <f t="shared" si="23"/>
        <v>23743.167739111403</v>
      </c>
      <c r="Z29" s="293">
        <f t="shared" si="24"/>
        <v>372172.22967130615</v>
      </c>
    </row>
    <row r="30" spans="2:26" ht="17" thickBot="1" x14ac:dyDescent="0.25">
      <c r="B30" s="2043" t="s">
        <v>438</v>
      </c>
      <c r="C30" s="2044"/>
      <c r="D30" s="2045"/>
      <c r="O30" s="1325" t="s">
        <v>429</v>
      </c>
      <c r="P30" s="1768">
        <f>AF72+AJ63*BJ66</f>
        <v>24377.111140726312</v>
      </c>
      <c r="Q30" s="1768">
        <f>AG72</f>
        <v>126278.18972705603</v>
      </c>
      <c r="R30" s="1768">
        <f>AH72</f>
        <v>34947.343285066243</v>
      </c>
      <c r="S30" s="1303">
        <f t="shared" si="17"/>
        <v>185602.6441528486</v>
      </c>
      <c r="T30" s="1769">
        <f t="shared" si="19"/>
        <v>18560.264415284862</v>
      </c>
      <c r="U30" s="1769">
        <f t="shared" si="20"/>
        <v>3656.5666711089466</v>
      </c>
      <c r="V30" s="1769">
        <f t="shared" si="21"/>
        <v>5242.1014927599363</v>
      </c>
      <c r="W30" s="1769">
        <f t="shared" si="22"/>
        <v>31329.169525068388</v>
      </c>
      <c r="X30" s="1769">
        <f t="shared" si="18"/>
        <v>11136.158649170915</v>
      </c>
      <c r="Y30" s="1769">
        <f t="shared" si="23"/>
        <v>18560.264415284862</v>
      </c>
      <c r="Z30" s="293">
        <f t="shared" si="24"/>
        <v>274087.16932152654</v>
      </c>
    </row>
    <row r="31" spans="2:26" x14ac:dyDescent="0.2">
      <c r="B31" s="2028" t="s">
        <v>439</v>
      </c>
      <c r="C31" s="2029"/>
      <c r="D31" s="2030">
        <f>SUM(C32:C35)</f>
        <v>2052675.2963069561</v>
      </c>
      <c r="N31" s="567"/>
      <c r="O31" s="1770" t="s">
        <v>431</v>
      </c>
      <c r="P31" s="1763">
        <f>AO90+AS63*BJ64</f>
        <v>61528.580270446029</v>
      </c>
      <c r="Q31" s="1763">
        <f>AP90</f>
        <v>4312.3909582221422</v>
      </c>
      <c r="R31" s="1763">
        <f>AQ90</f>
        <v>109670.56609781804</v>
      </c>
      <c r="S31" s="1771">
        <f t="shared" si="17"/>
        <v>175511.5373264862</v>
      </c>
      <c r="T31" s="1767">
        <f t="shared" si="19"/>
        <v>17551.153732648621</v>
      </c>
      <c r="U31" s="1767">
        <f t="shared" si="20"/>
        <v>9229.2870405669037</v>
      </c>
      <c r="V31" s="1767">
        <f t="shared" si="21"/>
        <v>16450.584914672705</v>
      </c>
      <c r="W31" s="1767">
        <f t="shared" si="22"/>
        <v>29625.82096609889</v>
      </c>
      <c r="X31" s="1767">
        <f t="shared" si="18"/>
        <v>10530.692239589172</v>
      </c>
      <c r="Y31" s="1767">
        <f t="shared" si="23"/>
        <v>17551.153732648621</v>
      </c>
      <c r="Z31" s="293">
        <f t="shared" si="24"/>
        <v>276450.22995271115</v>
      </c>
    </row>
    <row r="32" spans="2:26" x14ac:dyDescent="0.2">
      <c r="B32" s="517" t="s">
        <v>440</v>
      </c>
      <c r="C32" s="1772">
        <f>SUM(M8:M13)</f>
        <v>1625514.4986007505</v>
      </c>
      <c r="D32" s="2031"/>
      <c r="O32" s="1358" t="s">
        <v>433</v>
      </c>
      <c r="P32" s="291">
        <f>AX66+BA63*BJ65</f>
        <v>162711.48808816238</v>
      </c>
      <c r="Q32" s="291">
        <f>AY66</f>
        <v>12912.292770591488</v>
      </c>
      <c r="R32" s="291">
        <f>AZ66</f>
        <v>26174.45048039169</v>
      </c>
      <c r="S32" s="1286">
        <f>SUM(P32:R32)</f>
        <v>201798.23133914554</v>
      </c>
      <c r="T32" s="291">
        <f t="shared" si="19"/>
        <v>20179.823133914557</v>
      </c>
      <c r="U32" s="291">
        <f t="shared" si="20"/>
        <v>24406.723213224355</v>
      </c>
      <c r="V32" s="291">
        <f>R32*15%</f>
        <v>3926.1675720587532</v>
      </c>
      <c r="W32" s="291">
        <f t="shared" si="22"/>
        <v>34062.936055353748</v>
      </c>
      <c r="X32" s="291">
        <f t="shared" si="18"/>
        <v>12107.893880348733</v>
      </c>
      <c r="Y32" s="291">
        <f t="shared" si="23"/>
        <v>20179.823133914557</v>
      </c>
      <c r="Z32" s="293">
        <f t="shared" si="24"/>
        <v>316661.59832796024</v>
      </c>
    </row>
    <row r="33" spans="2:70" ht="17" thickBot="1" x14ac:dyDescent="0.25">
      <c r="B33" s="517" t="s">
        <v>416</v>
      </c>
      <c r="C33" s="1772">
        <f>M14</f>
        <v>54303.012268073566</v>
      </c>
      <c r="D33" s="2031"/>
      <c r="E33" s="600"/>
      <c r="N33" s="567"/>
      <c r="O33" s="1363" t="s">
        <v>435</v>
      </c>
      <c r="P33" s="1336">
        <f>BG68*BJ68+240*30</f>
        <v>9900</v>
      </c>
      <c r="Q33" s="1264"/>
      <c r="R33" s="1264"/>
      <c r="S33" s="1288">
        <f>SUM(P33:R33)</f>
        <v>9900</v>
      </c>
      <c r="T33" s="443">
        <f>S33*10%</f>
        <v>990</v>
      </c>
      <c r="U33" s="443">
        <f>P33*15%</f>
        <v>1485</v>
      </c>
      <c r="V33" s="443">
        <f>R33*15%</f>
        <v>0</v>
      </c>
      <c r="W33" s="443">
        <f>S33*16.8797%</f>
        <v>1671.0903000000001</v>
      </c>
      <c r="X33" s="443">
        <f>S33*6%</f>
        <v>594</v>
      </c>
      <c r="Y33" s="443">
        <f>S33*10%</f>
        <v>990</v>
      </c>
      <c r="Z33" s="1304">
        <f>SUM(S33:Y33)</f>
        <v>15630.0903</v>
      </c>
    </row>
    <row r="34" spans="2:70" ht="18" thickTop="1" thickBot="1" x14ac:dyDescent="0.25">
      <c r="B34" s="517" t="s">
        <v>441</v>
      </c>
      <c r="C34" s="1772">
        <f>SUM(M15:M20)</f>
        <v>325332.64302304055</v>
      </c>
      <c r="D34" s="2031"/>
      <c r="O34" s="1316" t="s">
        <v>418</v>
      </c>
      <c r="P34" s="1289">
        <f t="shared" ref="P34:Z34" si="26">SUM(P23:P33)</f>
        <v>1315175.725661064</v>
      </c>
      <c r="Q34" s="1289">
        <f t="shared" si="26"/>
        <v>391238.26895863592</v>
      </c>
      <c r="R34" s="1289">
        <f t="shared" si="26"/>
        <v>696330.14584440785</v>
      </c>
      <c r="S34" s="289">
        <f t="shared" si="26"/>
        <v>2402744.140464107</v>
      </c>
      <c r="T34" s="1289">
        <f t="shared" si="26"/>
        <v>240274.41404641073</v>
      </c>
      <c r="U34" s="1289">
        <f t="shared" si="26"/>
        <v>197276.35884915959</v>
      </c>
      <c r="V34" s="1289">
        <f t="shared" si="26"/>
        <v>104449.52187666115</v>
      </c>
      <c r="W34" s="1289">
        <f t="shared" si="26"/>
        <v>405576.00267791981</v>
      </c>
      <c r="X34" s="1289">
        <f t="shared" si="26"/>
        <v>144164.64842784646</v>
      </c>
      <c r="Y34" s="1289">
        <f t="shared" si="26"/>
        <v>240274.41404641073</v>
      </c>
      <c r="Z34" s="289">
        <f t="shared" si="26"/>
        <v>3734759.5003885156</v>
      </c>
    </row>
    <row r="35" spans="2:70" ht="17" thickBot="1" x14ac:dyDescent="0.25">
      <c r="B35" s="517" t="s">
        <v>442</v>
      </c>
      <c r="C35" s="1772">
        <f>M21</f>
        <v>47525.142415091344</v>
      </c>
      <c r="D35" s="2032"/>
      <c r="E35" s="600"/>
      <c r="L35" s="226"/>
      <c r="N35" s="567"/>
    </row>
    <row r="36" spans="2:70" x14ac:dyDescent="0.2">
      <c r="B36" s="2025" t="s">
        <v>443</v>
      </c>
      <c r="C36" s="2026"/>
      <c r="D36" s="2033">
        <f>SUM(C37:C38)</f>
        <v>799255.11617936264</v>
      </c>
      <c r="M36" s="226"/>
      <c r="O36" s="1378" t="s">
        <v>439</v>
      </c>
      <c r="P36" s="1477">
        <f>D31</f>
        <v>2052675.2963069561</v>
      </c>
      <c r="S36" s="226"/>
      <c r="Y36" s="225"/>
    </row>
    <row r="37" spans="2:70" x14ac:dyDescent="0.2">
      <c r="B37" s="517" t="s">
        <v>444</v>
      </c>
      <c r="C37" s="1773">
        <f>M22</f>
        <v>427082.88650805643</v>
      </c>
      <c r="D37" s="2033"/>
      <c r="N37" s="567"/>
      <c r="O37" s="1379" t="s">
        <v>443</v>
      </c>
      <c r="P37" s="1774">
        <f>D36</f>
        <v>799255.11617936264</v>
      </c>
      <c r="S37" s="226"/>
    </row>
    <row r="38" spans="2:70" x14ac:dyDescent="0.2">
      <c r="B38" s="517" t="s">
        <v>445</v>
      </c>
      <c r="C38" s="1773">
        <f>M23</f>
        <v>372172.22967130615</v>
      </c>
      <c r="D38" s="2033"/>
      <c r="E38" s="225"/>
      <c r="N38" s="1317"/>
      <c r="O38" s="1775" t="s">
        <v>63</v>
      </c>
      <c r="P38" s="1776">
        <f>D39</f>
        <v>274087.16932152654</v>
      </c>
      <c r="S38" s="225"/>
      <c r="T38" s="516"/>
    </row>
    <row r="39" spans="2:70" x14ac:dyDescent="0.2">
      <c r="B39" s="2046" t="s">
        <v>63</v>
      </c>
      <c r="C39" s="2047"/>
      <c r="D39" s="1359">
        <f>M24</f>
        <v>274087.16932152654</v>
      </c>
      <c r="N39" s="567"/>
      <c r="O39" s="1777" t="s">
        <v>446</v>
      </c>
      <c r="P39" s="1778">
        <f>D40</f>
        <v>276450.22995271115</v>
      </c>
      <c r="S39" s="225"/>
      <c r="T39" s="516"/>
    </row>
    <row r="40" spans="2:70" x14ac:dyDescent="0.2">
      <c r="B40" s="1779" t="s">
        <v>447</v>
      </c>
      <c r="C40" s="1780"/>
      <c r="D40" s="1360">
        <f>M25</f>
        <v>276450.22995271115</v>
      </c>
      <c r="N40" s="567"/>
      <c r="O40" s="1380" t="s">
        <v>59</v>
      </c>
      <c r="P40" s="1781">
        <f>Z32</f>
        <v>316661.59832796024</v>
      </c>
      <c r="S40" s="225"/>
      <c r="T40" s="516"/>
    </row>
    <row r="41" spans="2:70" ht="17" thickBot="1" x14ac:dyDescent="0.25">
      <c r="B41" s="2041" t="s">
        <v>448</v>
      </c>
      <c r="C41" s="2042"/>
      <c r="D41" s="1782">
        <f>Z32</f>
        <v>316661.59832796024</v>
      </c>
      <c r="N41" s="567"/>
      <c r="O41" s="1381" t="s">
        <v>435</v>
      </c>
      <c r="P41" s="1478">
        <f>D42</f>
        <v>15630.0903</v>
      </c>
      <c r="R41" s="505"/>
      <c r="S41" s="524"/>
      <c r="T41" s="516"/>
    </row>
    <row r="42" spans="2:70" ht="17" thickBot="1" x14ac:dyDescent="0.25">
      <c r="B42" s="2048" t="s">
        <v>449</v>
      </c>
      <c r="C42" s="2049"/>
      <c r="D42" s="1361">
        <f>M27</f>
        <v>15630.0903</v>
      </c>
      <c r="O42" s="1316" t="s">
        <v>450</v>
      </c>
      <c r="P42" s="1479">
        <f>SUM(P36:P41)</f>
        <v>3734759.5003885166</v>
      </c>
    </row>
    <row r="43" spans="2:70" ht="18" thickTop="1" thickBot="1" x14ac:dyDescent="0.25">
      <c r="B43" s="2039" t="s">
        <v>450</v>
      </c>
      <c r="C43" s="2040"/>
      <c r="D43" s="289">
        <f>SUM(D31:D42)</f>
        <v>3734759.5003885166</v>
      </c>
      <c r="H43" s="2027"/>
      <c r="I43" s="2027"/>
    </row>
    <row r="44" spans="2:70" x14ac:dyDescent="0.2">
      <c r="H44" s="1902"/>
      <c r="I44" s="1902"/>
    </row>
    <row r="45" spans="2:70" ht="17" thickBot="1" x14ac:dyDescent="0.25">
      <c r="H45" s="1902"/>
      <c r="I45" s="1902"/>
      <c r="BJ45"/>
      <c r="BR45"/>
    </row>
    <row r="46" spans="2:70" ht="27" thickBot="1" x14ac:dyDescent="0.35">
      <c r="B46" s="2018" t="s">
        <v>451</v>
      </c>
      <c r="C46" s="2019"/>
      <c r="D46" s="2019"/>
      <c r="E46" s="2019"/>
      <c r="F46" s="2019"/>
      <c r="G46" s="2020"/>
      <c r="H46" s="1548"/>
      <c r="K46" s="2023" t="s">
        <v>452</v>
      </c>
      <c r="L46" s="2024"/>
      <c r="M46" s="2024"/>
      <c r="N46" s="2024"/>
      <c r="O46" s="2024"/>
      <c r="P46" s="2024"/>
      <c r="Q46" s="1548"/>
      <c r="T46" s="2018" t="s">
        <v>453</v>
      </c>
      <c r="U46" s="2019"/>
      <c r="V46" s="2019"/>
      <c r="W46" s="2019"/>
      <c r="X46" s="2019"/>
      <c r="Y46" s="2020"/>
      <c r="Z46" s="1555"/>
      <c r="AC46" s="2018" t="s">
        <v>63</v>
      </c>
      <c r="AD46" s="2019"/>
      <c r="AE46" s="2019"/>
      <c r="AF46" s="2019"/>
      <c r="AG46" s="2019"/>
      <c r="AH46" s="2020"/>
      <c r="AI46" s="1555"/>
      <c r="AL46" s="2018" t="s">
        <v>447</v>
      </c>
      <c r="AM46" s="2019"/>
      <c r="AN46" s="2019"/>
      <c r="AO46" s="2019"/>
      <c r="AP46" s="2019"/>
      <c r="AQ46" s="2020"/>
      <c r="AR46" s="1555"/>
      <c r="AU46" s="2018" t="s">
        <v>454</v>
      </c>
      <c r="AV46" s="2019"/>
      <c r="AW46" s="2019"/>
      <c r="AX46" s="2019"/>
      <c r="AY46" s="2019"/>
      <c r="AZ46" s="2020"/>
      <c r="BA46" s="1555"/>
      <c r="BE46" s="2018" t="s">
        <v>455</v>
      </c>
      <c r="BF46" s="2019"/>
      <c r="BG46" s="2019"/>
      <c r="BH46" s="2019"/>
      <c r="BI46" s="2019"/>
      <c r="BJ46" s="2019"/>
      <c r="BK46" s="2020"/>
      <c r="BR46"/>
    </row>
    <row r="47" spans="2:70" ht="17" thickBot="1" x14ac:dyDescent="0.25">
      <c r="BE47"/>
      <c r="BF47"/>
      <c r="BG47"/>
      <c r="BH47"/>
      <c r="BI47"/>
      <c r="BJ47"/>
      <c r="BK47"/>
      <c r="BR47"/>
    </row>
    <row r="48" spans="2:70" ht="17" thickBot="1" x14ac:dyDescent="0.25">
      <c r="B48" s="1328" t="s">
        <v>399</v>
      </c>
      <c r="C48" s="1329" t="s">
        <v>400</v>
      </c>
      <c r="D48" s="673" t="s">
        <v>456</v>
      </c>
      <c r="F48" s="1320" t="s">
        <v>457</v>
      </c>
      <c r="G48" s="1330">
        <f>SUMPRODUCT(C49:C54,D49:D54)</f>
        <v>4150</v>
      </c>
      <c r="K48" s="1333" t="s">
        <v>458</v>
      </c>
      <c r="L48" s="1334" t="s">
        <v>400</v>
      </c>
      <c r="M48" s="675" t="s">
        <v>401</v>
      </c>
      <c r="T48" s="1333" t="s">
        <v>459</v>
      </c>
      <c r="U48" s="675" t="s">
        <v>401</v>
      </c>
      <c r="AC48" s="1328" t="s">
        <v>460</v>
      </c>
      <c r="AD48" s="673" t="s">
        <v>401</v>
      </c>
      <c r="BE48"/>
      <c r="BF48"/>
      <c r="BG48"/>
      <c r="BH48"/>
      <c r="BI48"/>
      <c r="BJ48"/>
      <c r="BK48"/>
      <c r="BR48"/>
    </row>
    <row r="49" spans="2:83" ht="17" thickBot="1" x14ac:dyDescent="0.25">
      <c r="B49" s="282" t="s">
        <v>408</v>
      </c>
      <c r="C49" s="281">
        <v>15</v>
      </c>
      <c r="D49" s="283">
        <v>18</v>
      </c>
      <c r="F49" s="1331" t="s">
        <v>461</v>
      </c>
      <c r="G49" s="1332">
        <f>D55</f>
        <v>90</v>
      </c>
      <c r="K49" s="282" t="s">
        <v>408</v>
      </c>
      <c r="L49" s="281">
        <v>15</v>
      </c>
      <c r="M49" s="283">
        <v>18</v>
      </c>
      <c r="T49" s="282" t="s">
        <v>462</v>
      </c>
      <c r="U49" s="283">
        <v>120</v>
      </c>
      <c r="AC49" s="282" t="s">
        <v>463</v>
      </c>
      <c r="AD49" s="283">
        <v>114</v>
      </c>
      <c r="BE49"/>
      <c r="BF49"/>
      <c r="BG49"/>
      <c r="BH49"/>
      <c r="BI49"/>
      <c r="BJ49"/>
      <c r="BK49"/>
      <c r="BR49"/>
    </row>
    <row r="50" spans="2:83" x14ac:dyDescent="0.2">
      <c r="B50" s="1783" t="s">
        <v>409</v>
      </c>
      <c r="C50" s="1784">
        <v>42</v>
      </c>
      <c r="D50" s="1785">
        <v>24</v>
      </c>
      <c r="K50" s="1783" t="s">
        <v>409</v>
      </c>
      <c r="L50" s="1784">
        <v>42</v>
      </c>
      <c r="M50" s="1785">
        <v>24</v>
      </c>
      <c r="T50" s="1783" t="s">
        <v>464</v>
      </c>
      <c r="U50" s="1785">
        <v>120</v>
      </c>
      <c r="AC50" s="1783" t="s">
        <v>427</v>
      </c>
      <c r="AD50" s="1785">
        <v>61</v>
      </c>
      <c r="BE50"/>
      <c r="BF50"/>
      <c r="BG50"/>
      <c r="BH50"/>
      <c r="BI50"/>
      <c r="BJ50"/>
      <c r="BK50"/>
      <c r="BR50"/>
    </row>
    <row r="51" spans="2:83" x14ac:dyDescent="0.2">
      <c r="B51" s="1783" t="s">
        <v>410</v>
      </c>
      <c r="C51" s="1784">
        <v>54</v>
      </c>
      <c r="D51" s="1785">
        <v>30</v>
      </c>
      <c r="K51" s="1783" t="s">
        <v>410</v>
      </c>
      <c r="L51" s="1784">
        <v>54</v>
      </c>
      <c r="M51" s="1785">
        <v>30</v>
      </c>
      <c r="T51" s="284" t="s">
        <v>425</v>
      </c>
      <c r="U51" s="250">
        <v>70</v>
      </c>
      <c r="AC51" s="284" t="s">
        <v>465</v>
      </c>
      <c r="AD51" s="250">
        <v>140</v>
      </c>
      <c r="BE51"/>
      <c r="BF51"/>
      <c r="BG51"/>
      <c r="BH51"/>
      <c r="BI51"/>
      <c r="BJ51"/>
      <c r="BK51"/>
      <c r="BR51"/>
    </row>
    <row r="52" spans="2:83" ht="17" thickBot="1" x14ac:dyDescent="0.25">
      <c r="B52" s="1783" t="s">
        <v>411</v>
      </c>
      <c r="C52" s="1784">
        <v>19</v>
      </c>
      <c r="D52" s="1785">
        <v>36</v>
      </c>
      <c r="K52" s="1783" t="s">
        <v>411</v>
      </c>
      <c r="L52" s="1784">
        <v>19</v>
      </c>
      <c r="M52" s="1785">
        <v>36</v>
      </c>
      <c r="T52" s="285" t="s">
        <v>466</v>
      </c>
      <c r="U52" s="286">
        <v>61</v>
      </c>
      <c r="AC52" s="1783" t="s">
        <v>467</v>
      </c>
      <c r="AD52" s="1785">
        <v>67</v>
      </c>
      <c r="BE52"/>
      <c r="BF52"/>
      <c r="BG52"/>
      <c r="BH52"/>
      <c r="BI52"/>
      <c r="BJ52"/>
      <c r="BK52"/>
      <c r="BR52"/>
    </row>
    <row r="53" spans="2:83" ht="18" thickTop="1" thickBot="1" x14ac:dyDescent="0.25">
      <c r="B53" s="1783" t="s">
        <v>413</v>
      </c>
      <c r="C53" s="1784">
        <v>9</v>
      </c>
      <c r="D53" s="1785">
        <v>48</v>
      </c>
      <c r="K53" s="1783" t="s">
        <v>413</v>
      </c>
      <c r="L53" s="1784">
        <v>9</v>
      </c>
      <c r="M53" s="1785">
        <v>48</v>
      </c>
      <c r="T53" s="1318" t="s">
        <v>418</v>
      </c>
      <c r="U53" s="288">
        <f>SUM(U49:U52)</f>
        <v>371</v>
      </c>
      <c r="AC53" s="1783" t="s">
        <v>468</v>
      </c>
      <c r="AD53" s="1785">
        <v>80</v>
      </c>
      <c r="BE53"/>
      <c r="BF53"/>
      <c r="BG53"/>
      <c r="BH53"/>
      <c r="BI53"/>
      <c r="BJ53"/>
      <c r="BK53"/>
      <c r="BR53"/>
    </row>
    <row r="54" spans="2:83" x14ac:dyDescent="0.2">
      <c r="B54" s="284" t="s">
        <v>414</v>
      </c>
      <c r="C54" s="222">
        <v>2</v>
      </c>
      <c r="D54" s="250">
        <v>68</v>
      </c>
      <c r="K54" s="284" t="s">
        <v>414</v>
      </c>
      <c r="L54" s="222">
        <v>2</v>
      </c>
      <c r="M54" s="250">
        <v>68</v>
      </c>
      <c r="AC54" s="1783" t="s">
        <v>469</v>
      </c>
      <c r="AD54" s="1785">
        <v>72</v>
      </c>
      <c r="BE54"/>
      <c r="BF54"/>
      <c r="BG54"/>
      <c r="BH54"/>
      <c r="BI54"/>
      <c r="BJ54"/>
      <c r="BK54"/>
      <c r="BR54"/>
    </row>
    <row r="55" spans="2:83" ht="17" thickBot="1" x14ac:dyDescent="0.25">
      <c r="B55" s="285" t="s">
        <v>416</v>
      </c>
      <c r="C55" s="280">
        <v>1</v>
      </c>
      <c r="D55" s="286">
        <v>90</v>
      </c>
      <c r="K55" s="285" t="s">
        <v>416</v>
      </c>
      <c r="L55" s="280">
        <v>1</v>
      </c>
      <c r="M55" s="286">
        <v>90</v>
      </c>
      <c r="AC55" s="282" t="s">
        <v>470</v>
      </c>
      <c r="AD55" s="283">
        <v>56</v>
      </c>
      <c r="BE55"/>
      <c r="BF55"/>
      <c r="BG55"/>
      <c r="BH55"/>
      <c r="BI55"/>
      <c r="BJ55"/>
      <c r="BK55"/>
      <c r="BR55"/>
    </row>
    <row r="56" spans="2:83" ht="18" thickTop="1" thickBot="1" x14ac:dyDescent="0.25">
      <c r="B56" s="1318" t="s">
        <v>418</v>
      </c>
      <c r="C56" s="287">
        <f>SUM(C49:C55)</f>
        <v>142</v>
      </c>
      <c r="D56" s="288">
        <f>SUM(D49:D55)</f>
        <v>314</v>
      </c>
      <c r="K56" s="1318" t="s">
        <v>418</v>
      </c>
      <c r="L56" s="287">
        <f>SUM(L49:L55)</f>
        <v>142</v>
      </c>
      <c r="M56" s="288">
        <f>SUM(M49:M55)</f>
        <v>314</v>
      </c>
      <c r="AC56" s="285" t="s">
        <v>471</v>
      </c>
      <c r="AD56" s="286">
        <v>46</v>
      </c>
      <c r="BE56"/>
      <c r="BF56"/>
      <c r="BG56"/>
      <c r="BH56"/>
      <c r="BI56"/>
      <c r="BJ56"/>
      <c r="BK56"/>
      <c r="BR56"/>
    </row>
    <row r="57" spans="2:83" ht="17" thickBot="1" x14ac:dyDescent="0.25">
      <c r="AC57" s="1318" t="s">
        <v>418</v>
      </c>
      <c r="AD57" s="288">
        <f>SUM(AD49:AD56)</f>
        <v>636</v>
      </c>
      <c r="BE57"/>
      <c r="BF57"/>
      <c r="BG57"/>
      <c r="BH57"/>
      <c r="BI57"/>
      <c r="BJ57"/>
      <c r="BK57"/>
      <c r="BR57"/>
    </row>
    <row r="58" spans="2:83" ht="17" thickBot="1" x14ac:dyDescent="0.25">
      <c r="B58" s="222" t="s">
        <v>472</v>
      </c>
      <c r="BE58"/>
      <c r="BF58"/>
      <c r="BG58"/>
      <c r="BH58"/>
      <c r="BI58"/>
      <c r="BJ58"/>
      <c r="BK58"/>
      <c r="BR58"/>
    </row>
    <row r="59" spans="2:83" ht="17" thickBot="1" x14ac:dyDescent="0.25">
      <c r="B59" s="1547" t="s">
        <v>473</v>
      </c>
      <c r="C59" s="1545"/>
      <c r="D59" s="1545"/>
      <c r="E59" s="1545" t="s">
        <v>474</v>
      </c>
      <c r="F59" s="1545"/>
      <c r="G59" s="1546"/>
      <c r="K59" s="1549" t="s">
        <v>475</v>
      </c>
      <c r="L59" s="228"/>
      <c r="M59" s="228"/>
      <c r="N59" s="228" t="s">
        <v>474</v>
      </c>
      <c r="O59" s="228"/>
      <c r="P59" s="229"/>
      <c r="T59" s="1549" t="s">
        <v>476</v>
      </c>
      <c r="U59" s="228"/>
      <c r="V59" s="228"/>
      <c r="W59" s="228" t="s">
        <v>474</v>
      </c>
      <c r="X59" s="228"/>
      <c r="Y59" s="229"/>
      <c r="AC59" s="222" t="s">
        <v>477</v>
      </c>
      <c r="AL59" s="222" t="s">
        <v>478</v>
      </c>
      <c r="BR59"/>
    </row>
    <row r="60" spans="2:83" ht="17" thickBot="1" x14ac:dyDescent="0.25">
      <c r="B60" s="245" t="s">
        <v>479</v>
      </c>
      <c r="C60" s="246" t="s">
        <v>480</v>
      </c>
      <c r="D60" s="246" t="s">
        <v>481</v>
      </c>
      <c r="E60" s="246" t="s">
        <v>203</v>
      </c>
      <c r="F60" s="246" t="s">
        <v>482</v>
      </c>
      <c r="G60" s="247" t="s">
        <v>483</v>
      </c>
      <c r="K60" s="1550" t="s">
        <v>479</v>
      </c>
      <c r="L60" s="246" t="s">
        <v>480</v>
      </c>
      <c r="M60" s="246" t="s">
        <v>481</v>
      </c>
      <c r="N60" s="246" t="s">
        <v>203</v>
      </c>
      <c r="O60" s="246" t="s">
        <v>482</v>
      </c>
      <c r="P60" s="247" t="s">
        <v>483</v>
      </c>
      <c r="T60" s="245" t="s">
        <v>479</v>
      </c>
      <c r="U60" s="246" t="s">
        <v>480</v>
      </c>
      <c r="V60" s="246" t="s">
        <v>481</v>
      </c>
      <c r="W60" s="246" t="s">
        <v>203</v>
      </c>
      <c r="X60" s="246" t="s">
        <v>482</v>
      </c>
      <c r="Y60" s="247" t="s">
        <v>483</v>
      </c>
      <c r="AC60" s="1549" t="s">
        <v>484</v>
      </c>
      <c r="AD60" s="228"/>
      <c r="AE60" s="228"/>
      <c r="AF60" s="228" t="s">
        <v>474</v>
      </c>
      <c r="AG60" s="228"/>
      <c r="AH60" s="229"/>
      <c r="AL60" s="227" t="s">
        <v>485</v>
      </c>
      <c r="AM60" s="228"/>
      <c r="AN60" s="228"/>
      <c r="AO60" s="228" t="s">
        <v>474</v>
      </c>
      <c r="AP60" s="228"/>
      <c r="AQ60" s="229"/>
      <c r="AU60" s="227" t="s">
        <v>433</v>
      </c>
      <c r="AV60" s="228"/>
      <c r="AW60" s="228"/>
      <c r="AX60" s="228" t="s">
        <v>474</v>
      </c>
      <c r="AY60" s="228"/>
      <c r="AZ60" s="229"/>
      <c r="BE60" s="1549" t="s">
        <v>486</v>
      </c>
      <c r="BF60" s="228"/>
      <c r="BG60" s="228"/>
      <c r="BH60" s="228"/>
      <c r="BI60" s="228" t="s">
        <v>474</v>
      </c>
      <c r="BJ60" s="228"/>
      <c r="BK60" s="229"/>
      <c r="BR60"/>
      <c r="CE60" s="266"/>
    </row>
    <row r="61" spans="2:83" ht="17" thickBot="1" x14ac:dyDescent="0.25">
      <c r="B61" s="238" t="s">
        <v>487</v>
      </c>
      <c r="C61" s="239">
        <v>479.42</v>
      </c>
      <c r="D61" s="239">
        <f t="shared" ref="D61:D81" si="27">C61*$I$62/$H$62</f>
        <v>196.79726339794752</v>
      </c>
      <c r="E61" s="240"/>
      <c r="F61" s="240"/>
      <c r="G61" s="241">
        <f>D61</f>
        <v>196.79726339794752</v>
      </c>
      <c r="H61" s="230" t="s">
        <v>488</v>
      </c>
      <c r="I61" s="231" t="s">
        <v>489</v>
      </c>
      <c r="K61" s="1551" t="s">
        <v>487</v>
      </c>
      <c r="L61" s="222">
        <v>199.44</v>
      </c>
      <c r="M61" s="239">
        <f t="shared" ref="M61:M71" si="28">L61*$R$62/$Q$62</f>
        <v>81.868187001140257</v>
      </c>
      <c r="N61" s="240"/>
      <c r="O61" s="240"/>
      <c r="P61" s="241">
        <f>M61</f>
        <v>81.868187001140257</v>
      </c>
      <c r="Q61" s="230" t="s">
        <v>488</v>
      </c>
      <c r="R61" s="231" t="s">
        <v>489</v>
      </c>
      <c r="T61" s="238" t="s">
        <v>487</v>
      </c>
      <c r="U61" s="239">
        <v>3207.92</v>
      </c>
      <c r="V61" s="243">
        <f t="shared" ref="V61:V93" si="29">U61*$AA$62/$Z$62</f>
        <v>2014.2370716410305</v>
      </c>
      <c r="Y61" s="244">
        <f>V61</f>
        <v>2014.2370716410305</v>
      </c>
      <c r="Z61" s="230" t="s">
        <v>488</v>
      </c>
      <c r="AA61" s="231" t="s">
        <v>489</v>
      </c>
      <c r="AC61" s="245" t="s">
        <v>479</v>
      </c>
      <c r="AD61" s="246" t="s">
        <v>480</v>
      </c>
      <c r="AE61" s="246" t="s">
        <v>481</v>
      </c>
      <c r="AF61" s="246" t="s">
        <v>203</v>
      </c>
      <c r="AG61" s="246" t="s">
        <v>482</v>
      </c>
      <c r="AH61" s="247" t="s">
        <v>483</v>
      </c>
      <c r="AL61" s="245" t="s">
        <v>479</v>
      </c>
      <c r="AM61" s="246" t="s">
        <v>480</v>
      </c>
      <c r="AN61" s="246" t="s">
        <v>481</v>
      </c>
      <c r="AO61" s="246" t="s">
        <v>203</v>
      </c>
      <c r="AP61" s="246" t="s">
        <v>482</v>
      </c>
      <c r="AQ61" s="247" t="s">
        <v>483</v>
      </c>
      <c r="AU61" s="232"/>
      <c r="AV61" s="223" t="s">
        <v>480</v>
      </c>
      <c r="AW61" s="223" t="s">
        <v>481</v>
      </c>
      <c r="AX61" s="223" t="s">
        <v>203</v>
      </c>
      <c r="AY61" s="223" t="s">
        <v>482</v>
      </c>
      <c r="AZ61" s="224" t="s">
        <v>483</v>
      </c>
      <c r="BE61" s="232"/>
      <c r="BF61" s="223" t="s">
        <v>490</v>
      </c>
      <c r="BG61" s="223" t="s">
        <v>491</v>
      </c>
      <c r="BH61" s="223" t="s">
        <v>492</v>
      </c>
      <c r="BI61" s="223" t="s">
        <v>203</v>
      </c>
      <c r="BJ61" s="1786" t="s">
        <v>493</v>
      </c>
      <c r="BK61" s="224" t="s">
        <v>198</v>
      </c>
      <c r="BR61" s="1368"/>
      <c r="CE61" s="267"/>
    </row>
    <row r="62" spans="2:83" ht="16" customHeight="1" thickBot="1" x14ac:dyDescent="0.25">
      <c r="B62" s="238" t="s">
        <v>494</v>
      </c>
      <c r="C62" s="239">
        <v>333.84</v>
      </c>
      <c r="D62" s="239">
        <f t="shared" si="27"/>
        <v>137.03808437856327</v>
      </c>
      <c r="E62" s="240">
        <f>D62</f>
        <v>137.03808437856327</v>
      </c>
      <c r="F62" s="240"/>
      <c r="G62" s="248"/>
      <c r="H62" s="233">
        <v>43.85</v>
      </c>
      <c r="I62" s="234">
        <f>D49</f>
        <v>18</v>
      </c>
      <c r="K62" s="1551" t="s">
        <v>495</v>
      </c>
      <c r="L62" s="222">
        <v>207.83</v>
      </c>
      <c r="M62" s="239">
        <f t="shared" si="28"/>
        <v>85.312200684150525</v>
      </c>
      <c r="N62" s="240">
        <f>M62</f>
        <v>85.312200684150525</v>
      </c>
      <c r="O62" s="240"/>
      <c r="P62" s="248"/>
      <c r="Q62" s="235">
        <v>5.9457945692301566</v>
      </c>
      <c r="R62" s="236">
        <f>Q62*I62/H62</f>
        <v>2.4406910432415696</v>
      </c>
      <c r="T62" s="238" t="s">
        <v>496</v>
      </c>
      <c r="U62" s="239">
        <v>13957.78</v>
      </c>
      <c r="V62" s="243">
        <f t="shared" si="29"/>
        <v>8764.0208963470868</v>
      </c>
      <c r="W62" s="249">
        <f>V62</f>
        <v>8764.0208963470868</v>
      </c>
      <c r="Y62" s="250"/>
      <c r="Z62" s="237">
        <v>111.4836</v>
      </c>
      <c r="AA62" s="234">
        <f>U51</f>
        <v>70</v>
      </c>
      <c r="AC62" s="238" t="s">
        <v>487</v>
      </c>
      <c r="AD62" s="239">
        <v>22455.47</v>
      </c>
      <c r="AE62" s="249">
        <f t="shared" ref="AE62:AE70" si="30">AD62*$AJ$63/$AI$63</f>
        <v>18300.928932058741</v>
      </c>
      <c r="AH62" s="244">
        <f>AE62</f>
        <v>18300.928932058741</v>
      </c>
      <c r="AI62" s="230" t="s">
        <v>497</v>
      </c>
      <c r="AJ62" s="231" t="s">
        <v>489</v>
      </c>
      <c r="AL62" s="238" t="s">
        <v>487</v>
      </c>
      <c r="AM62" s="239">
        <v>9790.07</v>
      </c>
      <c r="AN62" s="239">
        <f t="shared" ref="AN62:AN88" si="31">AM62*$AS$63/$AR$63</f>
        <v>2195.4275334693784</v>
      </c>
      <c r="AQ62" s="251">
        <f>AN62</f>
        <v>2195.4275334693784</v>
      </c>
      <c r="AR62" s="230" t="s">
        <v>488</v>
      </c>
      <c r="AS62" s="231" t="s">
        <v>489</v>
      </c>
      <c r="AU62" s="284" t="s">
        <v>498</v>
      </c>
      <c r="AV62" s="252">
        <f>AV76</f>
        <v>156319.03999999998</v>
      </c>
      <c r="AW62" s="252">
        <f>AW76</f>
        <v>133987.74857142856</v>
      </c>
      <c r="AX62" s="252">
        <f>AX76</f>
        <v>133436.15142857144</v>
      </c>
      <c r="AY62" s="252">
        <f>AY76</f>
        <v>0</v>
      </c>
      <c r="AZ62" s="251">
        <f>AZ76</f>
        <v>551.59714285714279</v>
      </c>
      <c r="BA62" s="501" t="s">
        <v>489</v>
      </c>
      <c r="BE62" s="284" t="s">
        <v>499</v>
      </c>
      <c r="BF62" s="252"/>
      <c r="BG62" s="252"/>
      <c r="BH62" s="252"/>
      <c r="BI62" s="252"/>
      <c r="BJ62" s="1787"/>
      <c r="BK62" s="2021" t="s">
        <v>500</v>
      </c>
      <c r="BR62"/>
    </row>
    <row r="63" spans="2:83" ht="17" customHeight="1" thickBot="1" x14ac:dyDescent="0.25">
      <c r="B63" s="238" t="s">
        <v>501</v>
      </c>
      <c r="C63" s="239">
        <v>903.79</v>
      </c>
      <c r="D63" s="239">
        <f t="shared" si="27"/>
        <v>370.99703534777649</v>
      </c>
      <c r="E63" s="240">
        <f>D63</f>
        <v>370.99703534777649</v>
      </c>
      <c r="F63" s="240"/>
      <c r="G63" s="241"/>
      <c r="K63" s="1551" t="s">
        <v>502</v>
      </c>
      <c r="L63" s="222">
        <v>752.61</v>
      </c>
      <c r="M63" s="239">
        <f t="shared" si="28"/>
        <v>308.939110604333</v>
      </c>
      <c r="N63" s="240">
        <f>M63</f>
        <v>308.939110604333</v>
      </c>
      <c r="O63" s="240"/>
      <c r="P63" s="241"/>
      <c r="T63" s="238" t="s">
        <v>503</v>
      </c>
      <c r="U63" s="239">
        <v>4156.18</v>
      </c>
      <c r="V63" s="243">
        <f t="shared" si="29"/>
        <v>2609.6448266830284</v>
      </c>
      <c r="X63" s="249">
        <f>V63</f>
        <v>2609.6448266830284</v>
      </c>
      <c r="Y63" s="250"/>
      <c r="AC63" s="238" t="s">
        <v>504</v>
      </c>
      <c r="AD63" s="239">
        <v>53777.77</v>
      </c>
      <c r="AE63" s="249">
        <f t="shared" si="30"/>
        <v>43828.214100822675</v>
      </c>
      <c r="AG63" s="249">
        <f>AE63</f>
        <v>43828.214100822675</v>
      </c>
      <c r="AH63" s="250"/>
      <c r="AI63" s="233">
        <v>780.38</v>
      </c>
      <c r="AJ63" s="234">
        <f>AD57</f>
        <v>636</v>
      </c>
      <c r="AL63" s="238" t="s">
        <v>505</v>
      </c>
      <c r="AM63" s="239">
        <v>17796.669999999998</v>
      </c>
      <c r="AN63" s="239">
        <f t="shared" si="31"/>
        <v>3990.9111295494804</v>
      </c>
      <c r="AO63" s="252">
        <f>AN63</f>
        <v>3990.9111295494804</v>
      </c>
      <c r="AQ63" s="250"/>
      <c r="AR63" s="233">
        <v>445.93</v>
      </c>
      <c r="AS63" s="234">
        <v>100</v>
      </c>
      <c r="AU63" s="284" t="s">
        <v>506</v>
      </c>
      <c r="AV63" s="252">
        <f>AV88</f>
        <v>41718.630000000005</v>
      </c>
      <c r="AW63" s="252">
        <f>AW88</f>
        <v>56039.95074626866</v>
      </c>
      <c r="AX63" s="252">
        <f>AX88</f>
        <v>37809.26865671642</v>
      </c>
      <c r="AY63" s="252">
        <f>AY88</f>
        <v>10789.079104477612</v>
      </c>
      <c r="AZ63" s="251">
        <f>AZ88</f>
        <v>7441.6029850746272</v>
      </c>
      <c r="BA63" s="502">
        <v>400</v>
      </c>
      <c r="BE63" s="52"/>
      <c r="BF63" s="140" t="s">
        <v>138</v>
      </c>
      <c r="BG63" s="555">
        <f>SUM(G48:G49)</f>
        <v>4240</v>
      </c>
      <c r="BH63" s="182">
        <f t="shared" ref="BH63:BH68" si="32">BG63*30</f>
        <v>127200</v>
      </c>
      <c r="BI63" s="182">
        <f t="shared" ref="BI63:BI68" si="33">BH63</f>
        <v>127200</v>
      </c>
      <c r="BJ63" s="1788">
        <f t="shared" ref="BJ63:BJ69" si="34">BH63/BG63</f>
        <v>30</v>
      </c>
      <c r="BK63" s="2021"/>
      <c r="BR63"/>
    </row>
    <row r="64" spans="2:83" x14ac:dyDescent="0.2">
      <c r="B64" s="238" t="s">
        <v>507</v>
      </c>
      <c r="C64" s="239">
        <v>291.31</v>
      </c>
      <c r="D64" s="239">
        <f t="shared" si="27"/>
        <v>119.57993158494868</v>
      </c>
      <c r="E64" s="240">
        <f>D64</f>
        <v>119.57993158494868</v>
      </c>
      <c r="F64" s="240"/>
      <c r="G64" s="241"/>
      <c r="K64" s="1551" t="s">
        <v>508</v>
      </c>
      <c r="L64" s="222">
        <v>277.45999999999998</v>
      </c>
      <c r="M64" s="239">
        <f t="shared" si="28"/>
        <v>113.89464082098061</v>
      </c>
      <c r="N64" s="240">
        <f>M64</f>
        <v>113.89464082098061</v>
      </c>
      <c r="O64" s="240"/>
      <c r="P64" s="241"/>
      <c r="T64" s="238" t="s">
        <v>509</v>
      </c>
      <c r="U64" s="239">
        <v>5195.49</v>
      </c>
      <c r="V64" s="243">
        <f t="shared" si="29"/>
        <v>3262.2224255406177</v>
      </c>
      <c r="W64" s="249">
        <f>V64</f>
        <v>3262.2224255406177</v>
      </c>
      <c r="Y64" s="250"/>
      <c r="AC64" s="238" t="s">
        <v>510</v>
      </c>
      <c r="AD64" s="239">
        <v>17942.25</v>
      </c>
      <c r="AE64" s="249">
        <f t="shared" si="30"/>
        <v>14622.710730669674</v>
      </c>
      <c r="AH64" s="244">
        <f>AE64</f>
        <v>14622.710730669674</v>
      </c>
      <c r="AL64" s="238" t="s">
        <v>511</v>
      </c>
      <c r="AM64" s="239">
        <v>11220.67</v>
      </c>
      <c r="AN64" s="239">
        <f t="shared" si="31"/>
        <v>2516.2402170744285</v>
      </c>
      <c r="AP64" s="252">
        <f>AN64</f>
        <v>2516.2402170744285</v>
      </c>
      <c r="AQ64" s="250"/>
      <c r="AU64" s="284" t="s">
        <v>512</v>
      </c>
      <c r="AV64" s="252">
        <f>AV103</f>
        <v>45293.969999999994</v>
      </c>
      <c r="AW64" s="252">
        <f>AW103</f>
        <v>33551.08888888888</v>
      </c>
      <c r="AX64" s="252">
        <f>AX103</f>
        <v>4000.4962962962964</v>
      </c>
      <c r="AY64" s="252">
        <f>AY103</f>
        <v>4225.2148148148153</v>
      </c>
      <c r="AZ64" s="251">
        <f>AZ103</f>
        <v>22442.207407407404</v>
      </c>
      <c r="BE64" s="52"/>
      <c r="BF64" s="140" t="s">
        <v>431</v>
      </c>
      <c r="BG64" s="555">
        <f>AS63</f>
        <v>100</v>
      </c>
      <c r="BH64" s="182">
        <f t="shared" si="32"/>
        <v>3000</v>
      </c>
      <c r="BI64" s="182">
        <f t="shared" si="33"/>
        <v>3000</v>
      </c>
      <c r="BJ64" s="1788">
        <f t="shared" si="34"/>
        <v>30</v>
      </c>
      <c r="BK64" s="2021"/>
      <c r="BR64"/>
    </row>
    <row r="65" spans="2:70" ht="17" thickBot="1" x14ac:dyDescent="0.25">
      <c r="B65" s="238" t="s">
        <v>513</v>
      </c>
      <c r="C65" s="239">
        <v>213</v>
      </c>
      <c r="D65" s="239">
        <f t="shared" si="27"/>
        <v>87.434435575826683</v>
      </c>
      <c r="E65" s="253"/>
      <c r="F65" s="240">
        <f>D65</f>
        <v>87.434435575826683</v>
      </c>
      <c r="G65" s="241"/>
      <c r="K65" s="1551" t="s">
        <v>514</v>
      </c>
      <c r="L65" s="222">
        <v>115.5</v>
      </c>
      <c r="M65" s="239">
        <f t="shared" si="28"/>
        <v>47.411630558722926</v>
      </c>
      <c r="N65" s="240">
        <f>M65</f>
        <v>47.411630558722926</v>
      </c>
      <c r="O65" s="240"/>
      <c r="P65" s="241"/>
      <c r="T65" s="238" t="s">
        <v>515</v>
      </c>
      <c r="U65" s="239">
        <v>1000.33</v>
      </c>
      <c r="V65" s="243">
        <f t="shared" si="29"/>
        <v>628.10225001704293</v>
      </c>
      <c r="Y65" s="244">
        <f>V65</f>
        <v>628.10225001704293</v>
      </c>
      <c r="AC65" s="238" t="s">
        <v>516</v>
      </c>
      <c r="AD65" s="239">
        <v>2568.87</v>
      </c>
      <c r="AE65" s="249">
        <f t="shared" si="30"/>
        <v>2093.5971193521104</v>
      </c>
      <c r="AH65" s="244">
        <f>AE65</f>
        <v>2093.5971193521104</v>
      </c>
      <c r="AL65" s="238" t="s">
        <v>517</v>
      </c>
      <c r="AM65" s="239">
        <v>3460.69</v>
      </c>
      <c r="AN65" s="239">
        <f t="shared" si="31"/>
        <v>776.06126522099885</v>
      </c>
      <c r="AQ65" s="251">
        <f>AN65</f>
        <v>776.06126522099885</v>
      </c>
      <c r="AU65" s="1789" t="s">
        <v>518</v>
      </c>
      <c r="AV65" s="1790">
        <f>SUM(AV62:AV64)</f>
        <v>243331.63999999998</v>
      </c>
      <c r="AW65" s="1790">
        <f>SUM(AW62:AW64)</f>
        <v>223578.78820658609</v>
      </c>
      <c r="AX65" s="1790">
        <f>SUM(AX62:AX64)</f>
        <v>175245.91638158416</v>
      </c>
      <c r="AY65" s="1790">
        <f>SUM(AY62:AY64)</f>
        <v>15014.293919292428</v>
      </c>
      <c r="AZ65" s="1791">
        <f>SUM(AZ62:AZ64)</f>
        <v>30435.407535339175</v>
      </c>
      <c r="BE65" s="52"/>
      <c r="BF65" s="140" t="s">
        <v>519</v>
      </c>
      <c r="BG65" s="555">
        <f>BA63</f>
        <v>400</v>
      </c>
      <c r="BH65" s="182">
        <f t="shared" si="32"/>
        <v>12000</v>
      </c>
      <c r="BI65" s="182">
        <f t="shared" si="33"/>
        <v>12000</v>
      </c>
      <c r="BJ65" s="1788">
        <f t="shared" si="34"/>
        <v>30</v>
      </c>
      <c r="BK65" s="2021"/>
      <c r="BR65"/>
    </row>
    <row r="66" spans="2:70" ht="17" thickBot="1" x14ac:dyDescent="0.25">
      <c r="B66" s="238" t="s">
        <v>520</v>
      </c>
      <c r="C66" s="239">
        <v>139.5</v>
      </c>
      <c r="D66" s="239">
        <f t="shared" si="27"/>
        <v>57.263397947548462</v>
      </c>
      <c r="E66" s="240"/>
      <c r="F66" s="240">
        <f>D66</f>
        <v>57.263397947548462</v>
      </c>
      <c r="G66" s="248"/>
      <c r="K66" s="1551" t="s">
        <v>521</v>
      </c>
      <c r="L66" s="222">
        <v>65.98</v>
      </c>
      <c r="M66" s="239">
        <f t="shared" si="28"/>
        <v>27.084150513112888</v>
      </c>
      <c r="N66" s="240"/>
      <c r="O66" s="240"/>
      <c r="P66" s="241">
        <f>M66</f>
        <v>27.084150513112888</v>
      </c>
      <c r="T66" s="238" t="s">
        <v>522</v>
      </c>
      <c r="U66" s="239">
        <v>1411.81</v>
      </c>
      <c r="V66" s="243">
        <f t="shared" si="29"/>
        <v>886.46850299057439</v>
      </c>
      <c r="Y66" s="244">
        <f>V66</f>
        <v>886.46850299057439</v>
      </c>
      <c r="AC66" s="238" t="s">
        <v>523</v>
      </c>
      <c r="AD66" s="239">
        <v>6894.84</v>
      </c>
      <c r="AE66" s="249">
        <f t="shared" si="30"/>
        <v>5619.2088982290679</v>
      </c>
      <c r="AH66" s="244">
        <f>AE66</f>
        <v>5619.2088982290679</v>
      </c>
      <c r="AL66" s="238" t="s">
        <v>524</v>
      </c>
      <c r="AM66" s="239">
        <v>5361.07</v>
      </c>
      <c r="AN66" s="239">
        <f t="shared" si="31"/>
        <v>1202.2223218890856</v>
      </c>
      <c r="AQ66" s="251">
        <f>AN66</f>
        <v>1202.2223218890856</v>
      </c>
      <c r="AU66" s="272" t="s">
        <v>525</v>
      </c>
      <c r="AV66" s="273">
        <f>AV65*0.86</f>
        <v>209265.21039999998</v>
      </c>
      <c r="AW66" s="274">
        <f>AW65*0.86</f>
        <v>192277.75785766402</v>
      </c>
      <c r="AX66" s="274">
        <f>AX65*0.86</f>
        <v>150711.48808816238</v>
      </c>
      <c r="AY66" s="274">
        <f>AY65*0.86</f>
        <v>12912.292770591488</v>
      </c>
      <c r="AZ66" s="275">
        <f>AZ65*0.86</f>
        <v>26174.45048039169</v>
      </c>
      <c r="BE66" s="52"/>
      <c r="BF66" s="140" t="s">
        <v>526</v>
      </c>
      <c r="BG66" s="555">
        <f>AJ63</f>
        <v>636</v>
      </c>
      <c r="BH66" s="182">
        <f t="shared" si="32"/>
        <v>19080</v>
      </c>
      <c r="BI66" s="182">
        <f t="shared" si="33"/>
        <v>19080</v>
      </c>
      <c r="BJ66" s="1788">
        <f t="shared" si="34"/>
        <v>30</v>
      </c>
      <c r="BK66" s="2021"/>
      <c r="BR66"/>
    </row>
    <row r="67" spans="2:70" x14ac:dyDescent="0.2">
      <c r="B67" s="238" t="s">
        <v>504</v>
      </c>
      <c r="C67" s="239">
        <v>1087.76</v>
      </c>
      <c r="D67" s="239">
        <f t="shared" si="27"/>
        <v>446.51493728620295</v>
      </c>
      <c r="E67" s="240"/>
      <c r="F67" s="240">
        <f>D67</f>
        <v>446.51493728620295</v>
      </c>
      <c r="G67" s="248"/>
      <c r="K67" s="1551" t="s">
        <v>527</v>
      </c>
      <c r="L67" s="222">
        <v>274.07</v>
      </c>
      <c r="M67" s="239">
        <f t="shared" si="28"/>
        <v>112.50307867730902</v>
      </c>
      <c r="N67" s="240"/>
      <c r="O67" s="240">
        <f>M67</f>
        <v>112.50307867730902</v>
      </c>
      <c r="P67" s="248"/>
      <c r="T67" s="238" t="s">
        <v>516</v>
      </c>
      <c r="U67" s="239">
        <v>231.57</v>
      </c>
      <c r="V67" s="243">
        <f t="shared" si="29"/>
        <v>145.40165549013489</v>
      </c>
      <c r="X67" s="249">
        <f>V67</f>
        <v>145.40165549013489</v>
      </c>
      <c r="Y67" s="250"/>
      <c r="AC67" s="238" t="s">
        <v>528</v>
      </c>
      <c r="AD67" s="239">
        <v>7557.7</v>
      </c>
      <c r="AE67" s="249">
        <f t="shared" si="30"/>
        <v>6159.4315589840853</v>
      </c>
      <c r="AF67" s="249">
        <f>AE67</f>
        <v>6159.4315589840853</v>
      </c>
      <c r="AH67" s="250"/>
      <c r="AL67" s="238" t="s">
        <v>522</v>
      </c>
      <c r="AM67" s="239">
        <v>10701.36</v>
      </c>
      <c r="AN67" s="239">
        <f t="shared" si="31"/>
        <v>2399.7847195748213</v>
      </c>
      <c r="AQ67" s="251">
        <f>AN67</f>
        <v>2399.7847195748213</v>
      </c>
      <c r="BE67" s="52"/>
      <c r="BF67" s="140" t="s">
        <v>529</v>
      </c>
      <c r="BG67" s="555">
        <f>120+120+70+61</f>
        <v>371</v>
      </c>
      <c r="BH67" s="182">
        <f t="shared" si="32"/>
        <v>11130</v>
      </c>
      <c r="BI67" s="182">
        <f t="shared" si="33"/>
        <v>11130</v>
      </c>
      <c r="BJ67" s="1788">
        <f t="shared" si="34"/>
        <v>30</v>
      </c>
      <c r="BK67" s="2021"/>
      <c r="BR67"/>
    </row>
    <row r="68" spans="2:70" ht="17" thickBot="1" x14ac:dyDescent="0.25">
      <c r="B68" s="238" t="s">
        <v>530</v>
      </c>
      <c r="C68" s="239">
        <v>159.66999999999999</v>
      </c>
      <c r="D68" s="239">
        <f t="shared" si="27"/>
        <v>65.542987457240585</v>
      </c>
      <c r="E68" s="240">
        <f t="shared" ref="E68:E76" si="35">D68</f>
        <v>65.542987457240585</v>
      </c>
      <c r="F68" s="240"/>
      <c r="G68" s="248"/>
      <c r="K68" s="1551" t="s">
        <v>531</v>
      </c>
      <c r="L68" s="222">
        <v>115.41</v>
      </c>
      <c r="M68" s="239">
        <f t="shared" si="28"/>
        <v>47.374686431014823</v>
      </c>
      <c r="N68" s="240">
        <f>M68</f>
        <v>47.374686431014823</v>
      </c>
      <c r="O68" s="240"/>
      <c r="P68" s="248"/>
      <c r="T68" s="238" t="s">
        <v>527</v>
      </c>
      <c r="U68" s="239">
        <v>5915.82</v>
      </c>
      <c r="V68" s="243">
        <f t="shared" si="29"/>
        <v>3714.514063055014</v>
      </c>
      <c r="Y68" s="244">
        <f>V68</f>
        <v>3714.514063055014</v>
      </c>
      <c r="AC68" s="238" t="s">
        <v>527</v>
      </c>
      <c r="AD68" s="239">
        <v>41410.769999999997</v>
      </c>
      <c r="AE68" s="249">
        <f t="shared" si="30"/>
        <v>33749.262820677104</v>
      </c>
      <c r="AG68" s="249">
        <f>AE68</f>
        <v>33749.262820677104</v>
      </c>
      <c r="AH68" s="250"/>
      <c r="AL68" s="238" t="s">
        <v>532</v>
      </c>
      <c r="AM68" s="239">
        <v>963.26</v>
      </c>
      <c r="AN68" s="239">
        <f t="shared" si="31"/>
        <v>216.0114816226762</v>
      </c>
      <c r="AQ68" s="251">
        <f>AN68</f>
        <v>216.0114816226762</v>
      </c>
      <c r="BE68" s="518"/>
      <c r="BF68" s="1373" t="s">
        <v>533</v>
      </c>
      <c r="BG68" s="1374">
        <f>90</f>
        <v>90</v>
      </c>
      <c r="BH68" s="1375">
        <f t="shared" si="32"/>
        <v>2700</v>
      </c>
      <c r="BI68" s="1375">
        <f t="shared" si="33"/>
        <v>2700</v>
      </c>
      <c r="BJ68" s="1376">
        <f t="shared" si="34"/>
        <v>30</v>
      </c>
      <c r="BK68" s="2022"/>
      <c r="BR68"/>
    </row>
    <row r="69" spans="2:70" ht="17" thickBot="1" x14ac:dyDescent="0.25">
      <c r="B69" s="238" t="s">
        <v>534</v>
      </c>
      <c r="C69" s="239">
        <v>249</v>
      </c>
      <c r="D69" s="239">
        <f t="shared" si="27"/>
        <v>102.21208665906499</v>
      </c>
      <c r="E69" s="240">
        <f t="shared" si="35"/>
        <v>102.21208665906499</v>
      </c>
      <c r="F69" s="240"/>
      <c r="G69" s="248"/>
      <c r="K69" s="1551" t="s">
        <v>535</v>
      </c>
      <c r="L69" s="222">
        <v>96.33</v>
      </c>
      <c r="M69" s="239">
        <f t="shared" si="28"/>
        <v>39.542531356898522</v>
      </c>
      <c r="N69" s="240"/>
      <c r="O69" s="240"/>
      <c r="P69" s="241">
        <f>M69</f>
        <v>39.542531356898522</v>
      </c>
      <c r="T69" s="238" t="s">
        <v>536</v>
      </c>
      <c r="U69" s="239">
        <v>13590.59</v>
      </c>
      <c r="V69" s="243">
        <f t="shared" si="29"/>
        <v>8533.4641149012059</v>
      </c>
      <c r="Y69" s="244">
        <f>V69</f>
        <v>8533.4641149012059</v>
      </c>
      <c r="AC69" s="238" t="s">
        <v>537</v>
      </c>
      <c r="AD69" s="239">
        <v>68999</v>
      </c>
      <c r="AE69" s="249">
        <f t="shared" si="30"/>
        <v>56233.327353340683</v>
      </c>
      <c r="AG69" s="249">
        <f>AE69</f>
        <v>56233.327353340683</v>
      </c>
      <c r="AH69" s="250"/>
      <c r="AL69" s="238" t="s">
        <v>538</v>
      </c>
      <c r="AM69" s="239">
        <v>3128.41</v>
      </c>
      <c r="AN69" s="239">
        <f t="shared" si="31"/>
        <v>701.54732805597291</v>
      </c>
      <c r="AP69" s="252">
        <f>AN69</f>
        <v>701.54732805597291</v>
      </c>
      <c r="AQ69" s="250"/>
      <c r="AU69" s="227" t="s">
        <v>498</v>
      </c>
      <c r="AV69" s="228"/>
      <c r="AW69" s="228"/>
      <c r="AX69" s="228" t="s">
        <v>474</v>
      </c>
      <c r="AY69" s="228"/>
      <c r="AZ69" s="229"/>
      <c r="BE69" s="1369" t="s">
        <v>437</v>
      </c>
      <c r="BF69" s="1370"/>
      <c r="BG69" s="1372">
        <f>SUM(BG63:BG68)</f>
        <v>5837</v>
      </c>
      <c r="BH69" s="1370">
        <f>SUM(BH63:BH68)</f>
        <v>175110</v>
      </c>
      <c r="BI69" s="1370">
        <f>SUM(BI63:BI68)</f>
        <v>175110</v>
      </c>
      <c r="BJ69" s="1377">
        <f t="shared" si="34"/>
        <v>30</v>
      </c>
      <c r="BK69" s="1371"/>
      <c r="BL69" s="239"/>
      <c r="BM69" s="239"/>
      <c r="BN69" s="239"/>
      <c r="BO69" s="239"/>
      <c r="BP69" s="239"/>
      <c r="BQ69" s="239"/>
      <c r="BR69"/>
    </row>
    <row r="70" spans="2:70" ht="17" thickBot="1" x14ac:dyDescent="0.25">
      <c r="B70" s="238" t="s">
        <v>539</v>
      </c>
      <c r="C70" s="239">
        <v>237</v>
      </c>
      <c r="D70" s="239">
        <f t="shared" si="27"/>
        <v>97.286202964652219</v>
      </c>
      <c r="E70" s="240">
        <f t="shared" si="35"/>
        <v>97.286202964652219</v>
      </c>
      <c r="F70" s="240"/>
      <c r="G70" s="248"/>
      <c r="K70" s="1551" t="s">
        <v>540</v>
      </c>
      <c r="L70" s="222">
        <v>216.44</v>
      </c>
      <c r="M70" s="239">
        <f t="shared" si="28"/>
        <v>88.846522234891694</v>
      </c>
      <c r="N70" s="240"/>
      <c r="O70" s="240"/>
      <c r="P70" s="241">
        <f>M70</f>
        <v>88.846522234891694</v>
      </c>
      <c r="T70" s="238" t="s">
        <v>541</v>
      </c>
      <c r="U70" s="239">
        <v>3476.12</v>
      </c>
      <c r="V70" s="243">
        <f t="shared" si="29"/>
        <v>2182.6385226167795</v>
      </c>
      <c r="X70" s="249">
        <f>V70</f>
        <v>2182.6385226167795</v>
      </c>
      <c r="Y70" s="250"/>
      <c r="AC70" s="238" t="s">
        <v>542</v>
      </c>
      <c r="AD70" s="239">
        <v>15980.98</v>
      </c>
      <c r="AE70" s="249">
        <f t="shared" si="30"/>
        <v>13024.300058945641</v>
      </c>
      <c r="AG70" s="249">
        <f>AE70</f>
        <v>13024.300058945641</v>
      </c>
      <c r="AH70" s="250"/>
      <c r="AL70" s="238" t="s">
        <v>537</v>
      </c>
      <c r="AM70" s="239">
        <v>8011.67</v>
      </c>
      <c r="AN70" s="239">
        <f t="shared" si="31"/>
        <v>1796.6205458255779</v>
      </c>
      <c r="AP70" s="252">
        <f>AN70</f>
        <v>1796.6205458255779</v>
      </c>
      <c r="AQ70" s="250"/>
      <c r="AU70" s="232" t="s">
        <v>479</v>
      </c>
      <c r="AV70" s="223" t="s">
        <v>480</v>
      </c>
      <c r="AW70" s="223" t="s">
        <v>481</v>
      </c>
      <c r="AX70" s="223" t="s">
        <v>203</v>
      </c>
      <c r="AY70" s="223" t="s">
        <v>482</v>
      </c>
      <c r="AZ70" s="224" t="s">
        <v>483</v>
      </c>
      <c r="BJ70"/>
      <c r="BK70"/>
      <c r="BL70"/>
      <c r="BM70"/>
      <c r="BN70"/>
      <c r="BO70"/>
      <c r="BP70"/>
      <c r="BQ70"/>
      <c r="BR70"/>
    </row>
    <row r="71" spans="2:70" ht="17" thickBot="1" x14ac:dyDescent="0.25">
      <c r="B71" s="238" t="s">
        <v>543</v>
      </c>
      <c r="C71" s="239">
        <v>382</v>
      </c>
      <c r="D71" s="239">
        <f t="shared" si="27"/>
        <v>156.8072976054732</v>
      </c>
      <c r="E71" s="240">
        <f t="shared" si="35"/>
        <v>156.8072976054732</v>
      </c>
      <c r="F71" s="240"/>
      <c r="G71" s="248"/>
      <c r="K71" s="1551" t="s">
        <v>544</v>
      </c>
      <c r="L71" s="222">
        <v>236.74</v>
      </c>
      <c r="M71" s="239">
        <f t="shared" si="28"/>
        <v>97.179475484606613</v>
      </c>
      <c r="N71" s="240"/>
      <c r="O71" s="240"/>
      <c r="P71" s="241">
        <f>M71</f>
        <v>97.179475484606613</v>
      </c>
      <c r="T71" s="238" t="s">
        <v>545</v>
      </c>
      <c r="U71" s="239">
        <v>30164.240000000002</v>
      </c>
      <c r="V71" s="243">
        <f t="shared" si="29"/>
        <v>18939.976821702927</v>
      </c>
      <c r="X71" s="249">
        <f>V71</f>
        <v>18939.976821702927</v>
      </c>
      <c r="Y71" s="250"/>
      <c r="AC71" s="1789" t="s">
        <v>518</v>
      </c>
      <c r="AD71" s="1790">
        <f>SUM(AD62:AD70)</f>
        <v>237587.65</v>
      </c>
      <c r="AE71" s="1790">
        <f>SUM(AE62:AE70)</f>
        <v>193630.98157307977</v>
      </c>
      <c r="AF71" s="1790">
        <f>SUM(AF62:AF70)</f>
        <v>6159.4315589840853</v>
      </c>
      <c r="AG71" s="1790">
        <f>SUM(AG62:AG70)</f>
        <v>146835.10433378609</v>
      </c>
      <c r="AH71" s="1791">
        <f>SUM(AH62:AH70)</f>
        <v>40636.445680309589</v>
      </c>
      <c r="AL71" s="238" t="s">
        <v>546</v>
      </c>
      <c r="AM71" s="239">
        <v>28988.93</v>
      </c>
      <c r="AN71" s="239">
        <f t="shared" si="31"/>
        <v>6500.7803915412733</v>
      </c>
      <c r="AO71" s="252">
        <f>AN71</f>
        <v>6500.7803915412733</v>
      </c>
      <c r="AQ71" s="250"/>
      <c r="AU71" s="238" t="s">
        <v>547</v>
      </c>
      <c r="AV71" s="239">
        <v>85725.42</v>
      </c>
      <c r="AW71" s="249">
        <f>AV71*$BB$72/$BA$72</f>
        <v>73478.931428571435</v>
      </c>
      <c r="AX71" s="249">
        <f>AW71</f>
        <v>73478.931428571435</v>
      </c>
      <c r="AZ71" s="244"/>
      <c r="BA71" s="230" t="s">
        <v>488</v>
      </c>
      <c r="BB71" s="499" t="s">
        <v>489</v>
      </c>
      <c r="BC71" s="503" t="s">
        <v>548</v>
      </c>
      <c r="BJ71"/>
      <c r="BK71"/>
      <c r="BL71"/>
      <c r="BM71"/>
      <c r="BN71"/>
      <c r="BO71"/>
      <c r="BP71"/>
      <c r="BQ71"/>
      <c r="BR71"/>
    </row>
    <row r="72" spans="2:70" ht="17" thickBot="1" x14ac:dyDescent="0.25">
      <c r="B72" s="238" t="s">
        <v>549</v>
      </c>
      <c r="C72" s="239">
        <v>289.11</v>
      </c>
      <c r="D72" s="239">
        <f t="shared" si="27"/>
        <v>118.67685290763968</v>
      </c>
      <c r="E72" s="240">
        <f t="shared" si="35"/>
        <v>118.67685290763968</v>
      </c>
      <c r="F72" s="240"/>
      <c r="G72" s="248"/>
      <c r="K72" s="1792" t="s">
        <v>518</v>
      </c>
      <c r="L72" s="1790">
        <f>SUM(L61:L71)</f>
        <v>2557.8100000000004</v>
      </c>
      <c r="M72" s="1790">
        <f>SUM(M61:M71)</f>
        <v>1049.956214367161</v>
      </c>
      <c r="N72" s="1790">
        <f>SUM(N61:N71)</f>
        <v>602.9322690992019</v>
      </c>
      <c r="O72" s="1790">
        <f>SUM(O61:O71)</f>
        <v>112.50307867730902</v>
      </c>
      <c r="P72" s="1791">
        <f>SUM(P61:P71)</f>
        <v>334.52086659064997</v>
      </c>
      <c r="T72" s="238" t="s">
        <v>550</v>
      </c>
      <c r="U72" s="239">
        <v>9734.1200000000008</v>
      </c>
      <c r="V72" s="243">
        <f t="shared" si="29"/>
        <v>6112.0057120509209</v>
      </c>
      <c r="W72" s="249">
        <f>V72</f>
        <v>6112.0057120509209</v>
      </c>
      <c r="Y72" s="250"/>
      <c r="AC72" s="272" t="s">
        <v>525</v>
      </c>
      <c r="AD72" s="273">
        <f>AD71*0.86</f>
        <v>204325.37899999999</v>
      </c>
      <c r="AE72" s="274">
        <f>AE71*0.86</f>
        <v>166522.6441528486</v>
      </c>
      <c r="AF72" s="274">
        <f>AF71*0.86</f>
        <v>5297.1111407263134</v>
      </c>
      <c r="AG72" s="274">
        <f>AG71*0.86</f>
        <v>126278.18972705603</v>
      </c>
      <c r="AH72" s="275">
        <f>AH71*0.86</f>
        <v>34947.343285066243</v>
      </c>
      <c r="AL72" s="238" t="s">
        <v>551</v>
      </c>
      <c r="AM72" s="239">
        <v>63180.639999999999</v>
      </c>
      <c r="AN72" s="239">
        <f t="shared" si="31"/>
        <v>14168.286502365841</v>
      </c>
      <c r="AQ72" s="251">
        <f>AN72</f>
        <v>14168.286502365841</v>
      </c>
      <c r="AU72" s="238" t="s">
        <v>516</v>
      </c>
      <c r="AV72" s="239">
        <v>643.53</v>
      </c>
      <c r="AW72" s="249">
        <f>AV72*$BB$72/$BA$72</f>
        <v>551.59714285714279</v>
      </c>
      <c r="AZ72" s="244">
        <f>AW72</f>
        <v>551.59714285714279</v>
      </c>
      <c r="BA72" s="233">
        <v>140</v>
      </c>
      <c r="BB72" s="500">
        <f>BA63*BC72</f>
        <v>120</v>
      </c>
      <c r="BC72" s="1319">
        <v>0.3</v>
      </c>
      <c r="BJ72"/>
      <c r="BK72"/>
      <c r="BL72"/>
      <c r="BM72"/>
      <c r="BN72"/>
      <c r="BO72"/>
      <c r="BP72"/>
      <c r="BQ72"/>
      <c r="BR72"/>
    </row>
    <row r="73" spans="2:70" ht="17" thickBot="1" x14ac:dyDescent="0.25">
      <c r="B73" s="238" t="s">
        <v>552</v>
      </c>
      <c r="C73" s="239">
        <v>450.67</v>
      </c>
      <c r="D73" s="239">
        <f t="shared" si="27"/>
        <v>184.9956670467503</v>
      </c>
      <c r="E73" s="240">
        <f t="shared" si="35"/>
        <v>184.9956670467503</v>
      </c>
      <c r="F73" s="240"/>
      <c r="G73" s="248"/>
      <c r="K73" s="1551" t="s">
        <v>525</v>
      </c>
      <c r="L73" s="254">
        <f>L72*0.86</f>
        <v>2199.7166000000002</v>
      </c>
      <c r="M73" s="254">
        <f>M72*0.86</f>
        <v>902.96234435575843</v>
      </c>
      <c r="N73" s="254">
        <f>N72*0.86</f>
        <v>518.5217514253136</v>
      </c>
      <c r="O73" s="254">
        <f>O72*0.86</f>
        <v>96.752647662485757</v>
      </c>
      <c r="P73" s="258">
        <f>P72*0.86</f>
        <v>287.68794526795898</v>
      </c>
      <c r="T73" s="238" t="s">
        <v>553</v>
      </c>
      <c r="U73" s="239">
        <v>16565.21</v>
      </c>
      <c r="V73" s="243">
        <f t="shared" si="29"/>
        <v>10401.213272624853</v>
      </c>
      <c r="W73" s="249">
        <f>V73</f>
        <v>10401.213272624853</v>
      </c>
      <c r="Y73" s="250"/>
      <c r="AC73" s="255"/>
      <c r="AD73" s="254"/>
      <c r="AE73" s="256"/>
      <c r="AF73" s="257"/>
      <c r="AG73" s="257"/>
      <c r="AH73" s="257"/>
      <c r="AI73" s="257"/>
      <c r="AL73" s="238" t="s">
        <v>554</v>
      </c>
      <c r="AM73" s="239">
        <v>38306.269999999997</v>
      </c>
      <c r="AN73" s="239">
        <f t="shared" si="31"/>
        <v>8590.1980131410746</v>
      </c>
      <c r="AO73" s="252">
        <f>AN73</f>
        <v>8590.1980131410746</v>
      </c>
      <c r="AQ73" s="250"/>
      <c r="AU73" s="238" t="s">
        <v>555</v>
      </c>
      <c r="AV73" s="239">
        <v>16391.29</v>
      </c>
      <c r="AW73" s="249">
        <f>AV73*$BB$72/$BA$72</f>
        <v>14049.677142857143</v>
      </c>
      <c r="AX73" s="249">
        <f>AW73</f>
        <v>14049.677142857143</v>
      </c>
      <c r="AZ73" s="250"/>
      <c r="BC73" s="267"/>
      <c r="BJ73"/>
      <c r="BK73"/>
      <c r="BL73"/>
      <c r="BM73"/>
      <c r="BN73"/>
      <c r="BO73"/>
      <c r="BP73"/>
      <c r="BQ73"/>
      <c r="BR73"/>
    </row>
    <row r="74" spans="2:70" ht="17" thickBot="1" x14ac:dyDescent="0.25">
      <c r="B74" s="238" t="s">
        <v>556</v>
      </c>
      <c r="C74" s="239">
        <v>869</v>
      </c>
      <c r="D74" s="239">
        <f t="shared" si="27"/>
        <v>356.71607753705814</v>
      </c>
      <c r="E74" s="240">
        <f t="shared" si="35"/>
        <v>356.71607753705814</v>
      </c>
      <c r="F74" s="253"/>
      <c r="G74" s="241"/>
      <c r="K74" s="1552" t="s">
        <v>557</v>
      </c>
      <c r="L74" s="277"/>
      <c r="M74" s="278">
        <f>(M73)*$L$49</f>
        <v>13544.435165336377</v>
      </c>
      <c r="N74" s="278">
        <f>(N73)*$L$49</f>
        <v>7777.8262713797039</v>
      </c>
      <c r="O74" s="278">
        <f>(O73)*$L$49</f>
        <v>1451.2897149372864</v>
      </c>
      <c r="P74" s="279">
        <f>(P73)*$L$49</f>
        <v>4315.319179019385</v>
      </c>
      <c r="T74" s="238" t="s">
        <v>551</v>
      </c>
      <c r="U74" s="239">
        <v>12878.24</v>
      </c>
      <c r="V74" s="243">
        <f t="shared" si="29"/>
        <v>8086.1830798431338</v>
      </c>
      <c r="Y74" s="244">
        <f>V74</f>
        <v>8086.1830798431338</v>
      </c>
      <c r="AL74" s="238" t="s">
        <v>558</v>
      </c>
      <c r="AM74" s="239">
        <v>82549.2</v>
      </c>
      <c r="AN74" s="239">
        <f t="shared" si="31"/>
        <v>18511.694660596953</v>
      </c>
      <c r="AQ74" s="251">
        <f>AN74</f>
        <v>18511.694660596953</v>
      </c>
      <c r="AU74" s="238" t="s">
        <v>559</v>
      </c>
      <c r="AV74" s="239">
        <v>50799.96</v>
      </c>
      <c r="AW74" s="249">
        <f>AV74*$BB$72/$BA$72</f>
        <v>43542.822857142855</v>
      </c>
      <c r="AX74" s="249">
        <f>AW74</f>
        <v>43542.822857142855</v>
      </c>
      <c r="AZ74" s="244"/>
      <c r="BC74" s="267"/>
      <c r="BJ74"/>
      <c r="BK74"/>
      <c r="BL74"/>
      <c r="BM74"/>
      <c r="BN74"/>
      <c r="BO74"/>
      <c r="BP74"/>
      <c r="BQ74"/>
      <c r="BR74"/>
    </row>
    <row r="75" spans="2:70" x14ac:dyDescent="0.2">
      <c r="B75" s="238" t="s">
        <v>560</v>
      </c>
      <c r="C75" s="239">
        <v>644.66999999999996</v>
      </c>
      <c r="D75" s="239">
        <f t="shared" si="27"/>
        <v>264.63078677309005</v>
      </c>
      <c r="E75" s="240">
        <f t="shared" si="35"/>
        <v>264.63078677309005</v>
      </c>
      <c r="G75" s="250"/>
      <c r="K75" s="1553"/>
      <c r="L75" s="242"/>
      <c r="T75" s="238" t="s">
        <v>561</v>
      </c>
      <c r="U75" s="239">
        <v>37026.5</v>
      </c>
      <c r="V75" s="243">
        <f t="shared" si="29"/>
        <v>23248.75587081867</v>
      </c>
      <c r="W75" s="249">
        <f>V75</f>
        <v>23248.75587081867</v>
      </c>
      <c r="Y75" s="250"/>
      <c r="AL75" s="238" t="s">
        <v>562</v>
      </c>
      <c r="AM75" s="239">
        <v>129579.68</v>
      </c>
      <c r="AN75" s="239">
        <f t="shared" si="31"/>
        <v>29058.300630143745</v>
      </c>
      <c r="AQ75" s="251">
        <f>AN75</f>
        <v>29058.300630143745</v>
      </c>
      <c r="AU75" s="238" t="s">
        <v>563</v>
      </c>
      <c r="AV75" s="239">
        <v>2758.84</v>
      </c>
      <c r="AW75" s="249">
        <f>AV75*$BB$72/$BA$72</f>
        <v>2364.7200000000003</v>
      </c>
      <c r="AX75" s="249">
        <f>AW75</f>
        <v>2364.7200000000003</v>
      </c>
      <c r="AZ75" s="250"/>
      <c r="BC75" s="267"/>
      <c r="BJ75"/>
      <c r="BK75"/>
      <c r="BL75"/>
      <c r="BM75"/>
      <c r="BN75"/>
      <c r="BO75"/>
      <c r="BP75"/>
      <c r="BQ75"/>
      <c r="BR75"/>
    </row>
    <row r="76" spans="2:70" ht="17" thickBot="1" x14ac:dyDescent="0.25">
      <c r="B76" s="238" t="s">
        <v>564</v>
      </c>
      <c r="C76" s="239">
        <v>697.5</v>
      </c>
      <c r="D76" s="239">
        <f t="shared" si="27"/>
        <v>286.31698973774229</v>
      </c>
      <c r="E76" s="240">
        <f t="shared" si="35"/>
        <v>286.31698973774229</v>
      </c>
      <c r="F76" s="253"/>
      <c r="G76" s="241"/>
      <c r="K76" s="1514"/>
      <c r="T76" s="238" t="s">
        <v>565</v>
      </c>
      <c r="U76" s="239">
        <v>53159.08</v>
      </c>
      <c r="V76" s="243">
        <f t="shared" si="29"/>
        <v>33378.322910275594</v>
      </c>
      <c r="W76" s="249">
        <f>V76</f>
        <v>33378.322910275594</v>
      </c>
      <c r="Y76" s="250"/>
      <c r="AL76" s="238" t="s">
        <v>566</v>
      </c>
      <c r="AM76" s="239">
        <v>45945</v>
      </c>
      <c r="AN76" s="239">
        <f t="shared" si="31"/>
        <v>10303.186598793533</v>
      </c>
      <c r="AQ76" s="251">
        <f>AN76</f>
        <v>10303.186598793533</v>
      </c>
      <c r="AU76" s="1789" t="s">
        <v>518</v>
      </c>
      <c r="AV76" s="1790">
        <f>SUM(AV71:AV75)</f>
        <v>156319.03999999998</v>
      </c>
      <c r="AW76" s="1790">
        <f>SUM(AW71:AW75)</f>
        <v>133987.74857142856</v>
      </c>
      <c r="AX76" s="1790">
        <f>SUM(AX71:AX75)</f>
        <v>133436.15142857144</v>
      </c>
      <c r="AY76" s="1790">
        <f>SUM(AY71:AY75)</f>
        <v>0</v>
      </c>
      <c r="AZ76" s="1791">
        <f>SUM(AZ71:AZ75)</f>
        <v>551.59714285714279</v>
      </c>
      <c r="BC76" s="267"/>
      <c r="BJ76"/>
      <c r="BK76"/>
      <c r="BL76"/>
      <c r="BM76"/>
      <c r="BN76"/>
      <c r="BO76"/>
      <c r="BP76"/>
      <c r="BQ76"/>
      <c r="BR76"/>
    </row>
    <row r="77" spans="2:70" ht="17" thickBot="1" x14ac:dyDescent="0.25">
      <c r="B77" s="238" t="s">
        <v>567</v>
      </c>
      <c r="C77" s="239">
        <v>484.62</v>
      </c>
      <c r="D77" s="239">
        <f t="shared" si="27"/>
        <v>198.93181299885973</v>
      </c>
      <c r="E77" s="253"/>
      <c r="F77" s="253"/>
      <c r="G77" s="241">
        <f>D77</f>
        <v>198.93181299885973</v>
      </c>
      <c r="K77" s="1514"/>
      <c r="T77" s="238" t="s">
        <v>568</v>
      </c>
      <c r="U77" s="239">
        <v>72422.75</v>
      </c>
      <c r="V77" s="243">
        <f t="shared" si="29"/>
        <v>45473.885845092911</v>
      </c>
      <c r="W77" s="249">
        <f>V77</f>
        <v>45473.885845092911</v>
      </c>
      <c r="Y77" s="250"/>
      <c r="AL77" s="238" t="s">
        <v>569</v>
      </c>
      <c r="AM77" s="239">
        <v>35911.14</v>
      </c>
      <c r="AN77" s="239">
        <f t="shared" si="31"/>
        <v>8053.0890498508734</v>
      </c>
      <c r="AQ77" s="251">
        <f>AN77</f>
        <v>8053.0890498508734</v>
      </c>
      <c r="AU77" s="272" t="s">
        <v>525</v>
      </c>
      <c r="AV77" s="273">
        <f>AV76*0.86</f>
        <v>134434.37439999997</v>
      </c>
      <c r="AW77" s="274">
        <f>AW76*0.86</f>
        <v>115229.46377142856</v>
      </c>
      <c r="AX77" s="274">
        <f>AX76*0.86</f>
        <v>114755.09022857144</v>
      </c>
      <c r="AY77" s="274">
        <f>AY76*0.86</f>
        <v>0</v>
      </c>
      <c r="AZ77" s="275">
        <f>AZ76*0.86</f>
        <v>474.37354285714281</v>
      </c>
      <c r="BC77" s="267"/>
      <c r="BJ77"/>
      <c r="BK77"/>
      <c r="BL77"/>
      <c r="BM77"/>
      <c r="BN77"/>
      <c r="BO77"/>
      <c r="BP77"/>
      <c r="BQ77"/>
      <c r="BR77"/>
    </row>
    <row r="78" spans="2:70" ht="17" thickBot="1" x14ac:dyDescent="0.25">
      <c r="B78" s="238" t="s">
        <v>570</v>
      </c>
      <c r="C78" s="239">
        <v>739.43</v>
      </c>
      <c r="D78" s="239">
        <f t="shared" si="27"/>
        <v>303.52884834663627</v>
      </c>
      <c r="E78" s="240"/>
      <c r="F78" s="253"/>
      <c r="G78" s="241">
        <f>D78</f>
        <v>303.52884834663627</v>
      </c>
      <c r="K78" s="1514"/>
      <c r="T78" s="238" t="s">
        <v>571</v>
      </c>
      <c r="U78" s="239">
        <v>21508.91</v>
      </c>
      <c r="V78" s="243">
        <f t="shared" si="29"/>
        <v>13505.338004872465</v>
      </c>
      <c r="Y78" s="244">
        <f>V78</f>
        <v>13505.338004872465</v>
      </c>
      <c r="AL78" s="238" t="s">
        <v>547</v>
      </c>
      <c r="AM78" s="239">
        <v>95298.77</v>
      </c>
      <c r="AN78" s="239">
        <f t="shared" si="31"/>
        <v>21370.791379812974</v>
      </c>
      <c r="AO78" s="252">
        <f>AN78</f>
        <v>21370.791379812974</v>
      </c>
      <c r="AQ78" s="250"/>
      <c r="BC78" s="267"/>
      <c r="BJ78"/>
      <c r="BK78"/>
      <c r="BL78"/>
      <c r="BM78"/>
      <c r="BN78"/>
      <c r="BO78"/>
      <c r="BP78"/>
      <c r="BQ78"/>
      <c r="BR78"/>
    </row>
    <row r="79" spans="2:70" x14ac:dyDescent="0.2">
      <c r="B79" s="238" t="s">
        <v>572</v>
      </c>
      <c r="C79" s="239">
        <v>192.65</v>
      </c>
      <c r="D79" s="239">
        <f t="shared" si="27"/>
        <v>79.08095781071836</v>
      </c>
      <c r="E79" s="240"/>
      <c r="F79" s="253"/>
      <c r="G79" s="241">
        <f>D79</f>
        <v>79.08095781071836</v>
      </c>
      <c r="K79" s="1514"/>
      <c r="T79" s="238" t="s">
        <v>573</v>
      </c>
      <c r="U79" s="239">
        <v>19569.38</v>
      </c>
      <c r="V79" s="243">
        <f t="shared" si="29"/>
        <v>12287.516728917977</v>
      </c>
      <c r="W79" s="249">
        <f>V79</f>
        <v>12287.516728917977</v>
      </c>
      <c r="Y79" s="250"/>
      <c r="AL79" s="238" t="s">
        <v>574</v>
      </c>
      <c r="AM79" s="239">
        <v>42176.72</v>
      </c>
      <c r="AN79" s="239">
        <f t="shared" si="31"/>
        <v>9458.1481398425767</v>
      </c>
      <c r="AO79" s="252">
        <f>AN79</f>
        <v>9458.1481398425767</v>
      </c>
      <c r="AQ79" s="250"/>
      <c r="AU79" s="1549" t="s">
        <v>575</v>
      </c>
      <c r="AV79" s="228"/>
      <c r="AW79" s="228"/>
      <c r="AX79" s="228" t="s">
        <v>474</v>
      </c>
      <c r="AY79" s="228"/>
      <c r="AZ79" s="229"/>
      <c r="BC79" s="267"/>
      <c r="BJ79"/>
      <c r="BK79"/>
      <c r="BL79"/>
      <c r="BM79"/>
      <c r="BN79"/>
      <c r="BO79"/>
      <c r="BP79"/>
      <c r="BQ79"/>
      <c r="BR79"/>
    </row>
    <row r="80" spans="2:70" ht="17" thickBot="1" x14ac:dyDescent="0.25">
      <c r="B80" s="238" t="s">
        <v>576</v>
      </c>
      <c r="C80" s="239">
        <v>1615.72</v>
      </c>
      <c r="D80" s="239">
        <f t="shared" si="27"/>
        <v>663.23740022805009</v>
      </c>
      <c r="E80" s="240"/>
      <c r="F80" s="253"/>
      <c r="G80" s="241">
        <f>D80</f>
        <v>663.23740022805009</v>
      </c>
      <c r="K80" s="1514"/>
      <c r="T80" s="238" t="s">
        <v>577</v>
      </c>
      <c r="U80" s="239">
        <v>12597.48</v>
      </c>
      <c r="V80" s="243">
        <f t="shared" si="29"/>
        <v>7909.8952671065517</v>
      </c>
      <c r="W80" s="249">
        <f>V80</f>
        <v>7909.8952671065517</v>
      </c>
      <c r="Y80" s="250"/>
      <c r="AL80" s="238" t="s">
        <v>578</v>
      </c>
      <c r="AM80" s="239">
        <v>13502.7</v>
      </c>
      <c r="AN80" s="239">
        <f t="shared" si="31"/>
        <v>3027.9864552732492</v>
      </c>
      <c r="AO80" s="252">
        <f>AN80</f>
        <v>3027.9864552732492</v>
      </c>
      <c r="AQ80" s="250"/>
      <c r="AU80" s="232" t="s">
        <v>479</v>
      </c>
      <c r="AV80" s="223" t="s">
        <v>480</v>
      </c>
      <c r="AW80" s="223" t="s">
        <v>481</v>
      </c>
      <c r="AX80" s="223" t="s">
        <v>203</v>
      </c>
      <c r="AY80" s="223" t="s">
        <v>482</v>
      </c>
      <c r="AZ80" s="224" t="s">
        <v>483</v>
      </c>
      <c r="BC80" s="267"/>
      <c r="BJ80"/>
      <c r="BK80"/>
      <c r="BL80"/>
      <c r="BM80"/>
      <c r="BN80"/>
      <c r="BO80"/>
      <c r="BP80"/>
      <c r="BQ80"/>
      <c r="BR80"/>
    </row>
    <row r="81" spans="2:70" x14ac:dyDescent="0.2">
      <c r="B81" s="238" t="s">
        <v>579</v>
      </c>
      <c r="C81" s="259">
        <v>822.67</v>
      </c>
      <c r="D81" s="239">
        <f t="shared" si="27"/>
        <v>337.69806157354617</v>
      </c>
      <c r="E81" s="240"/>
      <c r="F81" s="240">
        <f>D81</f>
        <v>337.69806157354617</v>
      </c>
      <c r="G81" s="241"/>
      <c r="K81" s="1514"/>
      <c r="T81" s="238" t="s">
        <v>580</v>
      </c>
      <c r="U81" s="239">
        <v>7723.76</v>
      </c>
      <c r="V81" s="243">
        <f t="shared" si="29"/>
        <v>4849.7106300837086</v>
      </c>
      <c r="W81" s="249">
        <f>V81</f>
        <v>4849.7106300837086</v>
      </c>
      <c r="Y81" s="250"/>
      <c r="AL81" s="238" t="s">
        <v>581</v>
      </c>
      <c r="AM81" s="239">
        <v>11203.75</v>
      </c>
      <c r="AN81" s="239">
        <f t="shared" si="31"/>
        <v>2512.4458995806517</v>
      </c>
      <c r="AO81" s="252">
        <f>AN81</f>
        <v>2512.4458995806517</v>
      </c>
      <c r="AQ81" s="250"/>
      <c r="AU81" s="238" t="s">
        <v>487</v>
      </c>
      <c r="AV81" s="239">
        <v>1418.21</v>
      </c>
      <c r="AW81" s="249">
        <f t="shared" ref="AW81:AW87" si="36">AV81*$BB$82/$BA$82</f>
        <v>1905.058208955224</v>
      </c>
      <c r="AZ81" s="244">
        <f>AW81</f>
        <v>1905.058208955224</v>
      </c>
      <c r="BA81" s="230" t="s">
        <v>488</v>
      </c>
      <c r="BB81" s="499" t="s">
        <v>489</v>
      </c>
      <c r="BC81" s="504" t="s">
        <v>548</v>
      </c>
      <c r="BJ81"/>
      <c r="BK81"/>
      <c r="BL81"/>
      <c r="BM81"/>
      <c r="BN81"/>
      <c r="BO81"/>
      <c r="BP81"/>
      <c r="BQ81"/>
      <c r="BR81"/>
    </row>
    <row r="82" spans="2:70" ht="17" thickBot="1" x14ac:dyDescent="0.25">
      <c r="B82" s="1789" t="s">
        <v>518</v>
      </c>
      <c r="C82" s="1790">
        <f>SUM(C61:C81)</f>
        <v>11282.329999999998</v>
      </c>
      <c r="D82" s="1790">
        <f>SUM(D61:D81)</f>
        <v>4631.2871151653362</v>
      </c>
      <c r="E82" s="1790">
        <f>SUM(E61:E81)</f>
        <v>2260.7999999999997</v>
      </c>
      <c r="F82" s="1790">
        <f>SUM(F61:F81)</f>
        <v>928.91083238312433</v>
      </c>
      <c r="G82" s="1791">
        <f>SUM(G61:G81)</f>
        <v>1441.5762827822118</v>
      </c>
      <c r="K82" s="1514"/>
      <c r="T82" s="238" t="s">
        <v>554</v>
      </c>
      <c r="U82" s="239">
        <v>12633.02</v>
      </c>
      <c r="V82" s="243">
        <f t="shared" si="29"/>
        <v>7932.2106569934958</v>
      </c>
      <c r="W82" s="249">
        <f>V82</f>
        <v>7932.2106569934958</v>
      </c>
      <c r="Y82" s="250"/>
      <c r="AL82" s="238" t="s">
        <v>582</v>
      </c>
      <c r="AM82" s="239">
        <v>12147.35</v>
      </c>
      <c r="AN82" s="239">
        <f t="shared" si="31"/>
        <v>2724.0486174960197</v>
      </c>
      <c r="AO82" s="252">
        <f>AN82</f>
        <v>2724.0486174960197</v>
      </c>
      <c r="AQ82" s="251"/>
      <c r="AU82" s="238" t="s">
        <v>583</v>
      </c>
      <c r="AV82" s="239">
        <v>14482.22</v>
      </c>
      <c r="AW82" s="249">
        <f t="shared" si="36"/>
        <v>19453.728358208955</v>
      </c>
      <c r="AX82" s="249">
        <f>AW82</f>
        <v>19453.728358208955</v>
      </c>
      <c r="AZ82" s="250"/>
      <c r="BA82" s="233">
        <v>134</v>
      </c>
      <c r="BB82" s="500">
        <f>BA63*BC82</f>
        <v>180</v>
      </c>
      <c r="BC82" s="1319">
        <v>0.45</v>
      </c>
      <c r="BJ82"/>
      <c r="BK82"/>
      <c r="BL82"/>
      <c r="BM82"/>
      <c r="BN82"/>
      <c r="BO82"/>
      <c r="BP82"/>
      <c r="BQ82"/>
      <c r="BR82"/>
    </row>
    <row r="83" spans="2:70" ht="17" thickBot="1" x14ac:dyDescent="0.25">
      <c r="B83" s="238" t="s">
        <v>525</v>
      </c>
      <c r="C83" s="254">
        <f>C82*0.86</f>
        <v>9702.8037999999979</v>
      </c>
      <c r="D83" s="254">
        <f>D82*0.86</f>
        <v>3982.9069190421892</v>
      </c>
      <c r="E83" s="254">
        <f>E82*0.86</f>
        <v>1944.2879999999998</v>
      </c>
      <c r="F83" s="254">
        <f>F82*0.86</f>
        <v>798.86331584948687</v>
      </c>
      <c r="G83" s="258">
        <f>G82*0.86</f>
        <v>1239.7556031927022</v>
      </c>
      <c r="K83" s="1514"/>
      <c r="T83" s="238" t="s">
        <v>558</v>
      </c>
      <c r="U83" s="239">
        <v>17182.89</v>
      </c>
      <c r="V83" s="243">
        <f t="shared" si="29"/>
        <v>10789.051483805692</v>
      </c>
      <c r="Y83" s="244">
        <f>V83</f>
        <v>10789.051483805692</v>
      </c>
      <c r="AL83" s="238" t="s">
        <v>584</v>
      </c>
      <c r="AM83" s="239">
        <v>19614.7</v>
      </c>
      <c r="AN83" s="239">
        <f t="shared" si="31"/>
        <v>4398.6051622451951</v>
      </c>
      <c r="AQ83" s="251">
        <f>AN83</f>
        <v>4398.6051622451951</v>
      </c>
      <c r="AU83" s="238" t="s">
        <v>585</v>
      </c>
      <c r="AV83" s="239">
        <v>6771.13</v>
      </c>
      <c r="AW83" s="249">
        <f t="shared" si="36"/>
        <v>9095.5477611940296</v>
      </c>
      <c r="AX83" s="249">
        <f>AW83</f>
        <v>9095.5477611940296</v>
      </c>
      <c r="AZ83" s="250"/>
      <c r="BC83" s="267"/>
      <c r="BJ83"/>
      <c r="BK83"/>
      <c r="BL83"/>
      <c r="BM83"/>
      <c r="BN83"/>
      <c r="BO83"/>
      <c r="BP83"/>
      <c r="BQ83"/>
      <c r="BR83"/>
    </row>
    <row r="84" spans="2:70" ht="17" thickBot="1" x14ac:dyDescent="0.25">
      <c r="B84" s="276" t="s">
        <v>586</v>
      </c>
      <c r="C84" s="278">
        <f>C83*$C$49</f>
        <v>145542.05699999997</v>
      </c>
      <c r="D84" s="278">
        <f>D83*$C$49</f>
        <v>59743.60378563284</v>
      </c>
      <c r="E84" s="278">
        <f>E83*$C$49</f>
        <v>29164.319999999996</v>
      </c>
      <c r="F84" s="278">
        <f>F83*$C$49</f>
        <v>11982.949737742303</v>
      </c>
      <c r="G84" s="279">
        <f>G83*$C$49</f>
        <v>18596.334047890534</v>
      </c>
      <c r="K84" s="1514"/>
      <c r="T84" s="238" t="s">
        <v>587</v>
      </c>
      <c r="U84" s="239">
        <v>9738.7800000000007</v>
      </c>
      <c r="V84" s="243">
        <f t="shared" si="29"/>
        <v>6114.9317029590011</v>
      </c>
      <c r="Y84" s="244">
        <f>V84</f>
        <v>6114.9317029590011</v>
      </c>
      <c r="AL84" s="238" t="s">
        <v>588</v>
      </c>
      <c r="AM84" s="239">
        <v>64172.68</v>
      </c>
      <c r="AN84" s="239">
        <f t="shared" si="31"/>
        <v>14390.751911735026</v>
      </c>
      <c r="AQ84" s="251">
        <f>AN84</f>
        <v>14390.751911735026</v>
      </c>
      <c r="AU84" s="238" t="s">
        <v>589</v>
      </c>
      <c r="AV84" s="239">
        <v>3209.06</v>
      </c>
      <c r="AW84" s="249">
        <f t="shared" si="36"/>
        <v>4310.6776119402984</v>
      </c>
      <c r="AZ84" s="244">
        <f>AW84</f>
        <v>4310.6776119402984</v>
      </c>
      <c r="BC84" s="267"/>
      <c r="BJ84"/>
      <c r="BK84"/>
      <c r="BL84"/>
      <c r="BM84"/>
      <c r="BN84"/>
      <c r="BO84"/>
      <c r="BP84"/>
      <c r="BQ84"/>
      <c r="BR84"/>
    </row>
    <row r="85" spans="2:70" ht="17" thickBot="1" x14ac:dyDescent="0.25">
      <c r="K85" s="1514"/>
      <c r="T85" s="238" t="s">
        <v>566</v>
      </c>
      <c r="U85" s="239">
        <v>14130.59</v>
      </c>
      <c r="V85" s="243">
        <f t="shared" si="29"/>
        <v>8872.5274390134527</v>
      </c>
      <c r="Y85" s="244">
        <f>V85</f>
        <v>8872.5274390134527</v>
      </c>
      <c r="AL85" s="238" t="s">
        <v>571</v>
      </c>
      <c r="AM85" s="239">
        <v>74619.600000000006</v>
      </c>
      <c r="AN85" s="239">
        <f t="shared" si="31"/>
        <v>16733.478348619741</v>
      </c>
      <c r="AO85" s="252"/>
      <c r="AQ85" s="251">
        <f>AN85</f>
        <v>16733.478348619741</v>
      </c>
      <c r="AU85" s="238" t="s">
        <v>590</v>
      </c>
      <c r="AV85" s="239">
        <v>912.59</v>
      </c>
      <c r="AW85" s="249">
        <f t="shared" si="36"/>
        <v>1225.8671641791045</v>
      </c>
      <c r="AZ85" s="244">
        <f>AW85</f>
        <v>1225.8671641791045</v>
      </c>
      <c r="BC85" s="267"/>
      <c r="BJ85"/>
      <c r="BK85"/>
      <c r="BL85"/>
      <c r="BM85"/>
      <c r="BN85"/>
      <c r="BO85"/>
      <c r="BP85"/>
      <c r="BQ85"/>
      <c r="BR85"/>
    </row>
    <row r="86" spans="2:70" x14ac:dyDescent="0.2">
      <c r="B86" s="1547" t="s">
        <v>591</v>
      </c>
      <c r="C86" s="1545"/>
      <c r="D86" s="1545"/>
      <c r="E86" s="1545" t="s">
        <v>474</v>
      </c>
      <c r="F86" s="1545"/>
      <c r="G86" s="1546"/>
      <c r="K86" s="1549" t="s">
        <v>592</v>
      </c>
      <c r="L86" s="228"/>
      <c r="M86" s="228"/>
      <c r="N86" s="228" t="s">
        <v>474</v>
      </c>
      <c r="O86" s="228"/>
      <c r="P86" s="229"/>
      <c r="T86" s="238" t="s">
        <v>569</v>
      </c>
      <c r="U86" s="239">
        <v>8952.86</v>
      </c>
      <c r="V86" s="243">
        <f t="shared" si="29"/>
        <v>5621.4564294658594</v>
      </c>
      <c r="Y86" s="244">
        <f>V86</f>
        <v>5621.4564294658594</v>
      </c>
      <c r="AL86" s="238" t="s">
        <v>593</v>
      </c>
      <c r="AM86" s="239">
        <v>13400.63</v>
      </c>
      <c r="AN86" s="239">
        <f t="shared" si="31"/>
        <v>3005.0972125669946</v>
      </c>
      <c r="AO86" s="252">
        <f>AN86</f>
        <v>3005.0972125669946</v>
      </c>
      <c r="AQ86" s="251"/>
      <c r="AU86" s="238" t="s">
        <v>527</v>
      </c>
      <c r="AV86" s="239">
        <v>8031.87</v>
      </c>
      <c r="AW86" s="249">
        <f t="shared" si="36"/>
        <v>10789.079104477612</v>
      </c>
      <c r="AY86" s="249">
        <f>AW86</f>
        <v>10789.079104477612</v>
      </c>
      <c r="AZ86" s="250"/>
      <c r="BC86" s="267"/>
      <c r="BJ86"/>
      <c r="BK86"/>
      <c r="BL86"/>
      <c r="BM86"/>
      <c r="BN86"/>
      <c r="BO86"/>
      <c r="BP86"/>
      <c r="BQ86"/>
      <c r="BR86"/>
    </row>
    <row r="87" spans="2:70" ht="17" thickBot="1" x14ac:dyDescent="0.25">
      <c r="B87" s="245" t="s">
        <v>479</v>
      </c>
      <c r="C87" s="246" t="s">
        <v>480</v>
      </c>
      <c r="D87" s="246" t="s">
        <v>481</v>
      </c>
      <c r="E87" s="246" t="s">
        <v>203</v>
      </c>
      <c r="F87" s="246" t="s">
        <v>482</v>
      </c>
      <c r="G87" s="247" t="s">
        <v>483</v>
      </c>
      <c r="K87" s="1550" t="s">
        <v>479</v>
      </c>
      <c r="L87" s="246" t="s">
        <v>480</v>
      </c>
      <c r="M87" s="246" t="s">
        <v>481</v>
      </c>
      <c r="N87" s="246" t="s">
        <v>203</v>
      </c>
      <c r="O87" s="246" t="s">
        <v>482</v>
      </c>
      <c r="P87" s="247" t="s">
        <v>483</v>
      </c>
      <c r="T87" s="238" t="s">
        <v>547</v>
      </c>
      <c r="U87" s="239">
        <v>22589.040000000001</v>
      </c>
      <c r="V87" s="243">
        <f t="shared" si="29"/>
        <v>14183.546279452763</v>
      </c>
      <c r="W87" s="249">
        <f>V87</f>
        <v>14183.546279452763</v>
      </c>
      <c r="Y87" s="250"/>
      <c r="AL87" s="238" t="s">
        <v>594</v>
      </c>
      <c r="AM87" s="239">
        <v>22818.3</v>
      </c>
      <c r="AN87" s="239">
        <f t="shared" si="31"/>
        <v>5117.0138811024153</v>
      </c>
      <c r="AO87" s="252"/>
      <c r="AQ87" s="251">
        <f>AN87</f>
        <v>5117.0138811024153</v>
      </c>
      <c r="AU87" s="238" t="s">
        <v>595</v>
      </c>
      <c r="AV87" s="239">
        <v>6893.55</v>
      </c>
      <c r="AW87" s="249">
        <f t="shared" si="36"/>
        <v>9259.992537313432</v>
      </c>
      <c r="AX87" s="249">
        <f>AW87</f>
        <v>9259.992537313432</v>
      </c>
      <c r="AZ87" s="250"/>
      <c r="BC87" s="267"/>
      <c r="BJ87"/>
      <c r="BK87"/>
      <c r="BL87"/>
      <c r="BM87"/>
      <c r="BN87"/>
      <c r="BO87"/>
      <c r="BP87"/>
      <c r="BQ87"/>
      <c r="BR87"/>
    </row>
    <row r="88" spans="2:70" ht="17" thickBot="1" x14ac:dyDescent="0.25">
      <c r="B88" s="238" t="s">
        <v>487</v>
      </c>
      <c r="C88" s="239">
        <v>479.42</v>
      </c>
      <c r="D88" s="239">
        <f t="shared" ref="D88:D108" si="37">C88*$I$89/$H$89</f>
        <v>262.39635119726341</v>
      </c>
      <c r="E88" s="240"/>
      <c r="F88" s="240"/>
      <c r="G88" s="241">
        <f>D88</f>
        <v>262.39635119726341</v>
      </c>
      <c r="H88" s="230" t="s">
        <v>488</v>
      </c>
      <c r="I88" s="231" t="s">
        <v>489</v>
      </c>
      <c r="K88" s="1551" t="s">
        <v>487</v>
      </c>
      <c r="L88" s="222">
        <v>199.44</v>
      </c>
      <c r="M88" s="239">
        <f t="shared" ref="M88:M98" si="38">L88*$R$89/$Q$89</f>
        <v>109.157582668187</v>
      </c>
      <c r="N88" s="240"/>
      <c r="O88" s="240"/>
      <c r="P88" s="241">
        <f>M88</f>
        <v>109.157582668187</v>
      </c>
      <c r="Q88" s="230" t="s">
        <v>488</v>
      </c>
      <c r="R88" s="231" t="s">
        <v>489</v>
      </c>
      <c r="T88" s="238" t="s">
        <v>596</v>
      </c>
      <c r="U88" s="239">
        <v>5835.19</v>
      </c>
      <c r="V88" s="243">
        <f t="shared" si="29"/>
        <v>3663.8868856046988</v>
      </c>
      <c r="Y88" s="244">
        <f>V88</f>
        <v>3663.8868856046988</v>
      </c>
      <c r="AL88" s="238" t="s">
        <v>597</v>
      </c>
      <c r="AM88" s="239">
        <v>30662.51</v>
      </c>
      <c r="AN88" s="239">
        <f t="shared" si="31"/>
        <v>6876.0814477608592</v>
      </c>
      <c r="AO88" s="252">
        <f>AN88</f>
        <v>6876.0814477608592</v>
      </c>
      <c r="AQ88" s="250"/>
      <c r="AU88" s="1789" t="s">
        <v>518</v>
      </c>
      <c r="AV88" s="1790">
        <f>SUM(AV81:AV87)</f>
        <v>41718.630000000005</v>
      </c>
      <c r="AW88" s="1790">
        <f>SUM(AW81:AW87)</f>
        <v>56039.95074626866</v>
      </c>
      <c r="AX88" s="1790">
        <f>SUM(AX81:AX87)</f>
        <v>37809.26865671642</v>
      </c>
      <c r="AY88" s="1790">
        <f>SUM(AY81:AY87)</f>
        <v>10789.079104477612</v>
      </c>
      <c r="AZ88" s="1791">
        <f>SUM(AZ81:AZ87)</f>
        <v>7441.6029850746272</v>
      </c>
      <c r="BC88" s="267"/>
      <c r="BJ88"/>
      <c r="BK88"/>
      <c r="BL88"/>
      <c r="BM88"/>
      <c r="BN88"/>
      <c r="BO88"/>
      <c r="BP88"/>
      <c r="BQ88"/>
      <c r="BR88"/>
    </row>
    <row r="89" spans="2:70" ht="17" thickBot="1" x14ac:dyDescent="0.25">
      <c r="B89" s="238" t="s">
        <v>494</v>
      </c>
      <c r="C89" s="239">
        <v>333.84</v>
      </c>
      <c r="D89" s="239">
        <f t="shared" si="37"/>
        <v>182.71744583808436</v>
      </c>
      <c r="E89" s="240">
        <f>D89</f>
        <v>182.71744583808436</v>
      </c>
      <c r="F89" s="240"/>
      <c r="G89" s="248"/>
      <c r="H89" s="233">
        <v>43.85</v>
      </c>
      <c r="I89" s="234">
        <f>D50</f>
        <v>24</v>
      </c>
      <c r="K89" s="1551" t="s">
        <v>495</v>
      </c>
      <c r="L89" s="222">
        <v>207.83</v>
      </c>
      <c r="M89" s="239">
        <f t="shared" si="38"/>
        <v>113.74960091220069</v>
      </c>
      <c r="N89" s="240">
        <f>M89</f>
        <v>113.74960091220069</v>
      </c>
      <c r="O89" s="240"/>
      <c r="P89" s="248"/>
      <c r="Q89" s="235">
        <v>5.9457945692301566</v>
      </c>
      <c r="R89" s="236">
        <f>Q89*I89/H89</f>
        <v>3.2542547243220925</v>
      </c>
      <c r="T89" s="238" t="s">
        <v>598</v>
      </c>
      <c r="U89" s="239">
        <v>5200</v>
      </c>
      <c r="V89" s="243">
        <f t="shared" si="29"/>
        <v>3265.0542321919997</v>
      </c>
      <c r="W89" s="249">
        <f>V89</f>
        <v>3265.0542321919997</v>
      </c>
      <c r="Y89" s="250"/>
      <c r="AL89" s="1789" t="s">
        <v>518</v>
      </c>
      <c r="AM89" s="1790">
        <f>SUM(AM62:AM88)</f>
        <v>894512.44</v>
      </c>
      <c r="AN89" s="1790">
        <f>SUM(AN62:AN88)</f>
        <v>200594.8108447514</v>
      </c>
      <c r="AO89" s="1790">
        <f>SUM(AO62:AO88)</f>
        <v>68056.48868656515</v>
      </c>
      <c r="AP89" s="1790">
        <f>SUM(AP62:AP88)</f>
        <v>5014.4080909559798</v>
      </c>
      <c r="AQ89" s="1791">
        <f>SUM(AQ62:AQ88)</f>
        <v>127523.91406723027</v>
      </c>
      <c r="AU89" s="272" t="s">
        <v>525</v>
      </c>
      <c r="AV89" s="273">
        <f>AV88*0.86</f>
        <v>35878.021800000002</v>
      </c>
      <c r="AW89" s="274">
        <f>AW88*0.86</f>
        <v>48194.357641791044</v>
      </c>
      <c r="AX89" s="274">
        <f>AX88*0.86</f>
        <v>32515.971044776121</v>
      </c>
      <c r="AY89" s="274">
        <f>AY88*0.86</f>
        <v>9278.6080298507459</v>
      </c>
      <c r="AZ89" s="275">
        <f>AZ88*0.86</f>
        <v>6399.7785671641795</v>
      </c>
      <c r="BC89" s="267"/>
      <c r="BJ89"/>
      <c r="BK89"/>
      <c r="BL89"/>
      <c r="BM89"/>
      <c r="BN89"/>
      <c r="BO89"/>
      <c r="BP89"/>
      <c r="BQ89"/>
      <c r="BR89"/>
    </row>
    <row r="90" spans="2:70" ht="17" thickBot="1" x14ac:dyDescent="0.25">
      <c r="B90" s="238" t="s">
        <v>501</v>
      </c>
      <c r="C90" s="239">
        <v>903.79</v>
      </c>
      <c r="D90" s="239">
        <f t="shared" si="37"/>
        <v>494.66271379703534</v>
      </c>
      <c r="E90" s="240">
        <f>D90</f>
        <v>494.66271379703534</v>
      </c>
      <c r="F90" s="240"/>
      <c r="G90" s="241"/>
      <c r="H90" s="260"/>
      <c r="I90" s="260"/>
      <c r="K90" s="1551" t="s">
        <v>502</v>
      </c>
      <c r="L90" s="222">
        <v>752.61</v>
      </c>
      <c r="M90" s="239">
        <f t="shared" si="38"/>
        <v>411.91881413911062</v>
      </c>
      <c r="N90" s="240">
        <f>M90</f>
        <v>411.91881413911062</v>
      </c>
      <c r="O90" s="240"/>
      <c r="P90" s="241"/>
      <c r="T90" s="238" t="s">
        <v>593</v>
      </c>
      <c r="U90" s="239">
        <v>18417.060000000001</v>
      </c>
      <c r="V90" s="243">
        <f t="shared" si="29"/>
        <v>11563.98071106423</v>
      </c>
      <c r="W90" s="249">
        <f>V90</f>
        <v>11563.98071106423</v>
      </c>
      <c r="Y90" s="250"/>
      <c r="AL90" s="272" t="s">
        <v>525</v>
      </c>
      <c r="AM90" s="273">
        <f>AM89*0.86</f>
        <v>769280.69839999999</v>
      </c>
      <c r="AN90" s="274">
        <f>AN89*0.86</f>
        <v>172511.5373264862</v>
      </c>
      <c r="AO90" s="274">
        <f>AO89*0.86</f>
        <v>58528.580270446029</v>
      </c>
      <c r="AP90" s="274">
        <f>AP89*0.86</f>
        <v>4312.3909582221422</v>
      </c>
      <c r="AQ90" s="275">
        <f>AQ89*0.86</f>
        <v>109670.56609781804</v>
      </c>
      <c r="BC90" s="267"/>
      <c r="BJ90"/>
      <c r="BK90"/>
      <c r="BL90"/>
      <c r="BM90"/>
      <c r="BN90"/>
      <c r="BO90"/>
      <c r="BP90"/>
      <c r="BQ90"/>
      <c r="BR90"/>
    </row>
    <row r="91" spans="2:70" x14ac:dyDescent="0.2">
      <c r="B91" s="238" t="s">
        <v>507</v>
      </c>
      <c r="C91" s="239">
        <v>291.31</v>
      </c>
      <c r="D91" s="239">
        <f t="shared" si="37"/>
        <v>159.43990877993159</v>
      </c>
      <c r="E91" s="240">
        <f>D91</f>
        <v>159.43990877993159</v>
      </c>
      <c r="F91" s="240"/>
      <c r="G91" s="241"/>
      <c r="K91" s="1551" t="s">
        <v>508</v>
      </c>
      <c r="L91" s="222">
        <v>277.45999999999998</v>
      </c>
      <c r="M91" s="239">
        <f t="shared" si="38"/>
        <v>151.85952109464083</v>
      </c>
      <c r="N91" s="240">
        <f>M91</f>
        <v>151.85952109464083</v>
      </c>
      <c r="O91" s="240"/>
      <c r="P91" s="241"/>
      <c r="T91" s="238" t="s">
        <v>599</v>
      </c>
      <c r="U91" s="239">
        <v>4852.7299999999996</v>
      </c>
      <c r="V91" s="243">
        <f t="shared" si="29"/>
        <v>3047.0051200355924</v>
      </c>
      <c r="W91" s="249">
        <f>V91</f>
        <v>3047.0051200355924</v>
      </c>
      <c r="Y91" s="250"/>
      <c r="AU91" s="1549" t="s">
        <v>600</v>
      </c>
      <c r="AV91" s="228"/>
      <c r="AW91" s="228"/>
      <c r="AX91" s="228" t="s">
        <v>474</v>
      </c>
      <c r="AY91" s="228"/>
      <c r="AZ91" s="229"/>
      <c r="BC91" s="267"/>
      <c r="BJ91"/>
      <c r="BK91"/>
      <c r="BL91"/>
      <c r="BM91"/>
      <c r="BN91"/>
      <c r="BO91"/>
      <c r="BP91"/>
      <c r="BQ91"/>
      <c r="BR91"/>
    </row>
    <row r="92" spans="2:70" ht="17" thickBot="1" x14ac:dyDescent="0.25">
      <c r="B92" s="238" t="s">
        <v>513</v>
      </c>
      <c r="C92" s="239">
        <v>213</v>
      </c>
      <c r="D92" s="239">
        <f t="shared" si="37"/>
        <v>116.57924743443557</v>
      </c>
      <c r="E92" s="253"/>
      <c r="F92" s="240">
        <f>D92</f>
        <v>116.57924743443557</v>
      </c>
      <c r="G92" s="241"/>
      <c r="K92" s="1551" t="s">
        <v>514</v>
      </c>
      <c r="L92" s="222">
        <v>115.5</v>
      </c>
      <c r="M92" s="239">
        <f t="shared" si="38"/>
        <v>63.215507411630561</v>
      </c>
      <c r="N92" s="240">
        <f>M92</f>
        <v>63.215507411630561</v>
      </c>
      <c r="O92" s="240"/>
      <c r="P92" s="241"/>
      <c r="T92" s="238" t="s">
        <v>601</v>
      </c>
      <c r="U92" s="239">
        <v>9171.5300000000007</v>
      </c>
      <c r="V92" s="243">
        <f t="shared" si="29"/>
        <v>5758.7582388799801</v>
      </c>
      <c r="W92" s="249">
        <f>V92</f>
        <v>5758.7582388799801</v>
      </c>
      <c r="Y92" s="250"/>
      <c r="AU92" s="232" t="s">
        <v>479</v>
      </c>
      <c r="AV92" s="223" t="s">
        <v>480</v>
      </c>
      <c r="AW92" s="223" t="s">
        <v>481</v>
      </c>
      <c r="AX92" s="223" t="s">
        <v>203</v>
      </c>
      <c r="AY92" s="223" t="s">
        <v>482</v>
      </c>
      <c r="AZ92" s="224" t="s">
        <v>483</v>
      </c>
      <c r="BC92" s="267"/>
      <c r="BJ92"/>
      <c r="BK92"/>
      <c r="BL92"/>
      <c r="BM92"/>
      <c r="BN92"/>
      <c r="BO92"/>
      <c r="BP92"/>
      <c r="BQ92"/>
      <c r="BR92"/>
    </row>
    <row r="93" spans="2:70" x14ac:dyDescent="0.2">
      <c r="B93" s="238" t="s">
        <v>520</v>
      </c>
      <c r="C93" s="239">
        <v>139.5</v>
      </c>
      <c r="D93" s="239">
        <f t="shared" si="37"/>
        <v>76.35119726339795</v>
      </c>
      <c r="E93" s="240"/>
      <c r="F93" s="240">
        <f>D93</f>
        <v>76.35119726339795</v>
      </c>
      <c r="G93" s="248"/>
      <c r="K93" s="1551" t="s">
        <v>521</v>
      </c>
      <c r="L93" s="222">
        <v>65.98</v>
      </c>
      <c r="M93" s="239">
        <f t="shared" si="38"/>
        <v>36.112200684150515</v>
      </c>
      <c r="N93" s="240"/>
      <c r="O93" s="240"/>
      <c r="P93" s="241">
        <f>M93</f>
        <v>36.112200684150515</v>
      </c>
      <c r="T93" s="238" t="s">
        <v>594</v>
      </c>
      <c r="U93" s="239">
        <v>26483.99</v>
      </c>
      <c r="V93" s="243">
        <f t="shared" si="29"/>
        <v>16629.166083621269</v>
      </c>
      <c r="Y93" s="244">
        <f>V93</f>
        <v>16629.166083621269</v>
      </c>
      <c r="AU93" s="238" t="s">
        <v>487</v>
      </c>
      <c r="AV93" s="239">
        <v>3892.28</v>
      </c>
      <c r="AW93" s="249">
        <f t="shared" ref="AW93:AW102" si="39">AV93*$BB$94/$BA$94</f>
        <v>2883.1703703703702</v>
      </c>
      <c r="AZ93" s="244">
        <f>AW93</f>
        <v>2883.1703703703702</v>
      </c>
      <c r="BA93" s="230" t="s">
        <v>488</v>
      </c>
      <c r="BB93" s="499" t="s">
        <v>489</v>
      </c>
      <c r="BC93" s="504" t="s">
        <v>548</v>
      </c>
      <c r="BJ93"/>
      <c r="BK93"/>
      <c r="BL93"/>
      <c r="BM93"/>
      <c r="BN93"/>
      <c r="BO93"/>
      <c r="BP93"/>
      <c r="BQ93"/>
      <c r="BR93"/>
    </row>
    <row r="94" spans="2:70" ht="17" thickBot="1" x14ac:dyDescent="0.25">
      <c r="B94" s="238" t="s">
        <v>504</v>
      </c>
      <c r="C94" s="239">
        <v>1087.76</v>
      </c>
      <c r="D94" s="239">
        <f t="shared" si="37"/>
        <v>595.35324971493719</v>
      </c>
      <c r="E94" s="240"/>
      <c r="F94" s="240">
        <f>D94</f>
        <v>595.35324971493719</v>
      </c>
      <c r="G94" s="248"/>
      <c r="K94" s="1551" t="s">
        <v>527</v>
      </c>
      <c r="L94" s="222">
        <v>274.07</v>
      </c>
      <c r="M94" s="239">
        <f t="shared" si="38"/>
        <v>150.00410490307866</v>
      </c>
      <c r="N94" s="240"/>
      <c r="O94" s="240">
        <f>M94</f>
        <v>150.00410490307866</v>
      </c>
      <c r="P94" s="248"/>
      <c r="T94" s="261" t="s">
        <v>518</v>
      </c>
      <c r="U94" s="1666">
        <f>SUM(U61:U93)</f>
        <v>500680.96000000002</v>
      </c>
      <c r="V94" s="1666">
        <f>SUM(V61:V93)</f>
        <v>314375.09373576031</v>
      </c>
      <c r="W94" s="1666">
        <f>SUM(W61:W93)</f>
        <v>201438.10479747699</v>
      </c>
      <c r="X94" s="1666">
        <f>SUM(X61:X93)</f>
        <v>23877.661826492869</v>
      </c>
      <c r="Y94" s="262">
        <f>SUM(Y61:Y93)</f>
        <v>89059.327111790451</v>
      </c>
      <c r="AU94" s="238" t="s">
        <v>495</v>
      </c>
      <c r="AV94" s="239">
        <v>1076.43</v>
      </c>
      <c r="AW94" s="249">
        <f t="shared" si="39"/>
        <v>797.35555555555561</v>
      </c>
      <c r="AX94" s="249">
        <f>AW94</f>
        <v>797.35555555555561</v>
      </c>
      <c r="AZ94" s="250"/>
      <c r="BA94" s="233">
        <v>135</v>
      </c>
      <c r="BB94" s="500">
        <f>BA63*BC94</f>
        <v>100</v>
      </c>
      <c r="BC94" s="1319">
        <v>0.25</v>
      </c>
      <c r="BJ94"/>
      <c r="BK94"/>
      <c r="BL94"/>
      <c r="BM94"/>
      <c r="BN94"/>
      <c r="BO94"/>
      <c r="BP94"/>
      <c r="BQ94"/>
      <c r="BR94"/>
    </row>
    <row r="95" spans="2:70" ht="17" thickBot="1" x14ac:dyDescent="0.25">
      <c r="B95" s="238" t="s">
        <v>530</v>
      </c>
      <c r="C95" s="239">
        <v>159.66999999999999</v>
      </c>
      <c r="D95" s="239">
        <f t="shared" si="37"/>
        <v>87.390649942987451</v>
      </c>
      <c r="E95" s="240">
        <f t="shared" ref="E95:E103" si="40">D95</f>
        <v>87.390649942987451</v>
      </c>
      <c r="F95" s="240"/>
      <c r="G95" s="248"/>
      <c r="K95" s="1551" t="s">
        <v>531</v>
      </c>
      <c r="L95" s="222">
        <v>115.41</v>
      </c>
      <c r="M95" s="239">
        <f t="shared" si="38"/>
        <v>63.166248574686428</v>
      </c>
      <c r="N95" s="240">
        <f>M95</f>
        <v>63.166248574686428</v>
      </c>
      <c r="O95" s="240"/>
      <c r="P95" s="248"/>
      <c r="T95" s="276" t="s">
        <v>525</v>
      </c>
      <c r="U95" s="277">
        <f>U94*0.86</f>
        <v>430585.62560000003</v>
      </c>
      <c r="V95" s="278">
        <f>V94*0.86</f>
        <v>270362.58061275387</v>
      </c>
      <c r="W95" s="278">
        <f>W94*0.86</f>
        <v>173236.7701258302</v>
      </c>
      <c r="X95" s="278">
        <f>X94*0.86</f>
        <v>20534.789170783868</v>
      </c>
      <c r="Y95" s="279">
        <f>Y94*0.86</f>
        <v>76591.021316139784</v>
      </c>
      <c r="AU95" s="238" t="s">
        <v>602</v>
      </c>
      <c r="AV95" s="239">
        <v>515.35</v>
      </c>
      <c r="AW95" s="249">
        <f t="shared" si="39"/>
        <v>381.74074074074076</v>
      </c>
      <c r="AX95" s="249">
        <f>AW95</f>
        <v>381.74074074074076</v>
      </c>
      <c r="AZ95" s="250"/>
      <c r="BJ95"/>
      <c r="BK95"/>
      <c r="BL95"/>
      <c r="BM95"/>
      <c r="BN95"/>
      <c r="BO95"/>
      <c r="BP95"/>
      <c r="BQ95"/>
      <c r="BR95"/>
    </row>
    <row r="96" spans="2:70" ht="17" thickBot="1" x14ac:dyDescent="0.25">
      <c r="B96" s="238" t="s">
        <v>534</v>
      </c>
      <c r="C96" s="239">
        <v>249</v>
      </c>
      <c r="D96" s="239">
        <f t="shared" si="37"/>
        <v>136.28278221208666</v>
      </c>
      <c r="E96" s="240">
        <f t="shared" si="40"/>
        <v>136.28278221208666</v>
      </c>
      <c r="F96" s="240"/>
      <c r="G96" s="248"/>
      <c r="K96" s="1551" t="s">
        <v>535</v>
      </c>
      <c r="L96" s="222">
        <v>96.33</v>
      </c>
      <c r="M96" s="239">
        <f t="shared" si="38"/>
        <v>52.723375142531353</v>
      </c>
      <c r="N96" s="240"/>
      <c r="O96" s="240"/>
      <c r="P96" s="241">
        <f>M96</f>
        <v>52.723375142531353</v>
      </c>
      <c r="AU96" s="238" t="s">
        <v>603</v>
      </c>
      <c r="AV96" s="239">
        <v>561</v>
      </c>
      <c r="AW96" s="249">
        <f t="shared" si="39"/>
        <v>415.55555555555554</v>
      </c>
      <c r="AX96" s="249">
        <f>AW96</f>
        <v>415.55555555555554</v>
      </c>
      <c r="AZ96" s="250"/>
      <c r="BJ96"/>
      <c r="BK96"/>
      <c r="BL96"/>
      <c r="BM96"/>
      <c r="BN96"/>
      <c r="BO96"/>
      <c r="BP96"/>
      <c r="BQ96"/>
      <c r="BR96"/>
    </row>
    <row r="97" spans="2:70" x14ac:dyDescent="0.2">
      <c r="B97" s="238" t="s">
        <v>539</v>
      </c>
      <c r="C97" s="239">
        <v>237</v>
      </c>
      <c r="D97" s="239">
        <f t="shared" si="37"/>
        <v>129.71493728620297</v>
      </c>
      <c r="E97" s="240">
        <f t="shared" si="40"/>
        <v>129.71493728620297</v>
      </c>
      <c r="F97" s="240"/>
      <c r="G97" s="248"/>
      <c r="K97" s="1551" t="s">
        <v>540</v>
      </c>
      <c r="L97" s="222">
        <v>216.44</v>
      </c>
      <c r="M97" s="239">
        <f t="shared" si="38"/>
        <v>118.46202964652224</v>
      </c>
      <c r="N97" s="240"/>
      <c r="O97" s="240"/>
      <c r="P97" s="241">
        <f>M97</f>
        <v>118.46202964652224</v>
      </c>
      <c r="T97" s="1549" t="s">
        <v>604</v>
      </c>
      <c r="U97" s="228"/>
      <c r="V97" s="228"/>
      <c r="W97" s="228" t="s">
        <v>474</v>
      </c>
      <c r="X97" s="228"/>
      <c r="Y97" s="229"/>
      <c r="AU97" s="238" t="s">
        <v>605</v>
      </c>
      <c r="AV97" s="239">
        <v>27946.15</v>
      </c>
      <c r="AW97" s="249">
        <f t="shared" si="39"/>
        <v>20700.85185185185</v>
      </c>
      <c r="AZ97" s="244">
        <f>AW97</f>
        <v>20700.85185185185</v>
      </c>
      <c r="BJ97"/>
      <c r="BK97"/>
      <c r="BL97"/>
      <c r="BM97"/>
      <c r="BN97"/>
      <c r="BO97"/>
      <c r="BP97"/>
      <c r="BQ97"/>
      <c r="BR97"/>
    </row>
    <row r="98" spans="2:70" ht="17" thickBot="1" x14ac:dyDescent="0.25">
      <c r="B98" s="238" t="s">
        <v>543</v>
      </c>
      <c r="C98" s="239">
        <v>382</v>
      </c>
      <c r="D98" s="239">
        <f t="shared" si="37"/>
        <v>209.07639680729761</v>
      </c>
      <c r="E98" s="240">
        <f t="shared" si="40"/>
        <v>209.07639680729761</v>
      </c>
      <c r="F98" s="240"/>
      <c r="G98" s="248"/>
      <c r="K98" s="1551" t="s">
        <v>544</v>
      </c>
      <c r="L98" s="222">
        <v>236.74</v>
      </c>
      <c r="M98" s="239">
        <f t="shared" si="38"/>
        <v>129.57263397947548</v>
      </c>
      <c r="N98" s="240"/>
      <c r="O98" s="240"/>
      <c r="P98" s="241">
        <f>M98</f>
        <v>129.57263397947548</v>
      </c>
      <c r="T98" s="245" t="s">
        <v>479</v>
      </c>
      <c r="U98" s="246" t="s">
        <v>480</v>
      </c>
      <c r="V98" s="246" t="s">
        <v>481</v>
      </c>
      <c r="W98" s="246" t="s">
        <v>203</v>
      </c>
      <c r="X98" s="246" t="s">
        <v>482</v>
      </c>
      <c r="Y98" s="247" t="s">
        <v>483</v>
      </c>
      <c r="AU98" s="238" t="s">
        <v>606</v>
      </c>
      <c r="AV98" s="239">
        <v>3247.89</v>
      </c>
      <c r="AW98" s="249">
        <f t="shared" si="39"/>
        <v>2405.8444444444444</v>
      </c>
      <c r="AX98" s="249">
        <f>AW98</f>
        <v>2405.8444444444444</v>
      </c>
      <c r="AZ98" s="250"/>
      <c r="BJ98"/>
      <c r="BK98"/>
      <c r="BL98"/>
      <c r="BM98"/>
      <c r="BN98"/>
      <c r="BO98"/>
      <c r="BP98"/>
      <c r="BQ98"/>
      <c r="BR98"/>
    </row>
    <row r="99" spans="2:70" x14ac:dyDescent="0.2">
      <c r="B99" s="238" t="s">
        <v>549</v>
      </c>
      <c r="C99" s="239">
        <v>289.11</v>
      </c>
      <c r="D99" s="239">
        <f t="shared" si="37"/>
        <v>158.23580387685291</v>
      </c>
      <c r="E99" s="240">
        <f t="shared" si="40"/>
        <v>158.23580387685291</v>
      </c>
      <c r="F99" s="240"/>
      <c r="G99" s="248"/>
      <c r="K99" s="1792" t="s">
        <v>518</v>
      </c>
      <c r="L99" s="1790">
        <f ca="1">SUM(L88:L233)</f>
        <v>0</v>
      </c>
      <c r="M99" s="1790">
        <f>SUM(M88:M98)</f>
        <v>1399.9416191562145</v>
      </c>
      <c r="N99" s="1790">
        <f>SUM(N88:N98)</f>
        <v>803.90969213226913</v>
      </c>
      <c r="O99" s="1790">
        <f>SUM(O88:O98)</f>
        <v>150.00410490307866</v>
      </c>
      <c r="P99" s="1791">
        <f>SUM(P88:P98)</f>
        <v>446.02782212086657</v>
      </c>
      <c r="T99" s="238" t="s">
        <v>487</v>
      </c>
      <c r="U99" s="242">
        <v>3207.92</v>
      </c>
      <c r="V99" s="263">
        <f t="shared" ref="V99:V131" si="41">U99*$AA$100/$Z$100</f>
        <v>1755.2637338586123</v>
      </c>
      <c r="Y99" s="244">
        <f>V99</f>
        <v>1755.2637338586123</v>
      </c>
      <c r="Z99" s="230" t="s">
        <v>488</v>
      </c>
      <c r="AA99" s="231" t="s">
        <v>489</v>
      </c>
      <c r="AU99" s="238" t="s">
        <v>589</v>
      </c>
      <c r="AV99" s="239">
        <v>1656.13</v>
      </c>
      <c r="AW99" s="249">
        <f t="shared" si="39"/>
        <v>1226.762962962963</v>
      </c>
      <c r="AZ99" s="244">
        <f>AW99</f>
        <v>1226.762962962963</v>
      </c>
      <c r="BJ99"/>
      <c r="BK99"/>
      <c r="BL99"/>
      <c r="BM99"/>
      <c r="BN99"/>
      <c r="BO99"/>
      <c r="BP99"/>
      <c r="BQ99"/>
      <c r="BR99"/>
    </row>
    <row r="100" spans="2:70" ht="17" thickBot="1" x14ac:dyDescent="0.25">
      <c r="B100" s="238" t="s">
        <v>552</v>
      </c>
      <c r="C100" s="239">
        <v>450.67</v>
      </c>
      <c r="D100" s="239">
        <f t="shared" si="37"/>
        <v>246.66088939566703</v>
      </c>
      <c r="E100" s="240">
        <f t="shared" si="40"/>
        <v>246.66088939566703</v>
      </c>
      <c r="F100" s="240"/>
      <c r="G100" s="248"/>
      <c r="K100" s="1551" t="s">
        <v>525</v>
      </c>
      <c r="L100" s="254">
        <f ca="1">L99*0.86</f>
        <v>0</v>
      </c>
      <c r="M100" s="254">
        <f>M99*0.86</f>
        <v>1203.9497924743446</v>
      </c>
      <c r="N100" s="254">
        <f>N99*0.86</f>
        <v>691.36233523375142</v>
      </c>
      <c r="O100" s="254">
        <f>O99*0.86</f>
        <v>129.00353021664765</v>
      </c>
      <c r="P100" s="258">
        <f>P99*0.86</f>
        <v>383.58392702394525</v>
      </c>
      <c r="T100" s="238" t="s">
        <v>496</v>
      </c>
      <c r="U100" s="242">
        <v>13957.78</v>
      </c>
      <c r="V100" s="263">
        <f t="shared" si="41"/>
        <v>7637.2182096738907</v>
      </c>
      <c r="W100" s="249">
        <f>V100</f>
        <v>7637.2182096738907</v>
      </c>
      <c r="Y100" s="250"/>
      <c r="Z100" s="233">
        <v>111.4836</v>
      </c>
      <c r="AA100" s="234">
        <f>U52</f>
        <v>61</v>
      </c>
      <c r="AU100" s="238" t="s">
        <v>516</v>
      </c>
      <c r="AV100" s="239">
        <v>694.7</v>
      </c>
      <c r="AW100" s="249">
        <f t="shared" si="39"/>
        <v>514.59259259259261</v>
      </c>
      <c r="AZ100" s="244">
        <f>AW100</f>
        <v>514.59259259259261</v>
      </c>
      <c r="BJ100"/>
      <c r="BK100"/>
      <c r="BL100"/>
      <c r="BM100"/>
      <c r="BN100"/>
      <c r="BO100"/>
      <c r="BP100"/>
      <c r="BQ100"/>
      <c r="BR100"/>
    </row>
    <row r="101" spans="2:70" ht="17" thickBot="1" x14ac:dyDescent="0.25">
      <c r="B101" s="238" t="s">
        <v>556</v>
      </c>
      <c r="C101" s="239">
        <v>869</v>
      </c>
      <c r="D101" s="239">
        <f t="shared" si="37"/>
        <v>475.62143671607754</v>
      </c>
      <c r="E101" s="240">
        <f t="shared" si="40"/>
        <v>475.62143671607754</v>
      </c>
      <c r="F101" s="253"/>
      <c r="G101" s="241"/>
      <c r="K101" s="1552" t="s">
        <v>557</v>
      </c>
      <c r="L101" s="277"/>
      <c r="M101" s="278">
        <f>(M100)*$L$50</f>
        <v>50565.891283922472</v>
      </c>
      <c r="N101" s="278">
        <f>(N100)*$L$50</f>
        <v>29037.218079817561</v>
      </c>
      <c r="O101" s="278">
        <f>(O100)*$L$50</f>
        <v>5418.1482690992016</v>
      </c>
      <c r="P101" s="279">
        <f>(P100)*$L$50</f>
        <v>16110.5249350057</v>
      </c>
      <c r="T101" s="238" t="s">
        <v>503</v>
      </c>
      <c r="U101" s="242">
        <v>4156.18</v>
      </c>
      <c r="V101" s="263">
        <f t="shared" si="41"/>
        <v>2274.119063252353</v>
      </c>
      <c r="X101" s="249">
        <f>V101</f>
        <v>2274.119063252353</v>
      </c>
      <c r="Y101" s="250"/>
      <c r="AU101" s="238" t="s">
        <v>527</v>
      </c>
      <c r="AV101" s="239">
        <v>4828.3900000000003</v>
      </c>
      <c r="AW101" s="249">
        <f t="shared" si="39"/>
        <v>3576.5851851851858</v>
      </c>
      <c r="AY101" s="249">
        <f>AW101</f>
        <v>3576.5851851851858</v>
      </c>
      <c r="AZ101" s="250"/>
      <c r="BJ101"/>
      <c r="BK101"/>
      <c r="BL101"/>
      <c r="BM101"/>
      <c r="BN101"/>
      <c r="BO101"/>
      <c r="BP101"/>
      <c r="BQ101"/>
      <c r="BR101"/>
    </row>
    <row r="102" spans="2:70" x14ac:dyDescent="0.2">
      <c r="B102" s="238" t="s">
        <v>560</v>
      </c>
      <c r="C102" s="239">
        <v>644.66999999999996</v>
      </c>
      <c r="D102" s="239">
        <f t="shared" si="37"/>
        <v>352.84104903078673</v>
      </c>
      <c r="E102" s="240">
        <f t="shared" si="40"/>
        <v>352.84104903078673</v>
      </c>
      <c r="G102" s="250"/>
      <c r="K102" s="1514"/>
      <c r="T102" s="238" t="s">
        <v>509</v>
      </c>
      <c r="U102" s="242">
        <v>5195.49</v>
      </c>
      <c r="V102" s="263">
        <f t="shared" si="41"/>
        <v>2842.7938279711097</v>
      </c>
      <c r="W102" s="249">
        <f>V102</f>
        <v>2842.7938279711097</v>
      </c>
      <c r="Y102" s="250"/>
      <c r="AU102" s="238" t="s">
        <v>537</v>
      </c>
      <c r="AV102" s="239">
        <v>875.65</v>
      </c>
      <c r="AW102" s="249">
        <f t="shared" si="39"/>
        <v>648.62962962962968</v>
      </c>
      <c r="AY102" s="249">
        <f>AW102</f>
        <v>648.62962962962968</v>
      </c>
      <c r="AZ102" s="250"/>
      <c r="BJ102"/>
      <c r="BK102"/>
      <c r="BL102"/>
      <c r="BM102"/>
      <c r="BN102"/>
      <c r="BO102"/>
      <c r="BP102"/>
      <c r="BQ102"/>
      <c r="BR102"/>
    </row>
    <row r="103" spans="2:70" ht="17" thickBot="1" x14ac:dyDescent="0.25">
      <c r="B103" s="238" t="s">
        <v>564</v>
      </c>
      <c r="C103" s="239">
        <v>697.5</v>
      </c>
      <c r="D103" s="239">
        <f t="shared" si="37"/>
        <v>381.75598631698972</v>
      </c>
      <c r="E103" s="240">
        <f t="shared" si="40"/>
        <v>381.75598631698972</v>
      </c>
      <c r="F103" s="253"/>
      <c r="G103" s="241"/>
      <c r="K103" s="1514"/>
      <c r="T103" s="238" t="s">
        <v>515</v>
      </c>
      <c r="U103" s="242">
        <v>1000.33</v>
      </c>
      <c r="V103" s="263">
        <f t="shared" si="41"/>
        <v>547.34624644342318</v>
      </c>
      <c r="Y103" s="244">
        <f>V103</f>
        <v>547.34624644342318</v>
      </c>
      <c r="AU103" s="1789" t="s">
        <v>518</v>
      </c>
      <c r="AV103" s="1790">
        <f>SUM(AV93:AV102)</f>
        <v>45293.969999999994</v>
      </c>
      <c r="AW103" s="1790">
        <f>SUM(AW93:AW102)</f>
        <v>33551.08888888888</v>
      </c>
      <c r="AX103" s="1790">
        <f>SUM(AX94:AX102)</f>
        <v>4000.4962962962964</v>
      </c>
      <c r="AY103" s="1790">
        <f>SUM(AY94:AY102)</f>
        <v>4225.2148148148153</v>
      </c>
      <c r="AZ103" s="1791">
        <f>SUM(AZ94:AZ102)</f>
        <v>22442.207407407404</v>
      </c>
      <c r="BJ103"/>
      <c r="BK103"/>
      <c r="BL103"/>
      <c r="BM103"/>
      <c r="BN103"/>
      <c r="BO103"/>
      <c r="BP103"/>
      <c r="BQ103"/>
      <c r="BR103"/>
    </row>
    <row r="104" spans="2:70" ht="17" thickBot="1" x14ac:dyDescent="0.25">
      <c r="B104" s="238" t="s">
        <v>567</v>
      </c>
      <c r="C104" s="239">
        <v>484.62</v>
      </c>
      <c r="D104" s="239">
        <f t="shared" si="37"/>
        <v>265.24241733181299</v>
      </c>
      <c r="E104" s="253"/>
      <c r="F104" s="253"/>
      <c r="G104" s="241">
        <f>D104</f>
        <v>265.24241733181299</v>
      </c>
      <c r="K104" s="1514"/>
      <c r="T104" s="238" t="s">
        <v>522</v>
      </c>
      <c r="U104" s="242">
        <v>1411.81</v>
      </c>
      <c r="V104" s="263">
        <f t="shared" si="41"/>
        <v>772.49398117750059</v>
      </c>
      <c r="Y104" s="244">
        <f>V104</f>
        <v>772.49398117750059</v>
      </c>
      <c r="AU104" s="272" t="s">
        <v>525</v>
      </c>
      <c r="AV104" s="273">
        <f>AV103*0.86</f>
        <v>38952.814199999993</v>
      </c>
      <c r="AW104" s="274">
        <f>AW103*0.86</f>
        <v>28853.936444444436</v>
      </c>
      <c r="AX104" s="274">
        <f>AX103*0.86</f>
        <v>3440.4268148148149</v>
      </c>
      <c r="AY104" s="274">
        <f>AY103*0.86</f>
        <v>3633.6847407407413</v>
      </c>
      <c r="AZ104" s="275">
        <f>AZ103*0.86</f>
        <v>19300.298370370369</v>
      </c>
      <c r="BJ104"/>
      <c r="BK104"/>
      <c r="BL104"/>
      <c r="BM104"/>
      <c r="BN104"/>
      <c r="BO104"/>
      <c r="BP104"/>
      <c r="BQ104"/>
      <c r="BR104"/>
    </row>
    <row r="105" spans="2:70" x14ac:dyDescent="0.2">
      <c r="B105" s="238" t="s">
        <v>570</v>
      </c>
      <c r="C105" s="239">
        <v>739.43</v>
      </c>
      <c r="D105" s="239">
        <f t="shared" si="37"/>
        <v>404.70513112884834</v>
      </c>
      <c r="E105" s="240"/>
      <c r="F105" s="253"/>
      <c r="G105" s="241">
        <f>D105</f>
        <v>404.70513112884834</v>
      </c>
      <c r="K105" s="1514"/>
      <c r="T105" s="238" t="s">
        <v>516</v>
      </c>
      <c r="U105" s="242">
        <v>231.57</v>
      </c>
      <c r="V105" s="263">
        <f t="shared" si="41"/>
        <v>126.70715692711754</v>
      </c>
      <c r="X105" s="249">
        <f>V105</f>
        <v>126.70715692711754</v>
      </c>
      <c r="Y105" s="250"/>
      <c r="BJ105"/>
      <c r="BK105"/>
      <c r="BL105"/>
      <c r="BM105"/>
      <c r="BN105"/>
      <c r="BO105"/>
      <c r="BP105"/>
      <c r="BQ105"/>
      <c r="BR105"/>
    </row>
    <row r="106" spans="2:70" x14ac:dyDescent="0.2">
      <c r="B106" s="238" t="s">
        <v>572</v>
      </c>
      <c r="C106" s="239">
        <v>192.65</v>
      </c>
      <c r="D106" s="239">
        <f t="shared" si="37"/>
        <v>105.44127708095782</v>
      </c>
      <c r="E106" s="240"/>
      <c r="F106" s="253"/>
      <c r="G106" s="241">
        <f>D106</f>
        <v>105.44127708095782</v>
      </c>
      <c r="K106" s="1514"/>
      <c r="T106" s="238" t="s">
        <v>527</v>
      </c>
      <c r="U106" s="242">
        <v>5915.82</v>
      </c>
      <c r="V106" s="263">
        <f t="shared" si="41"/>
        <v>3236.9336835193694</v>
      </c>
      <c r="Y106" s="244">
        <f>V106</f>
        <v>3236.9336835193694</v>
      </c>
      <c r="BJ106"/>
      <c r="BK106"/>
      <c r="BL106"/>
      <c r="BM106"/>
      <c r="BN106"/>
      <c r="BO106"/>
      <c r="BP106"/>
      <c r="BQ106"/>
      <c r="BR106"/>
    </row>
    <row r="107" spans="2:70" x14ac:dyDescent="0.2">
      <c r="B107" s="238" t="s">
        <v>576</v>
      </c>
      <c r="C107" s="239">
        <v>1615.72</v>
      </c>
      <c r="D107" s="239">
        <f t="shared" si="37"/>
        <v>884.3165336374002</v>
      </c>
      <c r="E107" s="240"/>
      <c r="F107" s="253"/>
      <c r="G107" s="241">
        <f>D107</f>
        <v>884.3165336374002</v>
      </c>
      <c r="K107" s="1514"/>
      <c r="T107" s="238" t="s">
        <v>536</v>
      </c>
      <c r="U107" s="242">
        <v>13590.59</v>
      </c>
      <c r="V107" s="263">
        <f t="shared" si="41"/>
        <v>7436.3044429853362</v>
      </c>
      <c r="Y107" s="244">
        <f>V107</f>
        <v>7436.3044429853362</v>
      </c>
    </row>
    <row r="108" spans="2:70" x14ac:dyDescent="0.2">
      <c r="B108" s="238" t="s">
        <v>579</v>
      </c>
      <c r="C108" s="259">
        <v>822.67</v>
      </c>
      <c r="D108" s="239">
        <f t="shared" si="37"/>
        <v>450.26408209806152</v>
      </c>
      <c r="E108" s="240"/>
      <c r="F108" s="240">
        <f>D108</f>
        <v>450.26408209806152</v>
      </c>
      <c r="G108" s="241"/>
      <c r="K108" s="1514"/>
      <c r="T108" s="238" t="s">
        <v>541</v>
      </c>
      <c r="U108" s="242">
        <v>3476.12</v>
      </c>
      <c r="V108" s="263">
        <f t="shared" si="41"/>
        <v>1902.0135697089081</v>
      </c>
      <c r="X108" s="249">
        <f>V108</f>
        <v>1902.0135697089081</v>
      </c>
      <c r="Y108" s="250"/>
    </row>
    <row r="109" spans="2:70" x14ac:dyDescent="0.2">
      <c r="B109" s="1789" t="s">
        <v>518</v>
      </c>
      <c r="C109" s="1790">
        <f>SUM(C88:C108)</f>
        <v>11282.329999999998</v>
      </c>
      <c r="D109" s="1790">
        <f>SUM(D88:D108)</f>
        <v>6175.0494868871156</v>
      </c>
      <c r="E109" s="1790">
        <f>SUM(E88:E108)</f>
        <v>3014.4000000000005</v>
      </c>
      <c r="F109" s="1790">
        <f>SUM(F88:F108)</f>
        <v>1238.5477765108321</v>
      </c>
      <c r="G109" s="1791">
        <f>SUM(G88:G108)</f>
        <v>1922.1017103762829</v>
      </c>
      <c r="K109" s="1514"/>
      <c r="T109" s="238" t="s">
        <v>545</v>
      </c>
      <c r="U109" s="242">
        <v>30164.240000000002</v>
      </c>
      <c r="V109" s="263">
        <f t="shared" si="41"/>
        <v>16504.836944626833</v>
      </c>
      <c r="X109" s="249">
        <f>V109</f>
        <v>16504.836944626833</v>
      </c>
      <c r="Y109" s="250"/>
    </row>
    <row r="110" spans="2:70" ht="17" thickBot="1" x14ac:dyDescent="0.25">
      <c r="B110" s="238" t="s">
        <v>525</v>
      </c>
      <c r="C110" s="254">
        <f>C109*0.86</f>
        <v>9702.8037999999979</v>
      </c>
      <c r="D110" s="254">
        <f>D109*0.86</f>
        <v>5310.5425587229192</v>
      </c>
      <c r="E110" s="254">
        <f>E109*0.86</f>
        <v>2592.3840000000005</v>
      </c>
      <c r="F110" s="254">
        <f>F109*0.86</f>
        <v>1065.1510877993155</v>
      </c>
      <c r="G110" s="258">
        <f>G109*0.86</f>
        <v>1653.0074709236033</v>
      </c>
      <c r="K110" s="1514"/>
      <c r="T110" s="238" t="s">
        <v>550</v>
      </c>
      <c r="U110" s="242">
        <v>9734.1200000000008</v>
      </c>
      <c r="V110" s="263">
        <f t="shared" si="41"/>
        <v>5326.1764062158027</v>
      </c>
      <c r="W110" s="249">
        <f>V110</f>
        <v>5326.1764062158027</v>
      </c>
      <c r="Y110" s="250"/>
    </row>
    <row r="111" spans="2:70" ht="17" thickBot="1" x14ac:dyDescent="0.25">
      <c r="B111" s="276" t="s">
        <v>586</v>
      </c>
      <c r="C111" s="278">
        <f>C110*$C$50</f>
        <v>407517.75959999993</v>
      </c>
      <c r="D111" s="278">
        <f>D110*$C$50</f>
        <v>223042.78746636261</v>
      </c>
      <c r="E111" s="278">
        <f>E110*$C$50</f>
        <v>108880.12800000003</v>
      </c>
      <c r="F111" s="278">
        <f>F110*$C$50</f>
        <v>44736.345687571251</v>
      </c>
      <c r="G111" s="279">
        <f>G110*$C$50</f>
        <v>69426.313778791344</v>
      </c>
      <c r="K111" s="1514"/>
      <c r="T111" s="238" t="s">
        <v>553</v>
      </c>
      <c r="U111" s="242">
        <v>16565.21</v>
      </c>
      <c r="V111" s="263">
        <f t="shared" si="41"/>
        <v>9063.9144232873714</v>
      </c>
      <c r="W111" s="249">
        <f>V111</f>
        <v>9063.9144232873714</v>
      </c>
      <c r="Y111" s="250"/>
    </row>
    <row r="112" spans="2:70" ht="17" thickBot="1" x14ac:dyDescent="0.25">
      <c r="K112" s="1514"/>
      <c r="T112" s="238" t="s">
        <v>551</v>
      </c>
      <c r="U112" s="242">
        <v>12878.24</v>
      </c>
      <c r="V112" s="263">
        <f t="shared" si="41"/>
        <v>7046.5309695775886</v>
      </c>
      <c r="Y112" s="244">
        <f>V112</f>
        <v>7046.5309695775886</v>
      </c>
    </row>
    <row r="113" spans="2:35" x14ac:dyDescent="0.2">
      <c r="B113" s="1547" t="s">
        <v>607</v>
      </c>
      <c r="C113" s="1545"/>
      <c r="D113" s="1545"/>
      <c r="E113" s="1545" t="s">
        <v>474</v>
      </c>
      <c r="F113" s="1545"/>
      <c r="G113" s="1546"/>
      <c r="K113" s="1549" t="s">
        <v>608</v>
      </c>
      <c r="L113" s="228"/>
      <c r="M113" s="228"/>
      <c r="N113" s="228" t="s">
        <v>474</v>
      </c>
      <c r="O113" s="228"/>
      <c r="P113" s="229"/>
      <c r="T113" s="238" t="s">
        <v>561</v>
      </c>
      <c r="U113" s="242">
        <v>37026.5</v>
      </c>
      <c r="V113" s="263">
        <f t="shared" si="41"/>
        <v>20259.630115999124</v>
      </c>
      <c r="W113" s="249">
        <f>V113</f>
        <v>20259.630115999124</v>
      </c>
      <c r="Y113" s="250"/>
    </row>
    <row r="114" spans="2:35" ht="17" thickBot="1" x14ac:dyDescent="0.25">
      <c r="B114" s="245" t="s">
        <v>479</v>
      </c>
      <c r="C114" s="246" t="s">
        <v>480</v>
      </c>
      <c r="D114" s="246" t="s">
        <v>481</v>
      </c>
      <c r="E114" s="246" t="s">
        <v>203</v>
      </c>
      <c r="F114" s="246" t="s">
        <v>482</v>
      </c>
      <c r="G114" s="247" t="s">
        <v>483</v>
      </c>
      <c r="K114" s="1550" t="s">
        <v>479</v>
      </c>
      <c r="L114" s="246" t="s">
        <v>480</v>
      </c>
      <c r="M114" s="246" t="s">
        <v>481</v>
      </c>
      <c r="N114" s="246" t="s">
        <v>203</v>
      </c>
      <c r="O114" s="246" t="s">
        <v>482</v>
      </c>
      <c r="P114" s="247" t="s">
        <v>483</v>
      </c>
      <c r="T114" s="238" t="s">
        <v>565</v>
      </c>
      <c r="U114" s="242">
        <v>53159.08</v>
      </c>
      <c r="V114" s="263">
        <f t="shared" si="41"/>
        <v>29086.824250383015</v>
      </c>
      <c r="W114" s="249">
        <f>V114</f>
        <v>29086.824250383015</v>
      </c>
      <c r="Y114" s="250"/>
      <c r="AH114" s="266"/>
      <c r="AI114" s="266"/>
    </row>
    <row r="115" spans="2:35" x14ac:dyDescent="0.2">
      <c r="B115" s="238" t="s">
        <v>487</v>
      </c>
      <c r="C115" s="239">
        <v>479.42</v>
      </c>
      <c r="D115" s="239">
        <f t="shared" ref="D115:D135" si="42">C115*$I$116/$H$116</f>
        <v>327.99543899657925</v>
      </c>
      <c r="E115" s="240"/>
      <c r="F115" s="240"/>
      <c r="G115" s="241">
        <f>D115</f>
        <v>327.99543899657925</v>
      </c>
      <c r="H115" s="230" t="s">
        <v>488</v>
      </c>
      <c r="I115" s="231" t="s">
        <v>489</v>
      </c>
      <c r="K115" s="1551" t="s">
        <v>487</v>
      </c>
      <c r="L115" s="222">
        <v>199.44</v>
      </c>
      <c r="M115" s="239">
        <f t="shared" ref="M115:M125" si="43">L115*$R$116/$Q$116</f>
        <v>136.44697833523375</v>
      </c>
      <c r="N115" s="240"/>
      <c r="O115" s="240"/>
      <c r="P115" s="241">
        <f>M115</f>
        <v>136.44697833523375</v>
      </c>
      <c r="Q115" s="230" t="s">
        <v>488</v>
      </c>
      <c r="R115" s="231" t="s">
        <v>489</v>
      </c>
      <c r="T115" s="238" t="s">
        <v>568</v>
      </c>
      <c r="U115" s="242">
        <v>72422.75</v>
      </c>
      <c r="V115" s="263">
        <f t="shared" si="41"/>
        <v>39627.243379295251</v>
      </c>
      <c r="W115" s="249">
        <f>V115</f>
        <v>39627.243379295251</v>
      </c>
      <c r="Y115" s="250"/>
      <c r="AH115" s="267"/>
      <c r="AI115" s="267"/>
    </row>
    <row r="116" spans="2:35" ht="17" thickBot="1" x14ac:dyDescent="0.25">
      <c r="B116" s="238" t="s">
        <v>494</v>
      </c>
      <c r="C116" s="239">
        <v>333.84</v>
      </c>
      <c r="D116" s="239">
        <f t="shared" si="42"/>
        <v>228.39680729760545</v>
      </c>
      <c r="E116" s="240">
        <f>D116</f>
        <v>228.39680729760545</v>
      </c>
      <c r="F116" s="240"/>
      <c r="G116" s="248"/>
      <c r="H116" s="233">
        <v>43.85</v>
      </c>
      <c r="I116" s="234">
        <f>D51</f>
        <v>30</v>
      </c>
      <c r="K116" s="1551" t="s">
        <v>495</v>
      </c>
      <c r="L116" s="222">
        <v>207.83</v>
      </c>
      <c r="M116" s="239">
        <f t="shared" si="43"/>
        <v>142.18700114025086</v>
      </c>
      <c r="N116" s="240">
        <f>M116</f>
        <v>142.18700114025086</v>
      </c>
      <c r="O116" s="240"/>
      <c r="P116" s="248"/>
      <c r="Q116" s="235">
        <v>5.9457945692301566</v>
      </c>
      <c r="R116" s="236">
        <f>Q116*I116/H116</f>
        <v>4.0678184054026154</v>
      </c>
      <c r="T116" s="238" t="s">
        <v>571</v>
      </c>
      <c r="U116" s="239">
        <v>21508.91</v>
      </c>
      <c r="V116" s="263">
        <f t="shared" si="41"/>
        <v>11768.937404246006</v>
      </c>
      <c r="Y116" s="244">
        <f>V116</f>
        <v>11768.937404246006</v>
      </c>
    </row>
    <row r="117" spans="2:35" x14ac:dyDescent="0.2">
      <c r="B117" s="238" t="s">
        <v>501</v>
      </c>
      <c r="C117" s="239">
        <v>903.79</v>
      </c>
      <c r="D117" s="239">
        <f t="shared" si="42"/>
        <v>618.32839224629413</v>
      </c>
      <c r="E117" s="240">
        <f>D117</f>
        <v>618.32839224629413</v>
      </c>
      <c r="F117" s="240"/>
      <c r="G117" s="241"/>
      <c r="K117" s="1551" t="s">
        <v>502</v>
      </c>
      <c r="L117" s="222">
        <v>752.61</v>
      </c>
      <c r="M117" s="239">
        <f t="shared" si="43"/>
        <v>514.89851767388825</v>
      </c>
      <c r="N117" s="240">
        <f>M117</f>
        <v>514.89851767388825</v>
      </c>
      <c r="O117" s="240"/>
      <c r="P117" s="241"/>
      <c r="T117" s="238" t="s">
        <v>573</v>
      </c>
      <c r="U117" s="239">
        <v>19569.38</v>
      </c>
      <c r="V117" s="263">
        <f t="shared" si="41"/>
        <v>10707.693149485665</v>
      </c>
      <c r="W117" s="249">
        <f>V117</f>
        <v>10707.693149485665</v>
      </c>
      <c r="Y117" s="250"/>
    </row>
    <row r="118" spans="2:35" x14ac:dyDescent="0.2">
      <c r="B118" s="238" t="s">
        <v>507</v>
      </c>
      <c r="C118" s="239">
        <v>291.31</v>
      </c>
      <c r="D118" s="239">
        <f t="shared" si="42"/>
        <v>199.29988597491445</v>
      </c>
      <c r="E118" s="240">
        <f>D118</f>
        <v>199.29988597491445</v>
      </c>
      <c r="F118" s="240"/>
      <c r="G118" s="241"/>
      <c r="K118" s="1551" t="s">
        <v>508</v>
      </c>
      <c r="L118" s="222">
        <v>277.45999999999998</v>
      </c>
      <c r="M118" s="239">
        <f t="shared" si="43"/>
        <v>189.82440136830101</v>
      </c>
      <c r="N118" s="240">
        <f>M118</f>
        <v>189.82440136830101</v>
      </c>
      <c r="O118" s="240"/>
      <c r="P118" s="241"/>
      <c r="T118" s="238" t="s">
        <v>577</v>
      </c>
      <c r="U118" s="239">
        <v>12597.48</v>
      </c>
      <c r="V118" s="263">
        <f t="shared" si="41"/>
        <v>6892.9087327642819</v>
      </c>
      <c r="W118" s="249">
        <f>V118</f>
        <v>6892.9087327642819</v>
      </c>
      <c r="Y118" s="250"/>
    </row>
    <row r="119" spans="2:35" x14ac:dyDescent="0.2">
      <c r="B119" s="238" t="s">
        <v>513</v>
      </c>
      <c r="C119" s="239">
        <v>213</v>
      </c>
      <c r="D119" s="239">
        <f t="shared" si="42"/>
        <v>145.72405929304446</v>
      </c>
      <c r="E119" s="253"/>
      <c r="F119" s="240">
        <f>D119</f>
        <v>145.72405929304446</v>
      </c>
      <c r="G119" s="241"/>
      <c r="K119" s="1551" t="s">
        <v>514</v>
      </c>
      <c r="L119" s="222">
        <v>115.5</v>
      </c>
      <c r="M119" s="239">
        <f t="shared" si="43"/>
        <v>79.019384264538203</v>
      </c>
      <c r="N119" s="240">
        <f>M119</f>
        <v>79.019384264538203</v>
      </c>
      <c r="O119" s="240"/>
      <c r="P119" s="241"/>
      <c r="T119" s="238" t="s">
        <v>580</v>
      </c>
      <c r="U119" s="239">
        <v>7723.76</v>
      </c>
      <c r="V119" s="263">
        <f t="shared" si="41"/>
        <v>4226.1764062158018</v>
      </c>
      <c r="W119" s="249">
        <f>V119</f>
        <v>4226.1764062158018</v>
      </c>
      <c r="Y119" s="250"/>
    </row>
    <row r="120" spans="2:35" x14ac:dyDescent="0.2">
      <c r="B120" s="238" t="s">
        <v>520</v>
      </c>
      <c r="C120" s="239">
        <v>139.5</v>
      </c>
      <c r="D120" s="239">
        <f t="shared" si="42"/>
        <v>95.43899657924743</v>
      </c>
      <c r="E120" s="240"/>
      <c r="F120" s="240">
        <f>D120</f>
        <v>95.43899657924743</v>
      </c>
      <c r="G120" s="248"/>
      <c r="K120" s="1551" t="s">
        <v>521</v>
      </c>
      <c r="L120" s="222">
        <v>65.98</v>
      </c>
      <c r="M120" s="239">
        <f t="shared" si="43"/>
        <v>45.140250855188135</v>
      </c>
      <c r="N120" s="240"/>
      <c r="O120" s="240"/>
      <c r="P120" s="241">
        <f>M120</f>
        <v>45.140250855188135</v>
      </c>
      <c r="T120" s="238" t="s">
        <v>554</v>
      </c>
      <c r="U120" s="239">
        <v>12633.02</v>
      </c>
      <c r="V120" s="263">
        <f t="shared" si="41"/>
        <v>6912.3550010943318</v>
      </c>
      <c r="W120" s="249">
        <f>V120</f>
        <v>6912.3550010943318</v>
      </c>
      <c r="Y120" s="250"/>
    </row>
    <row r="121" spans="2:35" x14ac:dyDescent="0.2">
      <c r="B121" s="238" t="s">
        <v>504</v>
      </c>
      <c r="C121" s="239">
        <v>1087.76</v>
      </c>
      <c r="D121" s="239">
        <f t="shared" si="42"/>
        <v>744.1915621436716</v>
      </c>
      <c r="E121" s="240"/>
      <c r="F121" s="240">
        <f>D121</f>
        <v>744.1915621436716</v>
      </c>
      <c r="G121" s="248"/>
      <c r="K121" s="1551" t="s">
        <v>527</v>
      </c>
      <c r="L121" s="222">
        <v>274.07</v>
      </c>
      <c r="M121" s="239">
        <f t="shared" si="43"/>
        <v>187.50513112884835</v>
      </c>
      <c r="N121" s="240"/>
      <c r="O121" s="240">
        <f>M121</f>
        <v>187.50513112884835</v>
      </c>
      <c r="P121" s="248"/>
      <c r="T121" s="238" t="s">
        <v>558</v>
      </c>
      <c r="U121" s="239">
        <v>17182.89</v>
      </c>
      <c r="V121" s="263">
        <f t="shared" si="41"/>
        <v>9401.887721602101</v>
      </c>
      <c r="Y121" s="244">
        <f>V121</f>
        <v>9401.887721602101</v>
      </c>
    </row>
    <row r="122" spans="2:35" x14ac:dyDescent="0.2">
      <c r="B122" s="238" t="s">
        <v>530</v>
      </c>
      <c r="C122" s="239">
        <v>159.66999999999999</v>
      </c>
      <c r="D122" s="239">
        <f t="shared" si="42"/>
        <v>109.2383124287343</v>
      </c>
      <c r="E122" s="240">
        <f t="shared" ref="E122:E130" si="44">D122</f>
        <v>109.2383124287343</v>
      </c>
      <c r="F122" s="240"/>
      <c r="G122" s="248"/>
      <c r="K122" s="1551" t="s">
        <v>531</v>
      </c>
      <c r="L122" s="222">
        <v>115.41</v>
      </c>
      <c r="M122" s="239">
        <f t="shared" si="43"/>
        <v>78.957810718358033</v>
      </c>
      <c r="N122" s="240">
        <f>M122</f>
        <v>78.957810718358033</v>
      </c>
      <c r="O122" s="240"/>
      <c r="P122" s="248"/>
      <c r="T122" s="238" t="s">
        <v>609</v>
      </c>
      <c r="U122" s="239">
        <v>9738.7800000000007</v>
      </c>
      <c r="V122" s="263">
        <f t="shared" si="41"/>
        <v>5328.7261982928439</v>
      </c>
      <c r="Y122" s="244">
        <f>V122</f>
        <v>5328.7261982928439</v>
      </c>
    </row>
    <row r="123" spans="2:35" x14ac:dyDescent="0.2">
      <c r="B123" s="238" t="s">
        <v>534</v>
      </c>
      <c r="C123" s="239">
        <v>249</v>
      </c>
      <c r="D123" s="239">
        <f t="shared" si="42"/>
        <v>170.35347776510832</v>
      </c>
      <c r="E123" s="240">
        <f t="shared" si="44"/>
        <v>170.35347776510832</v>
      </c>
      <c r="F123" s="240"/>
      <c r="G123" s="248"/>
      <c r="K123" s="1551" t="s">
        <v>535</v>
      </c>
      <c r="L123" s="222">
        <v>96.33</v>
      </c>
      <c r="M123" s="239">
        <f t="shared" si="43"/>
        <v>65.904218928164198</v>
      </c>
      <c r="N123" s="240"/>
      <c r="O123" s="240"/>
      <c r="P123" s="241">
        <f>M123</f>
        <v>65.904218928164198</v>
      </c>
      <c r="T123" s="238" t="s">
        <v>566</v>
      </c>
      <c r="U123" s="239">
        <v>14130.59</v>
      </c>
      <c r="V123" s="263">
        <f t="shared" si="41"/>
        <v>7731.7739111402934</v>
      </c>
      <c r="Y123" s="244">
        <f>V123</f>
        <v>7731.7739111402934</v>
      </c>
    </row>
    <row r="124" spans="2:35" x14ac:dyDescent="0.2">
      <c r="B124" s="238" t="s">
        <v>539</v>
      </c>
      <c r="C124" s="239">
        <v>237</v>
      </c>
      <c r="D124" s="239">
        <f t="shared" si="42"/>
        <v>162.1436716077537</v>
      </c>
      <c r="E124" s="240">
        <f t="shared" si="44"/>
        <v>162.1436716077537</v>
      </c>
      <c r="F124" s="240"/>
      <c r="G124" s="248"/>
      <c r="K124" s="1551" t="s">
        <v>540</v>
      </c>
      <c r="L124" s="222">
        <v>216.44</v>
      </c>
      <c r="M124" s="239">
        <f t="shared" si="43"/>
        <v>148.07753705815279</v>
      </c>
      <c r="N124" s="240"/>
      <c r="O124" s="240"/>
      <c r="P124" s="241">
        <f>M124</f>
        <v>148.07753705815279</v>
      </c>
      <c r="T124" s="238" t="s">
        <v>569</v>
      </c>
      <c r="U124" s="239">
        <v>8952.86</v>
      </c>
      <c r="V124" s="263">
        <f t="shared" si="41"/>
        <v>4898.697745677392</v>
      </c>
      <c r="Y124" s="244">
        <f>V124</f>
        <v>4898.697745677392</v>
      </c>
    </row>
    <row r="125" spans="2:35" x14ac:dyDescent="0.2">
      <c r="B125" s="238" t="s">
        <v>543</v>
      </c>
      <c r="C125" s="239">
        <v>382</v>
      </c>
      <c r="D125" s="239">
        <f t="shared" si="42"/>
        <v>261.34549600912197</v>
      </c>
      <c r="E125" s="240">
        <f t="shared" si="44"/>
        <v>261.34549600912197</v>
      </c>
      <c r="F125" s="240"/>
      <c r="G125" s="248"/>
      <c r="K125" s="1551" t="s">
        <v>544</v>
      </c>
      <c r="L125" s="222">
        <v>236.74</v>
      </c>
      <c r="M125" s="239">
        <f t="shared" si="43"/>
        <v>161.96579247434437</v>
      </c>
      <c r="N125" s="240"/>
      <c r="O125" s="240"/>
      <c r="P125" s="241">
        <f>M125</f>
        <v>161.96579247434437</v>
      </c>
      <c r="T125" s="238" t="s">
        <v>547</v>
      </c>
      <c r="U125" s="239">
        <v>22589.040000000001</v>
      </c>
      <c r="V125" s="263">
        <f t="shared" si="41"/>
        <v>12359.947472094551</v>
      </c>
      <c r="W125" s="249">
        <f>V125</f>
        <v>12359.947472094551</v>
      </c>
      <c r="Y125" s="250"/>
    </row>
    <row r="126" spans="2:35" x14ac:dyDescent="0.2">
      <c r="B126" s="238" t="s">
        <v>549</v>
      </c>
      <c r="C126" s="239">
        <v>289.11</v>
      </c>
      <c r="D126" s="239">
        <f t="shared" si="42"/>
        <v>197.79475484606616</v>
      </c>
      <c r="E126" s="240">
        <f t="shared" si="44"/>
        <v>197.79475484606616</v>
      </c>
      <c r="F126" s="240"/>
      <c r="G126" s="248"/>
      <c r="K126" s="1792" t="s">
        <v>518</v>
      </c>
      <c r="L126" s="1790">
        <f>SUM(L115:L125)</f>
        <v>2557.8100000000004</v>
      </c>
      <c r="M126" s="1790">
        <f>SUM(M115:M125)</f>
        <v>1749.9270239452683</v>
      </c>
      <c r="N126" s="1790">
        <f>SUM(N115:N125)</f>
        <v>1004.8871151653362</v>
      </c>
      <c r="O126" s="1790">
        <f>SUM(O115:O125)</f>
        <v>187.50513112884835</v>
      </c>
      <c r="P126" s="1791">
        <f>SUM(P115:P125)</f>
        <v>557.53477765108323</v>
      </c>
      <c r="T126" s="238" t="s">
        <v>596</v>
      </c>
      <c r="U126" s="239">
        <v>5835.19</v>
      </c>
      <c r="V126" s="263">
        <f t="shared" si="41"/>
        <v>3192.8157145983801</v>
      </c>
      <c r="Y126" s="244">
        <f>V126</f>
        <v>3192.8157145983801</v>
      </c>
    </row>
    <row r="127" spans="2:35" ht="17" thickBot="1" x14ac:dyDescent="0.25">
      <c r="B127" s="238" t="s">
        <v>552</v>
      </c>
      <c r="C127" s="239">
        <v>450.67</v>
      </c>
      <c r="D127" s="239">
        <f t="shared" si="42"/>
        <v>308.32611174458378</v>
      </c>
      <c r="E127" s="240">
        <f t="shared" si="44"/>
        <v>308.32611174458378</v>
      </c>
      <c r="F127" s="240"/>
      <c r="G127" s="248"/>
      <c r="K127" s="1554" t="s">
        <v>525</v>
      </c>
      <c r="L127" s="269">
        <f>L126*0.86</f>
        <v>2199.7166000000002</v>
      </c>
      <c r="M127" s="269">
        <f>M126*0.86</f>
        <v>1504.9372405929307</v>
      </c>
      <c r="N127" s="269">
        <f>N126*0.86</f>
        <v>864.20291904218914</v>
      </c>
      <c r="O127" s="269">
        <f>O126*0.86</f>
        <v>161.25441277080958</v>
      </c>
      <c r="P127" s="270">
        <f>P126*0.86</f>
        <v>479.47990877993158</v>
      </c>
      <c r="T127" s="238" t="s">
        <v>598</v>
      </c>
      <c r="U127" s="239">
        <v>5200</v>
      </c>
      <c r="V127" s="263">
        <f t="shared" si="41"/>
        <v>2845.2615451958854</v>
      </c>
      <c r="W127" s="249">
        <f>V127</f>
        <v>2845.2615451958854</v>
      </c>
      <c r="Y127" s="250"/>
    </row>
    <row r="128" spans="2:35" ht="17" thickBot="1" x14ac:dyDescent="0.25">
      <c r="B128" s="238" t="s">
        <v>556</v>
      </c>
      <c r="C128" s="239">
        <v>869</v>
      </c>
      <c r="D128" s="239">
        <f t="shared" si="42"/>
        <v>594.52679589509694</v>
      </c>
      <c r="E128" s="240">
        <f t="shared" si="44"/>
        <v>594.52679589509694</v>
      </c>
      <c r="F128" s="253"/>
      <c r="G128" s="241"/>
      <c r="K128" s="1552" t="s">
        <v>557</v>
      </c>
      <c r="L128" s="277"/>
      <c r="M128" s="278">
        <f>(M127)*$L$51</f>
        <v>81266.610992018264</v>
      </c>
      <c r="N128" s="278">
        <f>(N127)*$L$51</f>
        <v>46666.957628278215</v>
      </c>
      <c r="O128" s="278">
        <f>(O127)*$L$51</f>
        <v>8707.7382896237177</v>
      </c>
      <c r="P128" s="279">
        <f>(P127)*$L$51</f>
        <v>25891.915074116307</v>
      </c>
      <c r="T128" s="238" t="s">
        <v>593</v>
      </c>
      <c r="U128" s="239">
        <v>18417.060000000001</v>
      </c>
      <c r="V128" s="263">
        <f t="shared" si="41"/>
        <v>10077.183191070259</v>
      </c>
      <c r="W128" s="249">
        <f>V128</f>
        <v>10077.183191070259</v>
      </c>
      <c r="Y128" s="250"/>
    </row>
    <row r="129" spans="2:25" x14ac:dyDescent="0.2">
      <c r="B129" s="238" t="s">
        <v>560</v>
      </c>
      <c r="C129" s="239">
        <v>644.66999999999996</v>
      </c>
      <c r="D129" s="239">
        <f t="shared" si="42"/>
        <v>441.05131128848342</v>
      </c>
      <c r="E129" s="240">
        <f t="shared" si="44"/>
        <v>441.05131128848342</v>
      </c>
      <c r="G129" s="250"/>
      <c r="K129" s="1514"/>
      <c r="T129" s="238" t="s">
        <v>599</v>
      </c>
      <c r="U129" s="242">
        <v>4852.7299999999996</v>
      </c>
      <c r="V129" s="263">
        <f t="shared" si="41"/>
        <v>2655.247318888159</v>
      </c>
      <c r="W129" s="249">
        <f>V129</f>
        <v>2655.247318888159</v>
      </c>
      <c r="Y129" s="250"/>
    </row>
    <row r="130" spans="2:25" x14ac:dyDescent="0.2">
      <c r="B130" s="238" t="s">
        <v>564</v>
      </c>
      <c r="C130" s="239">
        <v>697.5</v>
      </c>
      <c r="D130" s="239">
        <f t="shared" si="42"/>
        <v>477.19498289623715</v>
      </c>
      <c r="E130" s="240">
        <f t="shared" si="44"/>
        <v>477.19498289623715</v>
      </c>
      <c r="F130" s="253"/>
      <c r="G130" s="241"/>
      <c r="K130" s="1514"/>
      <c r="T130" s="238" t="s">
        <v>601</v>
      </c>
      <c r="U130" s="242">
        <v>9171.5300000000007</v>
      </c>
      <c r="V130" s="263">
        <f t="shared" si="41"/>
        <v>5018.3464653096962</v>
      </c>
      <c r="W130" s="249">
        <f>V130</f>
        <v>5018.3464653096962</v>
      </c>
      <c r="Y130" s="250"/>
    </row>
    <row r="131" spans="2:25" x14ac:dyDescent="0.2">
      <c r="B131" s="238" t="s">
        <v>567</v>
      </c>
      <c r="C131" s="239">
        <v>484.62</v>
      </c>
      <c r="D131" s="239">
        <f t="shared" si="42"/>
        <v>331.55302166476622</v>
      </c>
      <c r="E131" s="253"/>
      <c r="F131" s="253"/>
      <c r="G131" s="241">
        <f>D131</f>
        <v>331.55302166476622</v>
      </c>
      <c r="K131" s="1514"/>
      <c r="T131" s="238" t="s">
        <v>594</v>
      </c>
      <c r="U131" s="242">
        <v>26483.99</v>
      </c>
      <c r="V131" s="263">
        <f t="shared" si="41"/>
        <v>14491.130444298535</v>
      </c>
      <c r="Y131" s="244">
        <f>V131</f>
        <v>14491.130444298535</v>
      </c>
    </row>
    <row r="132" spans="2:25" ht="17" thickBot="1" x14ac:dyDescent="0.25">
      <c r="B132" s="238" t="s">
        <v>570</v>
      </c>
      <c r="C132" s="239">
        <v>739.43</v>
      </c>
      <c r="D132" s="239">
        <f t="shared" si="42"/>
        <v>505.88141391106035</v>
      </c>
      <c r="E132" s="240"/>
      <c r="F132" s="253"/>
      <c r="G132" s="241">
        <f>D132</f>
        <v>505.88141391106035</v>
      </c>
      <c r="K132" s="1514"/>
      <c r="T132" s="261" t="s">
        <v>518</v>
      </c>
      <c r="U132" s="1666">
        <f>SUM(U99:U131)</f>
        <v>500680.96000000002</v>
      </c>
      <c r="V132" s="1666">
        <f>SUM(V99:V131)</f>
        <v>273955.43882687681</v>
      </c>
      <c r="W132" s="1666">
        <f>SUM(W99:W131)</f>
        <v>175538.91989494421</v>
      </c>
      <c r="X132" s="1666">
        <f>SUM(X99:X131)</f>
        <v>20807.676734515211</v>
      </c>
      <c r="Y132" s="262">
        <f>SUM(Y99:Y131)</f>
        <v>77608.842197417369</v>
      </c>
    </row>
    <row r="133" spans="2:25" ht="17" thickBot="1" x14ac:dyDescent="0.25">
      <c r="B133" s="238" t="s">
        <v>572</v>
      </c>
      <c r="C133" s="239">
        <v>192.65</v>
      </c>
      <c r="D133" s="239">
        <f t="shared" si="42"/>
        <v>131.80159635119725</v>
      </c>
      <c r="E133" s="240"/>
      <c r="F133" s="253"/>
      <c r="G133" s="241">
        <f>D133</f>
        <v>131.80159635119725</v>
      </c>
      <c r="K133" s="1514"/>
      <c r="T133" s="276" t="s">
        <v>525</v>
      </c>
      <c r="U133" s="277">
        <f>U132*0.86</f>
        <v>430585.62560000003</v>
      </c>
      <c r="V133" s="278">
        <f>V132*0.86</f>
        <v>235601.67739111406</v>
      </c>
      <c r="W133" s="278">
        <f>W132*0.86</f>
        <v>150963.47110965202</v>
      </c>
      <c r="X133" s="278">
        <f>X132*0.86</f>
        <v>17894.601991683081</v>
      </c>
      <c r="Y133" s="279">
        <f>Y132*0.86</f>
        <v>66743.60428977893</v>
      </c>
    </row>
    <row r="134" spans="2:25" x14ac:dyDescent="0.2">
      <c r="B134" s="238" t="s">
        <v>576</v>
      </c>
      <c r="C134" s="239">
        <v>1615.72</v>
      </c>
      <c r="D134" s="239">
        <f t="shared" si="42"/>
        <v>1105.3956670467503</v>
      </c>
      <c r="E134" s="240"/>
      <c r="F134" s="253"/>
      <c r="G134" s="241">
        <f>D134</f>
        <v>1105.3956670467503</v>
      </c>
      <c r="K134" s="1514"/>
    </row>
    <row r="135" spans="2:25" x14ac:dyDescent="0.2">
      <c r="B135" s="238" t="s">
        <v>579</v>
      </c>
      <c r="C135" s="259">
        <v>822.67</v>
      </c>
      <c r="D135" s="239">
        <f t="shared" si="42"/>
        <v>562.83010262257687</v>
      </c>
      <c r="E135" s="240"/>
      <c r="F135" s="240">
        <f>D135</f>
        <v>562.83010262257687</v>
      </c>
      <c r="G135" s="241"/>
      <c r="K135" s="1514"/>
    </row>
    <row r="136" spans="2:25" x14ac:dyDescent="0.2">
      <c r="B136" s="1789" t="s">
        <v>518</v>
      </c>
      <c r="C136" s="1790">
        <f>SUM(C115:C135)</f>
        <v>11282.329999999998</v>
      </c>
      <c r="D136" s="1790">
        <f>SUM(D115:D135)</f>
        <v>7718.811858608894</v>
      </c>
      <c r="E136" s="1790">
        <f>SUM(E115:E135)</f>
        <v>3767.9999999999995</v>
      </c>
      <c r="F136" s="1790">
        <f>SUM(F115:F135)</f>
        <v>1548.1847206385405</v>
      </c>
      <c r="G136" s="1791">
        <f>SUM(G115:G135)</f>
        <v>2402.6271379703535</v>
      </c>
      <c r="K136" s="1514"/>
    </row>
    <row r="137" spans="2:25" ht="17" thickBot="1" x14ac:dyDescent="0.25">
      <c r="B137" s="238" t="s">
        <v>525</v>
      </c>
      <c r="C137" s="254">
        <f>C136*0.86</f>
        <v>9702.8037999999979</v>
      </c>
      <c r="D137" s="254">
        <f>D136*0.86</f>
        <v>6638.1781984036488</v>
      </c>
      <c r="E137" s="254">
        <f>E136*0.86</f>
        <v>3240.4799999999996</v>
      </c>
      <c r="F137" s="254">
        <f>F136*0.86</f>
        <v>1331.4388597491447</v>
      </c>
      <c r="G137" s="258">
        <f>G136*0.86</f>
        <v>2066.2593386545041</v>
      </c>
      <c r="K137" s="1514"/>
    </row>
    <row r="138" spans="2:25" ht="17" thickBot="1" x14ac:dyDescent="0.25">
      <c r="B138" s="276" t="s">
        <v>586</v>
      </c>
      <c r="C138" s="278">
        <f>C137*$C$51</f>
        <v>523951.40519999986</v>
      </c>
      <c r="D138" s="278">
        <f>D137*$C$51</f>
        <v>358461.62271379703</v>
      </c>
      <c r="E138" s="278">
        <f>E137*$C$51</f>
        <v>174985.91999999998</v>
      </c>
      <c r="F138" s="278">
        <f>F137*$C$51</f>
        <v>71897.698426453819</v>
      </c>
      <c r="G138" s="279">
        <f>G137*$C$51</f>
        <v>111578.00428734322</v>
      </c>
      <c r="K138" s="1514"/>
    </row>
    <row r="139" spans="2:25" ht="17" thickBot="1" x14ac:dyDescent="0.25">
      <c r="K139" s="1514"/>
    </row>
    <row r="140" spans="2:25" x14ac:dyDescent="0.2">
      <c r="B140" s="1547" t="s">
        <v>610</v>
      </c>
      <c r="C140" s="1545"/>
      <c r="D140" s="1545"/>
      <c r="E140" s="1545" t="s">
        <v>474</v>
      </c>
      <c r="F140" s="1545"/>
      <c r="G140" s="1546"/>
      <c r="K140" s="1549" t="s">
        <v>611</v>
      </c>
      <c r="L140" s="228"/>
      <c r="M140" s="228"/>
      <c r="N140" s="228" t="s">
        <v>474</v>
      </c>
      <c r="O140" s="228"/>
      <c r="P140" s="229"/>
    </row>
    <row r="141" spans="2:25" ht="17" thickBot="1" x14ac:dyDescent="0.25">
      <c r="B141" s="245" t="s">
        <v>479</v>
      </c>
      <c r="C141" s="246" t="s">
        <v>480</v>
      </c>
      <c r="D141" s="246" t="s">
        <v>481</v>
      </c>
      <c r="E141" s="246" t="s">
        <v>203</v>
      </c>
      <c r="F141" s="246" t="s">
        <v>482</v>
      </c>
      <c r="G141" s="247" t="s">
        <v>483</v>
      </c>
      <c r="K141" s="1550" t="s">
        <v>479</v>
      </c>
      <c r="L141" s="246" t="s">
        <v>480</v>
      </c>
      <c r="M141" s="246" t="s">
        <v>481</v>
      </c>
      <c r="N141" s="246" t="s">
        <v>203</v>
      </c>
      <c r="O141" s="246" t="s">
        <v>482</v>
      </c>
      <c r="P141" s="247" t="s">
        <v>483</v>
      </c>
    </row>
    <row r="142" spans="2:25" x14ac:dyDescent="0.2">
      <c r="B142" s="238" t="s">
        <v>487</v>
      </c>
      <c r="C142" s="239">
        <v>479.42</v>
      </c>
      <c r="D142" s="239">
        <f t="shared" ref="D142:D162" si="45">C142*$I$143/$H$143</f>
        <v>393.59452679589504</v>
      </c>
      <c r="E142" s="240"/>
      <c r="F142" s="240"/>
      <c r="G142" s="241">
        <f>D142</f>
        <v>393.59452679589504</v>
      </c>
      <c r="H142" s="230" t="s">
        <v>488</v>
      </c>
      <c r="I142" s="231" t="s">
        <v>489</v>
      </c>
      <c r="K142" s="1551" t="s">
        <v>487</v>
      </c>
      <c r="L142" s="222">
        <v>199.44</v>
      </c>
      <c r="M142" s="239">
        <f t="shared" ref="M142:M152" si="46">L142*$R$143/$Q$143</f>
        <v>163.73637400228051</v>
      </c>
      <c r="N142" s="240"/>
      <c r="O142" s="240"/>
      <c r="P142" s="241">
        <f>M142</f>
        <v>163.73637400228051</v>
      </c>
      <c r="Q142" s="230" t="s">
        <v>488</v>
      </c>
      <c r="R142" s="231" t="s">
        <v>489</v>
      </c>
    </row>
    <row r="143" spans="2:25" ht="17" thickBot="1" x14ac:dyDescent="0.25">
      <c r="B143" s="238" t="s">
        <v>494</v>
      </c>
      <c r="C143" s="239">
        <v>333.84</v>
      </c>
      <c r="D143" s="239">
        <f t="shared" si="45"/>
        <v>274.07616875712654</v>
      </c>
      <c r="E143" s="240">
        <f>D143</f>
        <v>274.07616875712654</v>
      </c>
      <c r="F143" s="240"/>
      <c r="G143" s="248"/>
      <c r="H143" s="233">
        <v>43.85</v>
      </c>
      <c r="I143" s="234">
        <f>D52</f>
        <v>36</v>
      </c>
      <c r="K143" s="1551" t="s">
        <v>495</v>
      </c>
      <c r="L143" s="222">
        <v>207.83</v>
      </c>
      <c r="M143" s="239">
        <f t="shared" si="46"/>
        <v>170.62440136830105</v>
      </c>
      <c r="N143" s="240">
        <f>M143</f>
        <v>170.62440136830105</v>
      </c>
      <c r="O143" s="240"/>
      <c r="P143" s="248"/>
      <c r="Q143" s="235">
        <v>5.9457945692301566</v>
      </c>
      <c r="R143" s="236">
        <f>Q143*I143/H143</f>
        <v>4.8813820864831392</v>
      </c>
    </row>
    <row r="144" spans="2:25" x14ac:dyDescent="0.2">
      <c r="B144" s="238" t="s">
        <v>501</v>
      </c>
      <c r="C144" s="239">
        <v>903.79</v>
      </c>
      <c r="D144" s="239">
        <f t="shared" si="45"/>
        <v>741.99407069555298</v>
      </c>
      <c r="E144" s="240">
        <f>D144</f>
        <v>741.99407069555298</v>
      </c>
      <c r="F144" s="240"/>
      <c r="G144" s="241"/>
      <c r="K144" s="1551" t="s">
        <v>502</v>
      </c>
      <c r="L144" s="222">
        <v>752.61</v>
      </c>
      <c r="M144" s="239">
        <f t="shared" si="46"/>
        <v>617.87822120866599</v>
      </c>
      <c r="N144" s="240">
        <f>M144</f>
        <v>617.87822120866599</v>
      </c>
      <c r="O144" s="240"/>
      <c r="P144" s="241"/>
    </row>
    <row r="145" spans="2:16" x14ac:dyDescent="0.2">
      <c r="B145" s="238" t="s">
        <v>507</v>
      </c>
      <c r="C145" s="239">
        <v>291.31</v>
      </c>
      <c r="D145" s="239">
        <f t="shared" si="45"/>
        <v>239.15986316989736</v>
      </c>
      <c r="E145" s="240">
        <f>D145</f>
        <v>239.15986316989736</v>
      </c>
      <c r="F145" s="240"/>
      <c r="G145" s="241"/>
      <c r="K145" s="1551" t="s">
        <v>508</v>
      </c>
      <c r="L145" s="222">
        <v>277.45999999999998</v>
      </c>
      <c r="M145" s="239">
        <f t="shared" si="46"/>
        <v>227.78928164196122</v>
      </c>
      <c r="N145" s="240">
        <f>M145</f>
        <v>227.78928164196122</v>
      </c>
      <c r="O145" s="240"/>
      <c r="P145" s="241"/>
    </row>
    <row r="146" spans="2:16" x14ac:dyDescent="0.2">
      <c r="B146" s="238" t="s">
        <v>513</v>
      </c>
      <c r="C146" s="239">
        <v>213</v>
      </c>
      <c r="D146" s="239">
        <f t="shared" si="45"/>
        <v>174.86887115165337</v>
      </c>
      <c r="E146" s="253"/>
      <c r="F146" s="240">
        <f>D146</f>
        <v>174.86887115165337</v>
      </c>
      <c r="G146" s="241"/>
      <c r="K146" s="1551" t="s">
        <v>514</v>
      </c>
      <c r="L146" s="222">
        <v>115.5</v>
      </c>
      <c r="M146" s="239">
        <f t="shared" si="46"/>
        <v>94.823261117445853</v>
      </c>
      <c r="N146" s="240">
        <f>M146</f>
        <v>94.823261117445853</v>
      </c>
      <c r="O146" s="240"/>
      <c r="P146" s="241"/>
    </row>
    <row r="147" spans="2:16" x14ac:dyDescent="0.2">
      <c r="B147" s="238" t="s">
        <v>520</v>
      </c>
      <c r="C147" s="239">
        <v>139.5</v>
      </c>
      <c r="D147" s="239">
        <f t="shared" si="45"/>
        <v>114.52679589509692</v>
      </c>
      <c r="E147" s="240"/>
      <c r="F147" s="240">
        <f>D147</f>
        <v>114.52679589509692</v>
      </c>
      <c r="G147" s="248"/>
      <c r="K147" s="1551" t="s">
        <v>521</v>
      </c>
      <c r="L147" s="222">
        <v>65.98</v>
      </c>
      <c r="M147" s="239">
        <f t="shared" si="46"/>
        <v>54.168301026225777</v>
      </c>
      <c r="N147" s="240"/>
      <c r="O147" s="240"/>
      <c r="P147" s="241">
        <f>M147</f>
        <v>54.168301026225777</v>
      </c>
    </row>
    <row r="148" spans="2:16" x14ac:dyDescent="0.2">
      <c r="B148" s="238" t="s">
        <v>504</v>
      </c>
      <c r="C148" s="239">
        <v>1087.76</v>
      </c>
      <c r="D148" s="239">
        <f t="shared" si="45"/>
        <v>893.0298745724059</v>
      </c>
      <c r="E148" s="240"/>
      <c r="F148" s="240">
        <f>D148</f>
        <v>893.0298745724059</v>
      </c>
      <c r="G148" s="248"/>
      <c r="K148" s="1551" t="s">
        <v>527</v>
      </c>
      <c r="L148" s="222">
        <v>274.07</v>
      </c>
      <c r="M148" s="239">
        <f t="shared" si="46"/>
        <v>225.00615735461804</v>
      </c>
      <c r="N148" s="240"/>
      <c r="O148" s="240">
        <f>M148</f>
        <v>225.00615735461804</v>
      </c>
      <c r="P148" s="248"/>
    </row>
    <row r="149" spans="2:16" x14ac:dyDescent="0.2">
      <c r="B149" s="238" t="s">
        <v>530</v>
      </c>
      <c r="C149" s="239">
        <v>159.66999999999999</v>
      </c>
      <c r="D149" s="239">
        <f t="shared" si="45"/>
        <v>131.08597491448117</v>
      </c>
      <c r="E149" s="240">
        <f t="shared" ref="E149:E157" si="47">D149</f>
        <v>131.08597491448117</v>
      </c>
      <c r="F149" s="240"/>
      <c r="G149" s="248"/>
      <c r="K149" s="1551" t="s">
        <v>531</v>
      </c>
      <c r="L149" s="222">
        <v>115.41</v>
      </c>
      <c r="M149" s="239">
        <f t="shared" si="46"/>
        <v>94.749372862029645</v>
      </c>
      <c r="N149" s="240">
        <f>M149</f>
        <v>94.749372862029645</v>
      </c>
      <c r="O149" s="240"/>
      <c r="P149" s="248"/>
    </row>
    <row r="150" spans="2:16" x14ac:dyDescent="0.2">
      <c r="B150" s="238" t="s">
        <v>534</v>
      </c>
      <c r="C150" s="239">
        <v>249</v>
      </c>
      <c r="D150" s="239">
        <f t="shared" si="45"/>
        <v>204.42417331812999</v>
      </c>
      <c r="E150" s="240">
        <f t="shared" si="47"/>
        <v>204.42417331812999</v>
      </c>
      <c r="F150" s="240"/>
      <c r="G150" s="248"/>
      <c r="K150" s="1551" t="s">
        <v>535</v>
      </c>
      <c r="L150" s="222">
        <v>96.33</v>
      </c>
      <c r="M150" s="239">
        <f t="shared" si="46"/>
        <v>79.085062713797043</v>
      </c>
      <c r="N150" s="240"/>
      <c r="O150" s="240"/>
      <c r="P150" s="241">
        <f>M150</f>
        <v>79.085062713797043</v>
      </c>
    </row>
    <row r="151" spans="2:16" x14ac:dyDescent="0.2">
      <c r="B151" s="238" t="s">
        <v>539</v>
      </c>
      <c r="C151" s="239">
        <v>237</v>
      </c>
      <c r="D151" s="239">
        <f t="shared" si="45"/>
        <v>194.57240592930444</v>
      </c>
      <c r="E151" s="240">
        <f t="shared" si="47"/>
        <v>194.57240592930444</v>
      </c>
      <c r="F151" s="240"/>
      <c r="G151" s="248"/>
      <c r="K151" s="1551" t="s">
        <v>540</v>
      </c>
      <c r="L151" s="222">
        <v>216.44</v>
      </c>
      <c r="M151" s="239">
        <f t="shared" si="46"/>
        <v>177.69304446978339</v>
      </c>
      <c r="N151" s="240"/>
      <c r="O151" s="240"/>
      <c r="P151" s="241">
        <f>M151</f>
        <v>177.69304446978339</v>
      </c>
    </row>
    <row r="152" spans="2:16" x14ac:dyDescent="0.2">
      <c r="B152" s="238" t="s">
        <v>543</v>
      </c>
      <c r="C152" s="239">
        <v>382</v>
      </c>
      <c r="D152" s="239">
        <f t="shared" si="45"/>
        <v>313.61459521094639</v>
      </c>
      <c r="E152" s="240">
        <f t="shared" si="47"/>
        <v>313.61459521094639</v>
      </c>
      <c r="F152" s="240"/>
      <c r="G152" s="248"/>
      <c r="K152" s="1551" t="s">
        <v>544</v>
      </c>
      <c r="L152" s="222">
        <v>236.74</v>
      </c>
      <c r="M152" s="239">
        <f t="shared" si="46"/>
        <v>194.35895096921323</v>
      </c>
      <c r="N152" s="240"/>
      <c r="O152" s="240"/>
      <c r="P152" s="241">
        <f>M152</f>
        <v>194.35895096921323</v>
      </c>
    </row>
    <row r="153" spans="2:16" x14ac:dyDescent="0.2">
      <c r="B153" s="238" t="s">
        <v>549</v>
      </c>
      <c r="C153" s="239">
        <v>289.11</v>
      </c>
      <c r="D153" s="239">
        <f t="shared" si="45"/>
        <v>237.35370581527937</v>
      </c>
      <c r="E153" s="240">
        <f t="shared" si="47"/>
        <v>237.35370581527937</v>
      </c>
      <c r="F153" s="240"/>
      <c r="G153" s="248"/>
      <c r="K153" s="1792" t="s">
        <v>518</v>
      </c>
      <c r="L153" s="1790">
        <f>SUM(O156:O310)</f>
        <v>7219.1975553021657</v>
      </c>
      <c r="M153" s="1790">
        <f>SUM(M142:M152)</f>
        <v>2099.912428734322</v>
      </c>
      <c r="N153" s="1790">
        <f>SUM(N142:N152)</f>
        <v>1205.8645381984038</v>
      </c>
      <c r="O153" s="1790">
        <f>SUM(O142:O152)</f>
        <v>225.00615735461804</v>
      </c>
      <c r="P153" s="1791">
        <f>SUM(P142:P152)</f>
        <v>669.04173318129995</v>
      </c>
    </row>
    <row r="154" spans="2:16" ht="17" thickBot="1" x14ac:dyDescent="0.25">
      <c r="B154" s="238" t="s">
        <v>552</v>
      </c>
      <c r="C154" s="239">
        <v>450.67</v>
      </c>
      <c r="D154" s="239">
        <f t="shared" si="45"/>
        <v>369.9913340935006</v>
      </c>
      <c r="E154" s="240">
        <f t="shared" si="47"/>
        <v>369.9913340935006</v>
      </c>
      <c r="F154" s="240"/>
      <c r="G154" s="248"/>
      <c r="K154" s="1551" t="s">
        <v>525</v>
      </c>
      <c r="L154" s="254">
        <f>L153*0.86</f>
        <v>6208.5098975598621</v>
      </c>
      <c r="M154" s="254">
        <f>M153*0.86</f>
        <v>1805.9246887115169</v>
      </c>
      <c r="N154" s="254">
        <f>N153*0.86</f>
        <v>1037.0435028506272</v>
      </c>
      <c r="O154" s="254">
        <f>O153*0.86</f>
        <v>193.50529532497151</v>
      </c>
      <c r="P154" s="258">
        <f>P153*0.86</f>
        <v>575.37589053591796</v>
      </c>
    </row>
    <row r="155" spans="2:16" ht="17" thickBot="1" x14ac:dyDescent="0.25">
      <c r="B155" s="238" t="s">
        <v>556</v>
      </c>
      <c r="C155" s="239">
        <v>869</v>
      </c>
      <c r="D155" s="239">
        <f t="shared" si="45"/>
        <v>713.43215507411628</v>
      </c>
      <c r="E155" s="240">
        <f t="shared" si="47"/>
        <v>713.43215507411628</v>
      </c>
      <c r="F155" s="253"/>
      <c r="G155" s="241"/>
      <c r="K155" s="1552" t="s">
        <v>612</v>
      </c>
      <c r="L155" s="277"/>
      <c r="M155" s="278">
        <f>(M154)*$L$52</f>
        <v>34312.569085518822</v>
      </c>
      <c r="N155" s="278">
        <f>(N154)*$L$52</f>
        <v>19703.826554161918</v>
      </c>
      <c r="O155" s="278">
        <f>(O154)*$L$52</f>
        <v>3676.6006111744587</v>
      </c>
      <c r="P155" s="279">
        <f>(P154)*$L$52</f>
        <v>10932.141920182441</v>
      </c>
    </row>
    <row r="156" spans="2:16" x14ac:dyDescent="0.2">
      <c r="B156" s="238" t="s">
        <v>560</v>
      </c>
      <c r="C156" s="239">
        <v>644.66999999999996</v>
      </c>
      <c r="D156" s="239">
        <f t="shared" si="45"/>
        <v>529.2615735461801</v>
      </c>
      <c r="E156" s="240">
        <f t="shared" si="47"/>
        <v>529.2615735461801</v>
      </c>
      <c r="G156" s="250"/>
      <c r="K156" s="1514"/>
    </row>
    <row r="157" spans="2:16" x14ac:dyDescent="0.2">
      <c r="B157" s="238" t="s">
        <v>564</v>
      </c>
      <c r="C157" s="239">
        <v>697.5</v>
      </c>
      <c r="D157" s="239">
        <f t="shared" si="45"/>
        <v>572.63397947548458</v>
      </c>
      <c r="E157" s="240">
        <f t="shared" si="47"/>
        <v>572.63397947548458</v>
      </c>
      <c r="F157" s="253"/>
      <c r="G157" s="241"/>
      <c r="K157" s="1514"/>
    </row>
    <row r="158" spans="2:16" x14ac:dyDescent="0.2">
      <c r="B158" s="238" t="s">
        <v>567</v>
      </c>
      <c r="C158" s="239">
        <v>484.62</v>
      </c>
      <c r="D158" s="239">
        <f t="shared" si="45"/>
        <v>397.86362599771945</v>
      </c>
      <c r="E158" s="253"/>
      <c r="F158" s="253"/>
      <c r="G158" s="241">
        <f>D158</f>
        <v>397.86362599771945</v>
      </c>
      <c r="K158" s="1514"/>
    </row>
    <row r="159" spans="2:16" x14ac:dyDescent="0.2">
      <c r="B159" s="238" t="s">
        <v>570</v>
      </c>
      <c r="C159" s="239">
        <v>739.43</v>
      </c>
      <c r="D159" s="239">
        <f t="shared" si="45"/>
        <v>607.05769669327253</v>
      </c>
      <c r="E159" s="240"/>
      <c r="F159" s="253"/>
      <c r="G159" s="241">
        <f>D159</f>
        <v>607.05769669327253</v>
      </c>
      <c r="K159" s="1514"/>
    </row>
    <row r="160" spans="2:16" x14ac:dyDescent="0.2">
      <c r="B160" s="238" t="s">
        <v>572</v>
      </c>
      <c r="C160" s="239">
        <v>192.65</v>
      </c>
      <c r="D160" s="239">
        <f t="shared" si="45"/>
        <v>158.16191562143672</v>
      </c>
      <c r="E160" s="240"/>
      <c r="F160" s="253"/>
      <c r="G160" s="241">
        <f>D160</f>
        <v>158.16191562143672</v>
      </c>
      <c r="K160" s="1514"/>
    </row>
    <row r="161" spans="2:18" x14ac:dyDescent="0.2">
      <c r="B161" s="238" t="s">
        <v>576</v>
      </c>
      <c r="C161" s="239">
        <v>1615.72</v>
      </c>
      <c r="D161" s="239">
        <f t="shared" si="45"/>
        <v>1326.4748004561002</v>
      </c>
      <c r="E161" s="240"/>
      <c r="F161" s="253"/>
      <c r="G161" s="241">
        <f>D161</f>
        <v>1326.4748004561002</v>
      </c>
      <c r="K161" s="1514"/>
    </row>
    <row r="162" spans="2:18" x14ac:dyDescent="0.2">
      <c r="B162" s="238" t="s">
        <v>579</v>
      </c>
      <c r="C162" s="259">
        <v>822.67</v>
      </c>
      <c r="D162" s="239">
        <f t="shared" si="45"/>
        <v>675.39612314709234</v>
      </c>
      <c r="E162" s="240"/>
      <c r="F162" s="240">
        <f>D162</f>
        <v>675.39612314709234</v>
      </c>
      <c r="G162" s="241"/>
      <c r="K162" s="1514"/>
    </row>
    <row r="163" spans="2:18" x14ac:dyDescent="0.2">
      <c r="B163" s="1789" t="s">
        <v>518</v>
      </c>
      <c r="C163" s="1790">
        <f>SUM(C142:C162)</f>
        <v>11282.329999999998</v>
      </c>
      <c r="D163" s="1790">
        <f>SUM(D142:D162)</f>
        <v>9262.5742303306724</v>
      </c>
      <c r="E163" s="1790">
        <f>SUM(E142:E162)</f>
        <v>4521.5999999999995</v>
      </c>
      <c r="F163" s="1790">
        <f>SUM(F142:F162)</f>
        <v>1857.8216647662487</v>
      </c>
      <c r="G163" s="1791">
        <f>SUM(G142:G162)</f>
        <v>2883.1525655644236</v>
      </c>
      <c r="K163" s="1514"/>
    </row>
    <row r="164" spans="2:18" ht="17" thickBot="1" x14ac:dyDescent="0.25">
      <c r="B164" s="238" t="s">
        <v>525</v>
      </c>
      <c r="C164" s="254">
        <f>C163*0.86</f>
        <v>9702.8037999999979</v>
      </c>
      <c r="D164" s="254">
        <f>D163*0.86</f>
        <v>7965.8138380843784</v>
      </c>
      <c r="E164" s="254">
        <f>E163/1.13</f>
        <v>4001.4159292035397</v>
      </c>
      <c r="F164" s="254">
        <f>F163/1.13</f>
        <v>1644.0899688196891</v>
      </c>
      <c r="G164" s="258">
        <f>G163/1.13</f>
        <v>2551.4624474021452</v>
      </c>
      <c r="K164" s="1514"/>
    </row>
    <row r="165" spans="2:18" ht="17" thickBot="1" x14ac:dyDescent="0.25">
      <c r="B165" s="276" t="s">
        <v>586</v>
      </c>
      <c r="C165" s="278">
        <f>C164*$C$52</f>
        <v>184353.27219999995</v>
      </c>
      <c r="D165" s="278">
        <f>D164*$C$52</f>
        <v>151350.46292360319</v>
      </c>
      <c r="E165" s="278">
        <f>E164*$C$52</f>
        <v>76026.902654867255</v>
      </c>
      <c r="F165" s="278">
        <f>F164*$C$52</f>
        <v>31237.709407574093</v>
      </c>
      <c r="G165" s="279">
        <f>G164*$C$52</f>
        <v>48477.786500640759</v>
      </c>
      <c r="K165" s="1514"/>
    </row>
    <row r="166" spans="2:18" ht="17" thickBot="1" x14ac:dyDescent="0.25">
      <c r="K166" s="1514"/>
    </row>
    <row r="167" spans="2:18" x14ac:dyDescent="0.2">
      <c r="B167" s="1547" t="s">
        <v>613</v>
      </c>
      <c r="C167" s="1545"/>
      <c r="D167" s="1545"/>
      <c r="E167" s="1545" t="s">
        <v>474</v>
      </c>
      <c r="F167" s="1545"/>
      <c r="G167" s="1546"/>
      <c r="K167" s="1549" t="s">
        <v>614</v>
      </c>
      <c r="L167" s="228"/>
      <c r="M167" s="228"/>
      <c r="N167" s="228" t="s">
        <v>474</v>
      </c>
      <c r="O167" s="228"/>
      <c r="P167" s="229"/>
    </row>
    <row r="168" spans="2:18" ht="17" thickBot="1" x14ac:dyDescent="0.25">
      <c r="B168" s="245" t="s">
        <v>479</v>
      </c>
      <c r="C168" s="246" t="s">
        <v>480</v>
      </c>
      <c r="D168" s="246" t="s">
        <v>481</v>
      </c>
      <c r="E168" s="246" t="s">
        <v>203</v>
      </c>
      <c r="F168" s="246" t="s">
        <v>482</v>
      </c>
      <c r="G168" s="247" t="s">
        <v>483</v>
      </c>
      <c r="K168" s="1550" t="s">
        <v>479</v>
      </c>
      <c r="L168" s="246" t="s">
        <v>480</v>
      </c>
      <c r="M168" s="246" t="s">
        <v>481</v>
      </c>
      <c r="N168" s="246" t="s">
        <v>203</v>
      </c>
      <c r="O168" s="246" t="s">
        <v>482</v>
      </c>
      <c r="P168" s="247" t="s">
        <v>483</v>
      </c>
    </row>
    <row r="169" spans="2:18" x14ac:dyDescent="0.2">
      <c r="B169" s="238" t="s">
        <v>487</v>
      </c>
      <c r="C169" s="239">
        <v>479.42</v>
      </c>
      <c r="D169" s="239">
        <f t="shared" ref="D169:D189" si="48">C169*$I$170/$H$170</f>
        <v>524.79270239452683</v>
      </c>
      <c r="E169" s="240"/>
      <c r="F169" s="240"/>
      <c r="G169" s="241">
        <f>D169</f>
        <v>524.79270239452683</v>
      </c>
      <c r="H169" s="230" t="s">
        <v>488</v>
      </c>
      <c r="I169" s="231" t="s">
        <v>489</v>
      </c>
      <c r="K169" s="1551" t="s">
        <v>487</v>
      </c>
      <c r="L169" s="222">
        <v>199.44</v>
      </c>
      <c r="M169" s="239">
        <f t="shared" ref="M169:M179" si="49">L169*$R$170/$Q$170</f>
        <v>218.31516533637401</v>
      </c>
      <c r="N169" s="240"/>
      <c r="O169" s="240"/>
      <c r="P169" s="241">
        <f>M169</f>
        <v>218.31516533637401</v>
      </c>
      <c r="Q169" s="230" t="s">
        <v>488</v>
      </c>
      <c r="R169" s="231" t="s">
        <v>489</v>
      </c>
    </row>
    <row r="170" spans="2:18" ht="17" thickBot="1" x14ac:dyDescent="0.25">
      <c r="B170" s="238" t="s">
        <v>494</v>
      </c>
      <c r="C170" s="239">
        <v>333.84</v>
      </c>
      <c r="D170" s="239">
        <f t="shared" si="48"/>
        <v>365.43489167616872</v>
      </c>
      <c r="E170" s="240">
        <f>D170</f>
        <v>365.43489167616872</v>
      </c>
      <c r="F170" s="240"/>
      <c r="G170" s="248"/>
      <c r="H170" s="233">
        <v>43.85</v>
      </c>
      <c r="I170" s="234">
        <f>D53</f>
        <v>48</v>
      </c>
      <c r="K170" s="1551" t="s">
        <v>495</v>
      </c>
      <c r="L170" s="222">
        <v>207.83</v>
      </c>
      <c r="M170" s="239">
        <f t="shared" si="49"/>
        <v>227.49920182440138</v>
      </c>
      <c r="N170" s="240">
        <f>M170</f>
        <v>227.49920182440138</v>
      </c>
      <c r="O170" s="240"/>
      <c r="P170" s="248"/>
      <c r="Q170" s="235">
        <v>5.9457945692301566</v>
      </c>
      <c r="R170" s="236">
        <f>Q170*I170/H170</f>
        <v>6.508509448644185</v>
      </c>
    </row>
    <row r="171" spans="2:18" x14ac:dyDescent="0.2">
      <c r="B171" s="238" t="s">
        <v>501</v>
      </c>
      <c r="C171" s="239">
        <v>903.79</v>
      </c>
      <c r="D171" s="239">
        <f t="shared" si="48"/>
        <v>989.32542759407067</v>
      </c>
      <c r="E171" s="240">
        <f>D171</f>
        <v>989.32542759407067</v>
      </c>
      <c r="F171" s="240"/>
      <c r="G171" s="241"/>
      <c r="K171" s="1551" t="s">
        <v>502</v>
      </c>
      <c r="L171" s="222">
        <v>752.61</v>
      </c>
      <c r="M171" s="239">
        <f t="shared" si="49"/>
        <v>823.83762827822125</v>
      </c>
      <c r="N171" s="240">
        <f>M171</f>
        <v>823.83762827822125</v>
      </c>
      <c r="O171" s="240"/>
      <c r="P171" s="241"/>
    </row>
    <row r="172" spans="2:18" x14ac:dyDescent="0.2">
      <c r="B172" s="238" t="s">
        <v>507</v>
      </c>
      <c r="C172" s="239">
        <v>291.31</v>
      </c>
      <c r="D172" s="239">
        <f t="shared" si="48"/>
        <v>318.87981755986317</v>
      </c>
      <c r="E172" s="240">
        <f>D172</f>
        <v>318.87981755986317</v>
      </c>
      <c r="F172" s="240"/>
      <c r="G172" s="241"/>
      <c r="K172" s="1551" t="s">
        <v>508</v>
      </c>
      <c r="L172" s="222">
        <v>277.45999999999998</v>
      </c>
      <c r="M172" s="239">
        <f t="shared" si="49"/>
        <v>303.71904218928165</v>
      </c>
      <c r="N172" s="240">
        <f>M172</f>
        <v>303.71904218928165</v>
      </c>
      <c r="O172" s="240"/>
      <c r="P172" s="241"/>
    </row>
    <row r="173" spans="2:18" x14ac:dyDescent="0.2">
      <c r="B173" s="238" t="s">
        <v>513</v>
      </c>
      <c r="C173" s="239">
        <v>213</v>
      </c>
      <c r="D173" s="239">
        <f t="shared" si="48"/>
        <v>233.15849486887114</v>
      </c>
      <c r="E173" s="253"/>
      <c r="F173" s="240">
        <f>D173</f>
        <v>233.15849486887114</v>
      </c>
      <c r="G173" s="241"/>
      <c r="K173" s="1551" t="s">
        <v>514</v>
      </c>
      <c r="L173" s="222">
        <v>115.5</v>
      </c>
      <c r="M173" s="239">
        <f t="shared" si="49"/>
        <v>126.43101482326112</v>
      </c>
      <c r="N173" s="240">
        <f>M173</f>
        <v>126.43101482326112</v>
      </c>
      <c r="O173" s="240"/>
      <c r="P173" s="241"/>
    </row>
    <row r="174" spans="2:18" x14ac:dyDescent="0.2">
      <c r="B174" s="238" t="s">
        <v>520</v>
      </c>
      <c r="C174" s="239">
        <v>139.5</v>
      </c>
      <c r="D174" s="239">
        <f t="shared" si="48"/>
        <v>152.7023945267959</v>
      </c>
      <c r="E174" s="240"/>
      <c r="F174" s="240">
        <f>D174</f>
        <v>152.7023945267959</v>
      </c>
      <c r="G174" s="248"/>
      <c r="K174" s="1551" t="s">
        <v>521</v>
      </c>
      <c r="L174" s="222">
        <v>65.98</v>
      </c>
      <c r="M174" s="239">
        <f t="shared" si="49"/>
        <v>72.224401368301031</v>
      </c>
      <c r="N174" s="240"/>
      <c r="O174" s="240"/>
      <c r="P174" s="241">
        <f>M174</f>
        <v>72.224401368301031</v>
      </c>
    </row>
    <row r="175" spans="2:18" x14ac:dyDescent="0.2">
      <c r="B175" s="238" t="s">
        <v>504</v>
      </c>
      <c r="C175" s="239">
        <v>1087.76</v>
      </c>
      <c r="D175" s="239">
        <f t="shared" si="48"/>
        <v>1190.7064994298744</v>
      </c>
      <c r="E175" s="240"/>
      <c r="F175" s="240">
        <f>D175</f>
        <v>1190.7064994298744</v>
      </c>
      <c r="G175" s="248"/>
      <c r="K175" s="1551" t="s">
        <v>527</v>
      </c>
      <c r="L175" s="222">
        <v>274.07</v>
      </c>
      <c r="M175" s="239">
        <f t="shared" si="49"/>
        <v>300.00820980615731</v>
      </c>
      <c r="N175" s="240"/>
      <c r="O175" s="240">
        <f>M175</f>
        <v>300.00820980615731</v>
      </c>
      <c r="P175" s="248"/>
    </row>
    <row r="176" spans="2:18" x14ac:dyDescent="0.2">
      <c r="B176" s="238" t="s">
        <v>530</v>
      </c>
      <c r="C176" s="239">
        <v>159.66999999999999</v>
      </c>
      <c r="D176" s="239">
        <f t="shared" si="48"/>
        <v>174.7812998859749</v>
      </c>
      <c r="E176" s="240">
        <f t="shared" ref="E176:E184" si="50">D176</f>
        <v>174.7812998859749</v>
      </c>
      <c r="F176" s="240"/>
      <c r="G176" s="248"/>
      <c r="K176" s="1551" t="s">
        <v>531</v>
      </c>
      <c r="L176" s="222">
        <v>115.41</v>
      </c>
      <c r="M176" s="239">
        <f t="shared" si="49"/>
        <v>126.33249714937286</v>
      </c>
      <c r="N176" s="240">
        <f>M176</f>
        <v>126.33249714937286</v>
      </c>
      <c r="O176" s="240"/>
      <c r="P176" s="248"/>
    </row>
    <row r="177" spans="2:16" x14ac:dyDescent="0.2">
      <c r="B177" s="238" t="s">
        <v>534</v>
      </c>
      <c r="C177" s="239">
        <v>249</v>
      </c>
      <c r="D177" s="239">
        <f t="shared" si="48"/>
        <v>272.56556442417332</v>
      </c>
      <c r="E177" s="240">
        <f t="shared" si="50"/>
        <v>272.56556442417332</v>
      </c>
      <c r="F177" s="240"/>
      <c r="G177" s="248"/>
      <c r="K177" s="1551" t="s">
        <v>535</v>
      </c>
      <c r="L177" s="222">
        <v>96.33</v>
      </c>
      <c r="M177" s="239">
        <f t="shared" si="49"/>
        <v>105.44675028506271</v>
      </c>
      <c r="N177" s="240"/>
      <c r="O177" s="240"/>
      <c r="P177" s="241">
        <f>M177</f>
        <v>105.44675028506271</v>
      </c>
    </row>
    <row r="178" spans="2:16" x14ac:dyDescent="0.2">
      <c r="B178" s="238" t="s">
        <v>539</v>
      </c>
      <c r="C178" s="239">
        <v>237</v>
      </c>
      <c r="D178" s="239">
        <f t="shared" si="48"/>
        <v>259.42987457240594</v>
      </c>
      <c r="E178" s="240">
        <f t="shared" si="50"/>
        <v>259.42987457240594</v>
      </c>
      <c r="F178" s="240"/>
      <c r="G178" s="248"/>
      <c r="K178" s="1551" t="s">
        <v>540</v>
      </c>
      <c r="L178" s="222">
        <v>216.44</v>
      </c>
      <c r="M178" s="239">
        <f t="shared" si="49"/>
        <v>236.92405929304448</v>
      </c>
      <c r="N178" s="240"/>
      <c r="O178" s="240"/>
      <c r="P178" s="241">
        <f>M178</f>
        <v>236.92405929304448</v>
      </c>
    </row>
    <row r="179" spans="2:16" x14ac:dyDescent="0.2">
      <c r="B179" s="238" t="s">
        <v>543</v>
      </c>
      <c r="C179" s="239">
        <v>382</v>
      </c>
      <c r="D179" s="239">
        <f t="shared" si="48"/>
        <v>418.15279361459523</v>
      </c>
      <c r="E179" s="240">
        <f t="shared" si="50"/>
        <v>418.15279361459523</v>
      </c>
      <c r="F179" s="240"/>
      <c r="G179" s="248"/>
      <c r="K179" s="1551" t="s">
        <v>544</v>
      </c>
      <c r="L179" s="222">
        <v>236.74</v>
      </c>
      <c r="M179" s="239">
        <f t="shared" si="49"/>
        <v>259.14526795895097</v>
      </c>
      <c r="N179" s="240"/>
      <c r="O179" s="240"/>
      <c r="P179" s="241">
        <f>M179</f>
        <v>259.14526795895097</v>
      </c>
    </row>
    <row r="180" spans="2:16" x14ac:dyDescent="0.2">
      <c r="B180" s="238" t="s">
        <v>549</v>
      </c>
      <c r="C180" s="239">
        <v>289.11</v>
      </c>
      <c r="D180" s="239">
        <f t="shared" si="48"/>
        <v>316.47160775370583</v>
      </c>
      <c r="E180" s="240">
        <f t="shared" si="50"/>
        <v>316.47160775370583</v>
      </c>
      <c r="F180" s="240"/>
      <c r="G180" s="248"/>
      <c r="K180" s="1792" t="s">
        <v>518</v>
      </c>
      <c r="L180" s="1790">
        <f>SUM(O183:O337)</f>
        <v>4039.1105313568978</v>
      </c>
      <c r="M180" s="1790">
        <f>SUM(M169:M179)</f>
        <v>2799.8832383124291</v>
      </c>
      <c r="N180" s="1790">
        <f>SUM(N169:N179)</f>
        <v>1607.8193842645383</v>
      </c>
      <c r="O180" s="1790">
        <f>SUM(O169:O179)</f>
        <v>300.00820980615731</v>
      </c>
      <c r="P180" s="1791">
        <f>SUM(P169:P179)</f>
        <v>892.05564424173315</v>
      </c>
    </row>
    <row r="181" spans="2:16" ht="17" thickBot="1" x14ac:dyDescent="0.25">
      <c r="B181" s="238" t="s">
        <v>552</v>
      </c>
      <c r="C181" s="239">
        <v>450.67</v>
      </c>
      <c r="D181" s="239">
        <f t="shared" si="48"/>
        <v>493.32177879133405</v>
      </c>
      <c r="E181" s="240">
        <f t="shared" si="50"/>
        <v>493.32177879133405</v>
      </c>
      <c r="F181" s="240"/>
      <c r="G181" s="248"/>
      <c r="K181" s="1551" t="s">
        <v>525</v>
      </c>
      <c r="L181" s="254">
        <f>L180*0.86</f>
        <v>3473.6350569669321</v>
      </c>
      <c r="M181" s="254">
        <f>M180*0.86</f>
        <v>2407.8995849486892</v>
      </c>
      <c r="N181" s="254">
        <f>N180*0.86</f>
        <v>1382.7246704675028</v>
      </c>
      <c r="O181" s="254">
        <f>O180*0.86</f>
        <v>258.00706043329529</v>
      </c>
      <c r="P181" s="258">
        <f>P180*0.86</f>
        <v>767.1678540478905</v>
      </c>
    </row>
    <row r="182" spans="2:16" ht="17" thickBot="1" x14ac:dyDescent="0.25">
      <c r="B182" s="238" t="s">
        <v>556</v>
      </c>
      <c r="C182" s="239">
        <v>869</v>
      </c>
      <c r="D182" s="239">
        <f t="shared" si="48"/>
        <v>951.24287343215508</v>
      </c>
      <c r="E182" s="240">
        <f t="shared" si="50"/>
        <v>951.24287343215508</v>
      </c>
      <c r="F182" s="253"/>
      <c r="G182" s="241"/>
      <c r="K182" s="1552" t="s">
        <v>612</v>
      </c>
      <c r="L182" s="277"/>
      <c r="M182" s="278">
        <f>(M181)*$L$53</f>
        <v>21671.096264538202</v>
      </c>
      <c r="N182" s="278">
        <f>(N181)*$L$53</f>
        <v>12444.522034207526</v>
      </c>
      <c r="O182" s="278">
        <f>(O181)*$L$53</f>
        <v>2322.0635438996578</v>
      </c>
      <c r="P182" s="279">
        <f>(P181)*$L$53</f>
        <v>6904.5106864310146</v>
      </c>
    </row>
    <row r="183" spans="2:16" x14ac:dyDescent="0.2">
      <c r="B183" s="238" t="s">
        <v>560</v>
      </c>
      <c r="C183" s="239">
        <v>644.66999999999996</v>
      </c>
      <c r="D183" s="239">
        <f t="shared" si="48"/>
        <v>705.68209806157347</v>
      </c>
      <c r="E183" s="240">
        <f t="shared" si="50"/>
        <v>705.68209806157347</v>
      </c>
      <c r="G183" s="250"/>
      <c r="K183" s="1514"/>
    </row>
    <row r="184" spans="2:16" x14ac:dyDescent="0.2">
      <c r="B184" s="238" t="s">
        <v>564</v>
      </c>
      <c r="C184" s="239">
        <v>697.5</v>
      </c>
      <c r="D184" s="239">
        <f t="shared" si="48"/>
        <v>763.51197263397944</v>
      </c>
      <c r="E184" s="240">
        <f t="shared" si="50"/>
        <v>763.51197263397944</v>
      </c>
      <c r="F184" s="253"/>
      <c r="G184" s="241"/>
      <c r="K184" s="1514"/>
    </row>
    <row r="185" spans="2:16" x14ac:dyDescent="0.2">
      <c r="B185" s="238" t="s">
        <v>567</v>
      </c>
      <c r="C185" s="239">
        <v>484.62</v>
      </c>
      <c r="D185" s="239">
        <f t="shared" si="48"/>
        <v>530.48483466362597</v>
      </c>
      <c r="E185" s="253"/>
      <c r="F185" s="253"/>
      <c r="G185" s="241">
        <f>D185</f>
        <v>530.48483466362597</v>
      </c>
      <c r="K185" s="1514"/>
    </row>
    <row r="186" spans="2:16" x14ac:dyDescent="0.2">
      <c r="B186" s="238" t="s">
        <v>570</v>
      </c>
      <c r="C186" s="239">
        <v>739.43</v>
      </c>
      <c r="D186" s="239">
        <f t="shared" si="48"/>
        <v>809.41026225769667</v>
      </c>
      <c r="E186" s="240"/>
      <c r="F186" s="253"/>
      <c r="G186" s="241">
        <f>D186</f>
        <v>809.41026225769667</v>
      </c>
      <c r="K186" s="1514"/>
    </row>
    <row r="187" spans="2:16" x14ac:dyDescent="0.2">
      <c r="B187" s="238" t="s">
        <v>572</v>
      </c>
      <c r="C187" s="239">
        <v>192.65</v>
      </c>
      <c r="D187" s="239">
        <f t="shared" si="48"/>
        <v>210.88255416191564</v>
      </c>
      <c r="E187" s="240"/>
      <c r="F187" s="253"/>
      <c r="G187" s="241">
        <f>D187</f>
        <v>210.88255416191564</v>
      </c>
      <c r="K187" s="1514"/>
    </row>
    <row r="188" spans="2:16" x14ac:dyDescent="0.2">
      <c r="B188" s="238" t="s">
        <v>576</v>
      </c>
      <c r="C188" s="239">
        <v>1615.72</v>
      </c>
      <c r="D188" s="239">
        <f t="shared" si="48"/>
        <v>1768.6330672748004</v>
      </c>
      <c r="E188" s="240"/>
      <c r="F188" s="253"/>
      <c r="G188" s="241">
        <f>D188</f>
        <v>1768.6330672748004</v>
      </c>
      <c r="K188" s="1514"/>
    </row>
    <row r="189" spans="2:16" x14ac:dyDescent="0.2">
      <c r="B189" s="238" t="s">
        <v>579</v>
      </c>
      <c r="C189" s="259">
        <v>822.67</v>
      </c>
      <c r="D189" s="239">
        <f t="shared" si="48"/>
        <v>900.52816419612304</v>
      </c>
      <c r="E189" s="240"/>
      <c r="F189" s="240">
        <f>D189</f>
        <v>900.52816419612304</v>
      </c>
      <c r="G189" s="241"/>
      <c r="K189" s="1514"/>
    </row>
    <row r="190" spans="2:16" x14ac:dyDescent="0.2">
      <c r="B190" s="1789" t="s">
        <v>518</v>
      </c>
      <c r="C190" s="1790">
        <f>SUM(C169:C189)</f>
        <v>11282.329999999998</v>
      </c>
      <c r="D190" s="1790">
        <f>SUM(D169:D189)</f>
        <v>12350.098973774231</v>
      </c>
      <c r="E190" s="1790">
        <f>SUM(E169:E189)</f>
        <v>6028.8000000000011</v>
      </c>
      <c r="F190" s="1790">
        <f>SUM(F169:F189)</f>
        <v>2477.0955530216643</v>
      </c>
      <c r="G190" s="1791">
        <f>SUM(G169:G189)</f>
        <v>3844.2034207525658</v>
      </c>
      <c r="K190" s="1514"/>
    </row>
    <row r="191" spans="2:16" ht="17" thickBot="1" x14ac:dyDescent="0.25">
      <c r="B191" s="238" t="s">
        <v>525</v>
      </c>
      <c r="C191" s="254">
        <f>C190*0.86</f>
        <v>9702.8037999999979</v>
      </c>
      <c r="D191" s="254">
        <f>D190*0.86</f>
        <v>10621.085117445838</v>
      </c>
      <c r="E191" s="254">
        <f>E190*0.86</f>
        <v>5184.7680000000009</v>
      </c>
      <c r="F191" s="254">
        <f>F190*0.86</f>
        <v>2130.302175598631</v>
      </c>
      <c r="G191" s="258">
        <f>G190*0.86</f>
        <v>3306.0149418472065</v>
      </c>
      <c r="K191" s="1514"/>
    </row>
    <row r="192" spans="2:16" ht="17" thickBot="1" x14ac:dyDescent="0.25">
      <c r="B192" s="276" t="s">
        <v>586</v>
      </c>
      <c r="C192" s="278">
        <f>C191*$C$53</f>
        <v>87325.234199999977</v>
      </c>
      <c r="D192" s="278">
        <f>D191*$C$53</f>
        <v>95589.766057012544</v>
      </c>
      <c r="E192" s="278">
        <f>E191*$C$53</f>
        <v>46662.912000000011</v>
      </c>
      <c r="F192" s="278">
        <f>F191*$C$53</f>
        <v>19172.719580387678</v>
      </c>
      <c r="G192" s="279">
        <f>G191*$C$53</f>
        <v>29754.134476624859</v>
      </c>
      <c r="K192" s="1514"/>
    </row>
    <row r="193" spans="2:18" ht="17" thickBot="1" x14ac:dyDescent="0.25">
      <c r="K193" s="1514"/>
    </row>
    <row r="194" spans="2:18" x14ac:dyDescent="0.2">
      <c r="B194" s="1547" t="s">
        <v>615</v>
      </c>
      <c r="C194" s="1545"/>
      <c r="D194" s="1545"/>
      <c r="E194" s="1545" t="s">
        <v>474</v>
      </c>
      <c r="F194" s="1545"/>
      <c r="G194" s="1546"/>
      <c r="K194" s="1549" t="s">
        <v>616</v>
      </c>
      <c r="L194" s="228"/>
      <c r="M194" s="228"/>
      <c r="N194" s="228" t="s">
        <v>474</v>
      </c>
      <c r="O194" s="228"/>
      <c r="P194" s="229"/>
    </row>
    <row r="195" spans="2:18" ht="17" thickBot="1" x14ac:dyDescent="0.25">
      <c r="B195" s="245" t="s">
        <v>479</v>
      </c>
      <c r="C195" s="246" t="s">
        <v>480</v>
      </c>
      <c r="D195" s="246" t="s">
        <v>481</v>
      </c>
      <c r="E195" s="246" t="s">
        <v>203</v>
      </c>
      <c r="F195" s="246" t="s">
        <v>482</v>
      </c>
      <c r="G195" s="247" t="s">
        <v>483</v>
      </c>
      <c r="K195" s="1550" t="s">
        <v>479</v>
      </c>
      <c r="L195" s="246" t="s">
        <v>480</v>
      </c>
      <c r="M195" s="246" t="s">
        <v>481</v>
      </c>
      <c r="N195" s="246" t="s">
        <v>203</v>
      </c>
      <c r="O195" s="246" t="s">
        <v>482</v>
      </c>
      <c r="P195" s="247" t="s">
        <v>483</v>
      </c>
    </row>
    <row r="196" spans="2:18" x14ac:dyDescent="0.2">
      <c r="B196" s="238" t="s">
        <v>487</v>
      </c>
      <c r="C196" s="239">
        <v>479.42</v>
      </c>
      <c r="D196" s="239">
        <f t="shared" ref="D196:D216" si="51">C196*$I$197/$H$197</f>
        <v>743.45632839224629</v>
      </c>
      <c r="E196" s="240"/>
      <c r="F196" s="240"/>
      <c r="G196" s="241">
        <f>D196</f>
        <v>743.45632839224629</v>
      </c>
      <c r="H196" s="230" t="s">
        <v>488</v>
      </c>
      <c r="I196" s="231" t="s">
        <v>489</v>
      </c>
      <c r="K196" s="1551" t="s">
        <v>487</v>
      </c>
      <c r="L196" s="222">
        <v>199.44</v>
      </c>
      <c r="M196" s="239">
        <f t="shared" ref="M196:M206" si="52">L196*$R$197/$Q$197</f>
        <v>309.27981755986315</v>
      </c>
      <c r="N196" s="240"/>
      <c r="O196" s="240"/>
      <c r="P196" s="241">
        <f>M196</f>
        <v>309.27981755986315</v>
      </c>
      <c r="Q196" s="230" t="s">
        <v>488</v>
      </c>
      <c r="R196" s="231" t="s">
        <v>489</v>
      </c>
    </row>
    <row r="197" spans="2:18" ht="17" thickBot="1" x14ac:dyDescent="0.25">
      <c r="B197" s="238" t="s">
        <v>494</v>
      </c>
      <c r="C197" s="239">
        <v>333.84</v>
      </c>
      <c r="D197" s="239">
        <f t="shared" si="51"/>
        <v>517.69942987457239</v>
      </c>
      <c r="E197" s="240">
        <f>D197</f>
        <v>517.69942987457239</v>
      </c>
      <c r="F197" s="240"/>
      <c r="G197" s="248"/>
      <c r="H197" s="233">
        <v>43.85</v>
      </c>
      <c r="I197" s="234">
        <f>D54</f>
        <v>68</v>
      </c>
      <c r="K197" s="1551" t="s">
        <v>495</v>
      </c>
      <c r="L197" s="222">
        <v>207.83</v>
      </c>
      <c r="M197" s="239">
        <f t="shared" si="52"/>
        <v>322.29053591790193</v>
      </c>
      <c r="N197" s="240">
        <f>M197</f>
        <v>322.29053591790193</v>
      </c>
      <c r="O197" s="240"/>
      <c r="P197" s="248"/>
      <c r="Q197" s="235">
        <v>5.9457945692301566</v>
      </c>
      <c r="R197" s="236">
        <f>Q197*I197/H197</f>
        <v>9.2203883855792625</v>
      </c>
    </row>
    <row r="198" spans="2:18" x14ac:dyDescent="0.2">
      <c r="B198" s="238" t="s">
        <v>501</v>
      </c>
      <c r="C198" s="239">
        <v>903.79</v>
      </c>
      <c r="D198" s="239">
        <f t="shared" si="51"/>
        <v>1401.5443557582669</v>
      </c>
      <c r="E198" s="240">
        <f>D198</f>
        <v>1401.5443557582669</v>
      </c>
      <c r="F198" s="240"/>
      <c r="G198" s="241"/>
      <c r="K198" s="1551" t="s">
        <v>502</v>
      </c>
      <c r="L198" s="222">
        <v>752.61</v>
      </c>
      <c r="M198" s="239">
        <f t="shared" si="52"/>
        <v>1167.1033067274802</v>
      </c>
      <c r="N198" s="240">
        <f>M198</f>
        <v>1167.1033067274802</v>
      </c>
      <c r="O198" s="240"/>
      <c r="P198" s="241"/>
    </row>
    <row r="199" spans="2:18" x14ac:dyDescent="0.2">
      <c r="B199" s="238" t="s">
        <v>507</v>
      </c>
      <c r="C199" s="239">
        <v>291.31</v>
      </c>
      <c r="D199" s="239">
        <f t="shared" si="51"/>
        <v>451.74640820980619</v>
      </c>
      <c r="E199" s="240">
        <f>D199</f>
        <v>451.74640820980619</v>
      </c>
      <c r="F199" s="240"/>
      <c r="G199" s="241"/>
      <c r="K199" s="1551" t="s">
        <v>508</v>
      </c>
      <c r="L199" s="222">
        <v>277.45999999999998</v>
      </c>
      <c r="M199" s="239">
        <f t="shared" si="52"/>
        <v>430.26864310148233</v>
      </c>
      <c r="N199" s="240">
        <f>M199</f>
        <v>430.26864310148233</v>
      </c>
      <c r="O199" s="240"/>
      <c r="P199" s="241"/>
    </row>
    <row r="200" spans="2:18" x14ac:dyDescent="0.2">
      <c r="B200" s="238" t="s">
        <v>513</v>
      </c>
      <c r="C200" s="239">
        <v>213</v>
      </c>
      <c r="D200" s="239">
        <f t="shared" si="51"/>
        <v>330.3078677309008</v>
      </c>
      <c r="E200" s="253"/>
      <c r="F200" s="240">
        <f>D200</f>
        <v>330.3078677309008</v>
      </c>
      <c r="G200" s="241"/>
      <c r="K200" s="1551" t="s">
        <v>514</v>
      </c>
      <c r="L200" s="222">
        <v>115.5</v>
      </c>
      <c r="M200" s="239">
        <f t="shared" si="52"/>
        <v>179.11060433295324</v>
      </c>
      <c r="N200" s="240">
        <f>M200</f>
        <v>179.11060433295324</v>
      </c>
      <c r="O200" s="240"/>
      <c r="P200" s="241"/>
    </row>
    <row r="201" spans="2:18" x14ac:dyDescent="0.2">
      <c r="B201" s="238" t="s">
        <v>520</v>
      </c>
      <c r="C201" s="239">
        <v>139.5</v>
      </c>
      <c r="D201" s="239">
        <f t="shared" si="51"/>
        <v>216.32839224629419</v>
      </c>
      <c r="E201" s="240"/>
      <c r="F201" s="240">
        <f>D201</f>
        <v>216.32839224629419</v>
      </c>
      <c r="G201" s="248"/>
      <c r="K201" s="1551" t="s">
        <v>521</v>
      </c>
      <c r="L201" s="222">
        <v>65.98</v>
      </c>
      <c r="M201" s="239">
        <f t="shared" si="52"/>
        <v>102.31790193842646</v>
      </c>
      <c r="N201" s="240"/>
      <c r="O201" s="240"/>
      <c r="P201" s="241">
        <f>M201</f>
        <v>102.31790193842646</v>
      </c>
    </row>
    <row r="202" spans="2:18" x14ac:dyDescent="0.2">
      <c r="B202" s="238" t="s">
        <v>504</v>
      </c>
      <c r="C202" s="239">
        <v>1087.76</v>
      </c>
      <c r="D202" s="239">
        <f t="shared" si="51"/>
        <v>1686.8342075256555</v>
      </c>
      <c r="E202" s="240"/>
      <c r="F202" s="240">
        <f>D202</f>
        <v>1686.8342075256555</v>
      </c>
      <c r="G202" s="248"/>
      <c r="K202" s="1551" t="s">
        <v>527</v>
      </c>
      <c r="L202" s="222">
        <v>274.07</v>
      </c>
      <c r="M202" s="239">
        <f t="shared" si="52"/>
        <v>425.01163055872291</v>
      </c>
      <c r="N202" s="240"/>
      <c r="O202" s="240">
        <f>M202</f>
        <v>425.01163055872291</v>
      </c>
      <c r="P202" s="248"/>
    </row>
    <row r="203" spans="2:18" x14ac:dyDescent="0.2">
      <c r="B203" s="238" t="s">
        <v>530</v>
      </c>
      <c r="C203" s="239">
        <v>159.66999999999999</v>
      </c>
      <c r="D203" s="239">
        <f t="shared" si="51"/>
        <v>247.60684150513111</v>
      </c>
      <c r="E203" s="240">
        <f t="shared" ref="E203:E211" si="53">D203</f>
        <v>247.60684150513111</v>
      </c>
      <c r="F203" s="240"/>
      <c r="G203" s="248"/>
      <c r="K203" s="1551" t="s">
        <v>531</v>
      </c>
      <c r="L203" s="222">
        <v>115.41</v>
      </c>
      <c r="M203" s="239">
        <f t="shared" si="52"/>
        <v>178.97103762827822</v>
      </c>
      <c r="N203" s="240">
        <f>M203</f>
        <v>178.97103762827822</v>
      </c>
      <c r="O203" s="240"/>
      <c r="P203" s="248"/>
    </row>
    <row r="204" spans="2:18" x14ac:dyDescent="0.2">
      <c r="B204" s="238" t="s">
        <v>534</v>
      </c>
      <c r="C204" s="239">
        <v>249</v>
      </c>
      <c r="D204" s="239">
        <f t="shared" si="51"/>
        <v>386.13454960091218</v>
      </c>
      <c r="E204" s="240">
        <f t="shared" si="53"/>
        <v>386.13454960091218</v>
      </c>
      <c r="F204" s="240"/>
      <c r="G204" s="248"/>
      <c r="K204" s="1551" t="s">
        <v>535</v>
      </c>
      <c r="L204" s="222">
        <v>96.33</v>
      </c>
      <c r="M204" s="239">
        <f t="shared" si="52"/>
        <v>149.38289623717219</v>
      </c>
      <c r="N204" s="240"/>
      <c r="O204" s="240"/>
      <c r="P204" s="241">
        <f>M204</f>
        <v>149.38289623717219</v>
      </c>
    </row>
    <row r="205" spans="2:18" x14ac:dyDescent="0.2">
      <c r="B205" s="238" t="s">
        <v>539</v>
      </c>
      <c r="C205" s="239">
        <v>237</v>
      </c>
      <c r="D205" s="239">
        <f t="shared" si="51"/>
        <v>367.52565564424174</v>
      </c>
      <c r="E205" s="240">
        <f t="shared" si="53"/>
        <v>367.52565564424174</v>
      </c>
      <c r="F205" s="240"/>
      <c r="G205" s="248"/>
      <c r="K205" s="1551" t="s">
        <v>540</v>
      </c>
      <c r="L205" s="222">
        <v>216.44</v>
      </c>
      <c r="M205" s="239">
        <f t="shared" si="52"/>
        <v>335.64241733181302</v>
      </c>
      <c r="N205" s="240"/>
      <c r="O205" s="240"/>
      <c r="P205" s="241">
        <f>M205</f>
        <v>335.64241733181302</v>
      </c>
    </row>
    <row r="206" spans="2:18" x14ac:dyDescent="0.2">
      <c r="B206" s="238" t="s">
        <v>543</v>
      </c>
      <c r="C206" s="239">
        <v>382</v>
      </c>
      <c r="D206" s="239">
        <f t="shared" si="51"/>
        <v>592.38312428734321</v>
      </c>
      <c r="E206" s="240">
        <f t="shared" si="53"/>
        <v>592.38312428734321</v>
      </c>
      <c r="F206" s="240"/>
      <c r="G206" s="248"/>
      <c r="K206" s="1551" t="s">
        <v>544</v>
      </c>
      <c r="L206" s="222">
        <v>236.74</v>
      </c>
      <c r="M206" s="239">
        <f t="shared" si="52"/>
        <v>367.12246294184723</v>
      </c>
      <c r="N206" s="240"/>
      <c r="O206" s="240"/>
      <c r="P206" s="241">
        <f>M206</f>
        <v>367.12246294184723</v>
      </c>
    </row>
    <row r="207" spans="2:18" x14ac:dyDescent="0.2">
      <c r="B207" s="238" t="s">
        <v>549</v>
      </c>
      <c r="C207" s="239">
        <v>289.11</v>
      </c>
      <c r="D207" s="239">
        <f t="shared" si="51"/>
        <v>448.33477765108319</v>
      </c>
      <c r="E207" s="240">
        <f t="shared" si="53"/>
        <v>448.33477765108319</v>
      </c>
      <c r="F207" s="240"/>
      <c r="G207" s="248"/>
      <c r="K207" s="1792" t="s">
        <v>518</v>
      </c>
      <c r="L207" s="1790">
        <f>SUM(O210:O364)</f>
        <v>2092.5572633979473</v>
      </c>
      <c r="M207" s="1790">
        <f>SUM(M196:M206)</f>
        <v>3966.5012542759409</v>
      </c>
      <c r="N207" s="1790">
        <f>SUM(N196:N206)</f>
        <v>2277.7441277080961</v>
      </c>
      <c r="O207" s="1790">
        <f>SUM(O196:O206)</f>
        <v>425.01163055872291</v>
      </c>
      <c r="P207" s="1791">
        <f>SUM(P196:P206)</f>
        <v>1263.745496009122</v>
      </c>
    </row>
    <row r="208" spans="2:18" ht="17" thickBot="1" x14ac:dyDescent="0.25">
      <c r="B208" s="238" t="s">
        <v>552</v>
      </c>
      <c r="C208" s="239">
        <v>450.67</v>
      </c>
      <c r="D208" s="239">
        <f t="shared" si="51"/>
        <v>698.87251995438999</v>
      </c>
      <c r="E208" s="240">
        <f t="shared" si="53"/>
        <v>698.87251995438999</v>
      </c>
      <c r="F208" s="240"/>
      <c r="G208" s="248"/>
      <c r="K208" s="1551" t="s">
        <v>525</v>
      </c>
      <c r="L208" s="254">
        <f>L207*0.86</f>
        <v>1799.5992465222346</v>
      </c>
      <c r="M208" s="254">
        <f>M207*0.86</f>
        <v>3411.1910786773092</v>
      </c>
      <c r="N208" s="254">
        <f>N207*0.86</f>
        <v>1958.8599498289627</v>
      </c>
      <c r="O208" s="254">
        <f>O207*0.86</f>
        <v>365.51000228050168</v>
      </c>
      <c r="P208" s="258">
        <f>P207*0.86</f>
        <v>1086.8211265678449</v>
      </c>
    </row>
    <row r="209" spans="2:18" ht="17" thickBot="1" x14ac:dyDescent="0.25">
      <c r="B209" s="238" t="s">
        <v>556</v>
      </c>
      <c r="C209" s="239">
        <v>869</v>
      </c>
      <c r="D209" s="239">
        <f t="shared" si="51"/>
        <v>1347.594070695553</v>
      </c>
      <c r="E209" s="240">
        <f t="shared" si="53"/>
        <v>1347.594070695553</v>
      </c>
      <c r="F209" s="253"/>
      <c r="G209" s="241"/>
      <c r="K209" s="1552" t="s">
        <v>612</v>
      </c>
      <c r="L209" s="277"/>
      <c r="M209" s="278">
        <f>(M208)*$L$54</f>
        <v>6822.3821573546184</v>
      </c>
      <c r="N209" s="278">
        <f>(N208)*$L$54</f>
        <v>3917.7198996579255</v>
      </c>
      <c r="O209" s="278">
        <f>(O208)*$L$54</f>
        <v>731.02000456100336</v>
      </c>
      <c r="P209" s="279">
        <f>(P208)*$L$54</f>
        <v>2173.6422531356898</v>
      </c>
    </row>
    <row r="210" spans="2:18" x14ac:dyDescent="0.2">
      <c r="B210" s="238" t="s">
        <v>560</v>
      </c>
      <c r="C210" s="239">
        <v>644.66999999999996</v>
      </c>
      <c r="D210" s="239">
        <f t="shared" si="51"/>
        <v>999.71630558722916</v>
      </c>
      <c r="E210" s="240">
        <f t="shared" si="53"/>
        <v>999.71630558722916</v>
      </c>
      <c r="G210" s="250"/>
    </row>
    <row r="211" spans="2:18" x14ac:dyDescent="0.2">
      <c r="B211" s="238" t="s">
        <v>564</v>
      </c>
      <c r="C211" s="239">
        <v>697.5</v>
      </c>
      <c r="D211" s="239">
        <f t="shared" si="51"/>
        <v>1081.641961231471</v>
      </c>
      <c r="E211" s="240">
        <f t="shared" si="53"/>
        <v>1081.641961231471</v>
      </c>
      <c r="F211" s="253"/>
      <c r="G211" s="241"/>
    </row>
    <row r="212" spans="2:18" x14ac:dyDescent="0.2">
      <c r="B212" s="238" t="s">
        <v>567</v>
      </c>
      <c r="C212" s="239">
        <v>484.62</v>
      </c>
      <c r="D212" s="239">
        <f t="shared" si="51"/>
        <v>751.52018244013686</v>
      </c>
      <c r="E212" s="253"/>
      <c r="F212" s="253"/>
      <c r="G212" s="241">
        <f>D212</f>
        <v>751.52018244013686</v>
      </c>
    </row>
    <row r="213" spans="2:18" x14ac:dyDescent="0.2">
      <c r="B213" s="238" t="s">
        <v>570</v>
      </c>
      <c r="C213" s="239">
        <v>739.43</v>
      </c>
      <c r="D213" s="239">
        <f t="shared" si="51"/>
        <v>1146.6645381984035</v>
      </c>
      <c r="E213" s="240"/>
      <c r="F213" s="253"/>
      <c r="G213" s="241">
        <f>D213</f>
        <v>1146.6645381984035</v>
      </c>
    </row>
    <row r="214" spans="2:18" x14ac:dyDescent="0.2">
      <c r="B214" s="238" t="s">
        <v>572</v>
      </c>
      <c r="C214" s="239">
        <v>192.65</v>
      </c>
      <c r="D214" s="239">
        <f t="shared" si="51"/>
        <v>298.75028506271383</v>
      </c>
      <c r="E214" s="240"/>
      <c r="F214" s="253"/>
      <c r="G214" s="241">
        <f>D214</f>
        <v>298.75028506271383</v>
      </c>
    </row>
    <row r="215" spans="2:18" x14ac:dyDescent="0.2">
      <c r="B215" s="238" t="s">
        <v>576</v>
      </c>
      <c r="C215" s="239">
        <v>1615.72</v>
      </c>
      <c r="D215" s="239">
        <f t="shared" si="51"/>
        <v>2505.5635119726339</v>
      </c>
      <c r="E215" s="240"/>
      <c r="F215" s="253"/>
      <c r="G215" s="241">
        <f>D215</f>
        <v>2505.5635119726339</v>
      </c>
    </row>
    <row r="216" spans="2:18" x14ac:dyDescent="0.2">
      <c r="B216" s="238" t="s">
        <v>579</v>
      </c>
      <c r="C216" s="259">
        <v>822.67</v>
      </c>
      <c r="D216" s="239">
        <f t="shared" si="51"/>
        <v>1275.7482326111744</v>
      </c>
      <c r="E216" s="240"/>
      <c r="F216" s="240">
        <f>D216</f>
        <v>1275.7482326111744</v>
      </c>
      <c r="G216" s="241"/>
    </row>
    <row r="217" spans="2:18" x14ac:dyDescent="0.2">
      <c r="B217" s="1789" t="s">
        <v>518</v>
      </c>
      <c r="C217" s="1790">
        <f>SUM(C196:C216)</f>
        <v>11282.329999999998</v>
      </c>
      <c r="D217" s="1790">
        <f>SUM(D196:D216)</f>
        <v>17495.973546180161</v>
      </c>
      <c r="E217" s="1790">
        <f>SUM(E196:E216)</f>
        <v>8540.7999999999993</v>
      </c>
      <c r="F217" s="1790">
        <f>SUM(F196:F216)</f>
        <v>3509.2187001140251</v>
      </c>
      <c r="G217" s="1791">
        <f>SUM(G196:G216)</f>
        <v>5445.9548460661345</v>
      </c>
    </row>
    <row r="218" spans="2:18" ht="17" thickBot="1" x14ac:dyDescent="0.25">
      <c r="B218" s="238" t="s">
        <v>525</v>
      </c>
      <c r="C218" s="254">
        <f>C217*0.86</f>
        <v>9702.8037999999979</v>
      </c>
      <c r="D218" s="254">
        <f>D217*0.86</f>
        <v>15046.537249714938</v>
      </c>
      <c r="E218" s="254">
        <f>E217*0.86</f>
        <v>7345.0879999999988</v>
      </c>
      <c r="F218" s="254">
        <f>F217*0.86</f>
        <v>3017.9280820980616</v>
      </c>
      <c r="G218" s="258">
        <f>G217*0.86</f>
        <v>4683.5211676168756</v>
      </c>
    </row>
    <row r="219" spans="2:18" ht="17" thickBot="1" x14ac:dyDescent="0.25">
      <c r="B219" s="276" t="s">
        <v>586</v>
      </c>
      <c r="C219" s="278">
        <f>(C218)*$C$54</f>
        <v>19405.607599999996</v>
      </c>
      <c r="D219" s="278">
        <f>(D218)*$C$54</f>
        <v>30093.074499429877</v>
      </c>
      <c r="E219" s="278">
        <f>(E218)*$C$54</f>
        <v>14690.175999999998</v>
      </c>
      <c r="F219" s="278">
        <f>(F218)*$C$54</f>
        <v>6035.8561641961232</v>
      </c>
      <c r="G219" s="279">
        <f>(G218)*$C$54</f>
        <v>9367.0423352337511</v>
      </c>
    </row>
    <row r="220" spans="2:18" ht="17" thickBot="1" x14ac:dyDescent="0.25"/>
    <row r="221" spans="2:18" x14ac:dyDescent="0.2">
      <c r="B221" s="227" t="s">
        <v>617</v>
      </c>
      <c r="C221" s="228"/>
      <c r="D221" s="228"/>
      <c r="E221" s="228" t="s">
        <v>474</v>
      </c>
      <c r="F221" s="228"/>
      <c r="G221" s="229"/>
      <c r="K221" s="1549" t="s">
        <v>618</v>
      </c>
      <c r="L221" s="228"/>
      <c r="M221" s="228"/>
      <c r="N221" s="228" t="s">
        <v>474</v>
      </c>
      <c r="O221" s="228"/>
      <c r="P221" s="229"/>
    </row>
    <row r="222" spans="2:18" ht="17" thickBot="1" x14ac:dyDescent="0.25">
      <c r="B222" s="245" t="s">
        <v>479</v>
      </c>
      <c r="C222" s="246" t="s">
        <v>480</v>
      </c>
      <c r="D222" s="246" t="s">
        <v>481</v>
      </c>
      <c r="E222" s="246" t="s">
        <v>203</v>
      </c>
      <c r="F222" s="246" t="s">
        <v>482</v>
      </c>
      <c r="G222" s="247" t="s">
        <v>483</v>
      </c>
      <c r="K222" s="245" t="s">
        <v>479</v>
      </c>
      <c r="L222" s="246" t="s">
        <v>480</v>
      </c>
      <c r="M222" s="246" t="s">
        <v>481</v>
      </c>
      <c r="N222" s="246" t="s">
        <v>203</v>
      </c>
      <c r="O222" s="246" t="s">
        <v>482</v>
      </c>
      <c r="P222" s="247" t="s">
        <v>483</v>
      </c>
    </row>
    <row r="223" spans="2:18" x14ac:dyDescent="0.2">
      <c r="B223" s="238" t="s">
        <v>487</v>
      </c>
      <c r="C223" s="239">
        <v>479.42</v>
      </c>
      <c r="D223" s="239">
        <f t="shared" ref="D223:D260" si="54">C223*$I$224/$H$224</f>
        <v>983.98631698973782</v>
      </c>
      <c r="E223" s="240"/>
      <c r="F223" s="240"/>
      <c r="G223" s="241">
        <f>D223</f>
        <v>983.98631698973782</v>
      </c>
      <c r="H223" s="230" t="s">
        <v>488</v>
      </c>
      <c r="I223" s="231" t="s">
        <v>489</v>
      </c>
      <c r="K223" s="238" t="s">
        <v>487</v>
      </c>
      <c r="L223" s="222">
        <v>199.44</v>
      </c>
      <c r="M223" s="239">
        <f t="shared" ref="M223:M247" si="55">L223*$R$224/$Q$224</f>
        <v>409.34093500570123</v>
      </c>
      <c r="N223" s="240"/>
      <c r="O223" s="240"/>
      <c r="P223" s="241">
        <f>M223</f>
        <v>409.34093500570123</v>
      </c>
      <c r="Q223" s="230" t="s">
        <v>488</v>
      </c>
      <c r="R223" s="231" t="s">
        <v>489</v>
      </c>
    </row>
    <row r="224" spans="2:18" ht="17" thickBot="1" x14ac:dyDescent="0.25">
      <c r="B224" s="238" t="s">
        <v>494</v>
      </c>
      <c r="C224" s="239">
        <v>333.84</v>
      </c>
      <c r="D224" s="239">
        <f t="shared" si="54"/>
        <v>685.1904218928164</v>
      </c>
      <c r="E224" s="240">
        <f>D224</f>
        <v>685.1904218928164</v>
      </c>
      <c r="F224" s="240"/>
      <c r="G224" s="248"/>
      <c r="H224" s="233">
        <v>43.85</v>
      </c>
      <c r="I224" s="234">
        <f>D55</f>
        <v>90</v>
      </c>
      <c r="K224" s="238" t="s">
        <v>495</v>
      </c>
      <c r="L224" s="222">
        <v>207.83</v>
      </c>
      <c r="M224" s="239">
        <f t="shared" si="55"/>
        <v>426.56100342075257</v>
      </c>
      <c r="N224" s="240">
        <f>M224</f>
        <v>426.56100342075257</v>
      </c>
      <c r="O224" s="240"/>
      <c r="P224" s="248"/>
      <c r="Q224" s="235">
        <v>5.9457945692301566</v>
      </c>
      <c r="R224" s="236">
        <f>Q224*I224/H224</f>
        <v>12.203455216207846</v>
      </c>
    </row>
    <row r="225" spans="2:16" x14ac:dyDescent="0.2">
      <c r="B225" s="238" t="s">
        <v>501</v>
      </c>
      <c r="C225" s="239">
        <v>903.79</v>
      </c>
      <c r="D225" s="239">
        <f t="shared" si="54"/>
        <v>1854.9851767388823</v>
      </c>
      <c r="E225" s="240">
        <f>D225</f>
        <v>1854.9851767388823</v>
      </c>
      <c r="F225" s="240"/>
      <c r="G225" s="241"/>
      <c r="K225" s="238" t="s">
        <v>502</v>
      </c>
      <c r="L225" s="222">
        <v>752.61</v>
      </c>
      <c r="M225" s="239">
        <f t="shared" si="55"/>
        <v>1544.6955530216649</v>
      </c>
      <c r="N225" s="240">
        <f>M225</f>
        <v>1544.6955530216649</v>
      </c>
      <c r="O225" s="240"/>
      <c r="P225" s="241"/>
    </row>
    <row r="226" spans="2:16" x14ac:dyDescent="0.2">
      <c r="B226" s="238" t="s">
        <v>507</v>
      </c>
      <c r="C226" s="239">
        <v>291.31</v>
      </c>
      <c r="D226" s="239">
        <f t="shared" si="54"/>
        <v>597.89965792474345</v>
      </c>
      <c r="E226" s="240">
        <f>D226</f>
        <v>597.89965792474345</v>
      </c>
      <c r="F226" s="240"/>
      <c r="G226" s="241"/>
      <c r="K226" s="238" t="s">
        <v>508</v>
      </c>
      <c r="L226" s="222">
        <v>277.45999999999998</v>
      </c>
      <c r="M226" s="239">
        <f t="shared" si="55"/>
        <v>569.47320410490295</v>
      </c>
      <c r="N226" s="240">
        <f>M226</f>
        <v>569.47320410490295</v>
      </c>
      <c r="O226" s="240"/>
      <c r="P226" s="241"/>
    </row>
    <row r="227" spans="2:16" x14ac:dyDescent="0.2">
      <c r="B227" s="238" t="s">
        <v>513</v>
      </c>
      <c r="C227" s="239">
        <v>213</v>
      </c>
      <c r="D227" s="239">
        <f t="shared" si="54"/>
        <v>437.17217787913341</v>
      </c>
      <c r="E227" s="253"/>
      <c r="F227" s="240">
        <f>D227</f>
        <v>437.17217787913341</v>
      </c>
      <c r="G227" s="241"/>
      <c r="K227" s="238" t="s">
        <v>514</v>
      </c>
      <c r="L227" s="222">
        <v>115.5</v>
      </c>
      <c r="M227" s="239">
        <f t="shared" si="55"/>
        <v>237.0581527936146</v>
      </c>
      <c r="N227" s="240">
        <f>M227</f>
        <v>237.0581527936146</v>
      </c>
      <c r="O227" s="240"/>
      <c r="P227" s="241"/>
    </row>
    <row r="228" spans="2:16" x14ac:dyDescent="0.2">
      <c r="B228" s="238" t="s">
        <v>520</v>
      </c>
      <c r="C228" s="239">
        <v>139.5</v>
      </c>
      <c r="D228" s="239">
        <f t="shared" si="54"/>
        <v>286.31698973774229</v>
      </c>
      <c r="E228" s="240"/>
      <c r="F228" s="240">
        <f>D228</f>
        <v>286.31698973774229</v>
      </c>
      <c r="G228" s="248"/>
      <c r="K228" s="238" t="s">
        <v>521</v>
      </c>
      <c r="L228" s="222">
        <v>65.98</v>
      </c>
      <c r="M228" s="239">
        <f t="shared" si="55"/>
        <v>135.42075256556441</v>
      </c>
      <c r="N228" s="240"/>
      <c r="O228" s="240"/>
      <c r="P228" s="241">
        <f>M228</f>
        <v>135.42075256556441</v>
      </c>
    </row>
    <row r="229" spans="2:16" x14ac:dyDescent="0.2">
      <c r="B229" s="238" t="s">
        <v>504</v>
      </c>
      <c r="C229" s="239">
        <v>1087.76</v>
      </c>
      <c r="D229" s="239">
        <f t="shared" si="54"/>
        <v>2232.5746864310145</v>
      </c>
      <c r="E229" s="240"/>
      <c r="F229" s="240">
        <f>D229</f>
        <v>2232.5746864310145</v>
      </c>
      <c r="G229" s="248"/>
      <c r="K229" s="238" t="s">
        <v>527</v>
      </c>
      <c r="L229" s="222">
        <v>274.07</v>
      </c>
      <c r="M229" s="239">
        <f t="shared" si="55"/>
        <v>562.51539338654493</v>
      </c>
      <c r="N229" s="240"/>
      <c r="O229" s="240">
        <f>M229</f>
        <v>562.51539338654493</v>
      </c>
      <c r="P229" s="248"/>
    </row>
    <row r="230" spans="2:16" x14ac:dyDescent="0.2">
      <c r="B230" s="238" t="s">
        <v>530</v>
      </c>
      <c r="C230" s="239">
        <v>159.66999999999999</v>
      </c>
      <c r="D230" s="239">
        <f t="shared" si="54"/>
        <v>327.71493728620294</v>
      </c>
      <c r="E230" s="240">
        <f t="shared" ref="E230:E238" si="56">D230</f>
        <v>327.71493728620294</v>
      </c>
      <c r="F230" s="240"/>
      <c r="G230" s="248"/>
      <c r="K230" s="238" t="s">
        <v>531</v>
      </c>
      <c r="L230" s="222">
        <v>115.41</v>
      </c>
      <c r="M230" s="239">
        <f t="shared" si="55"/>
        <v>236.87343215507408</v>
      </c>
      <c r="N230" s="240">
        <f>M230</f>
        <v>236.87343215507408</v>
      </c>
      <c r="O230" s="240"/>
      <c r="P230" s="248"/>
    </row>
    <row r="231" spans="2:16" x14ac:dyDescent="0.2">
      <c r="B231" s="238" t="s">
        <v>534</v>
      </c>
      <c r="C231" s="239">
        <v>249</v>
      </c>
      <c r="D231" s="239">
        <f t="shared" si="54"/>
        <v>511.06043329532497</v>
      </c>
      <c r="E231" s="240">
        <f t="shared" si="56"/>
        <v>511.06043329532497</v>
      </c>
      <c r="F231" s="240"/>
      <c r="G231" s="248"/>
      <c r="K231" s="238" t="s">
        <v>535</v>
      </c>
      <c r="L231" s="222">
        <v>96.33</v>
      </c>
      <c r="M231" s="239">
        <f t="shared" si="55"/>
        <v>197.71265678449257</v>
      </c>
      <c r="N231" s="240"/>
      <c r="O231" s="240"/>
      <c r="P231" s="241">
        <f>M231</f>
        <v>197.71265678449257</v>
      </c>
    </row>
    <row r="232" spans="2:16" x14ac:dyDescent="0.2">
      <c r="B232" s="238" t="s">
        <v>539</v>
      </c>
      <c r="C232" s="239">
        <v>237</v>
      </c>
      <c r="D232" s="239">
        <f t="shared" si="54"/>
        <v>486.43101482326108</v>
      </c>
      <c r="E232" s="240">
        <f t="shared" si="56"/>
        <v>486.43101482326108</v>
      </c>
      <c r="F232" s="240"/>
      <c r="G232" s="248"/>
      <c r="K232" s="238" t="s">
        <v>540</v>
      </c>
      <c r="L232" s="222">
        <v>216.44</v>
      </c>
      <c r="M232" s="239">
        <f t="shared" si="55"/>
        <v>444.23261117445838</v>
      </c>
      <c r="N232" s="240"/>
      <c r="O232" s="240"/>
      <c r="P232" s="241">
        <f>M232</f>
        <v>444.23261117445838</v>
      </c>
    </row>
    <row r="233" spans="2:16" x14ac:dyDescent="0.2">
      <c r="B233" s="238" t="s">
        <v>543</v>
      </c>
      <c r="C233" s="239">
        <v>382</v>
      </c>
      <c r="D233" s="239">
        <f t="shared" si="54"/>
        <v>784.03648802736598</v>
      </c>
      <c r="E233" s="240">
        <f t="shared" si="56"/>
        <v>784.03648802736598</v>
      </c>
      <c r="F233" s="240"/>
      <c r="G233" s="248"/>
      <c r="K233" s="238" t="s">
        <v>544</v>
      </c>
      <c r="L233" s="222">
        <v>236.74</v>
      </c>
      <c r="M233" s="239">
        <f t="shared" si="55"/>
        <v>485.89737742303305</v>
      </c>
      <c r="N233" s="240"/>
      <c r="O233" s="240"/>
      <c r="P233" s="241">
        <f>M233</f>
        <v>485.89737742303305</v>
      </c>
    </row>
    <row r="234" spans="2:16" x14ac:dyDescent="0.2">
      <c r="B234" s="238" t="s">
        <v>549</v>
      </c>
      <c r="C234" s="239">
        <v>289.11</v>
      </c>
      <c r="D234" s="239">
        <f t="shared" si="54"/>
        <v>593.38426453819841</v>
      </c>
      <c r="E234" s="240">
        <f t="shared" si="56"/>
        <v>593.38426453819841</v>
      </c>
      <c r="F234" s="240"/>
      <c r="G234" s="248"/>
      <c r="K234" s="238" t="s">
        <v>551</v>
      </c>
      <c r="L234" s="222">
        <v>752.36</v>
      </c>
      <c r="M234" s="239">
        <f t="shared" si="55"/>
        <v>1544.1824401368299</v>
      </c>
      <c r="N234" s="240"/>
      <c r="O234" s="240"/>
      <c r="P234" s="241">
        <f>M234</f>
        <v>1544.1824401368299</v>
      </c>
    </row>
    <row r="235" spans="2:16" x14ac:dyDescent="0.2">
      <c r="B235" s="238" t="s">
        <v>552</v>
      </c>
      <c r="C235" s="239">
        <v>450.67</v>
      </c>
      <c r="D235" s="239">
        <f t="shared" si="54"/>
        <v>924.97833523375141</v>
      </c>
      <c r="E235" s="240">
        <f t="shared" si="56"/>
        <v>924.97833523375141</v>
      </c>
      <c r="F235" s="240"/>
      <c r="G235" s="248"/>
      <c r="K235" s="238" t="s">
        <v>547</v>
      </c>
      <c r="L235" s="222">
        <v>515.12</v>
      </c>
      <c r="M235" s="239">
        <f t="shared" si="55"/>
        <v>1057.2588369441276</v>
      </c>
      <c r="N235" s="240">
        <f>M235</f>
        <v>1057.2588369441276</v>
      </c>
      <c r="O235" s="240"/>
      <c r="P235" s="248"/>
    </row>
    <row r="236" spans="2:16" x14ac:dyDescent="0.2">
      <c r="B236" s="238" t="s">
        <v>556</v>
      </c>
      <c r="C236" s="239">
        <v>869</v>
      </c>
      <c r="D236" s="239">
        <f t="shared" si="54"/>
        <v>1783.5803876852908</v>
      </c>
      <c r="E236" s="240">
        <f t="shared" si="56"/>
        <v>1783.5803876852908</v>
      </c>
      <c r="F236" s="253"/>
      <c r="G236" s="241"/>
      <c r="K236" s="238" t="s">
        <v>619</v>
      </c>
      <c r="L236" s="222">
        <v>850.82</v>
      </c>
      <c r="M236" s="239">
        <f t="shared" si="55"/>
        <v>1746.2668187001141</v>
      </c>
      <c r="N236" s="253"/>
      <c r="O236" s="240"/>
      <c r="P236" s="241">
        <f>M236</f>
        <v>1746.2668187001141</v>
      </c>
    </row>
    <row r="237" spans="2:16" x14ac:dyDescent="0.2">
      <c r="B237" s="238" t="s">
        <v>560</v>
      </c>
      <c r="C237" s="239">
        <v>644.66999999999996</v>
      </c>
      <c r="D237" s="239">
        <f t="shared" si="54"/>
        <v>1323.1539338654502</v>
      </c>
      <c r="E237" s="240">
        <f t="shared" si="56"/>
        <v>1323.1539338654502</v>
      </c>
      <c r="G237" s="250"/>
      <c r="K237" s="238" t="s">
        <v>620</v>
      </c>
      <c r="L237" s="222">
        <v>258.64999999999998</v>
      </c>
      <c r="M237" s="239">
        <f t="shared" si="55"/>
        <v>530.86659064994296</v>
      </c>
      <c r="N237" s="253"/>
      <c r="O237" s="240"/>
      <c r="P237" s="241">
        <f>M237</f>
        <v>530.86659064994296</v>
      </c>
    </row>
    <row r="238" spans="2:16" x14ac:dyDescent="0.2">
      <c r="B238" s="238" t="s">
        <v>564</v>
      </c>
      <c r="C238" s="239">
        <v>697.5</v>
      </c>
      <c r="D238" s="239">
        <f t="shared" si="54"/>
        <v>1431.5849486887114</v>
      </c>
      <c r="E238" s="240">
        <f t="shared" si="56"/>
        <v>1431.5849486887114</v>
      </c>
      <c r="F238" s="253"/>
      <c r="G238" s="241"/>
      <c r="K238" s="238" t="s">
        <v>621</v>
      </c>
      <c r="L238" s="222">
        <v>5183.6899999999996</v>
      </c>
      <c r="M238" s="239">
        <f t="shared" si="55"/>
        <v>10639.272519954387</v>
      </c>
      <c r="N238" s="253"/>
      <c r="O238" s="240"/>
      <c r="P238" s="241">
        <f>M238</f>
        <v>10639.272519954387</v>
      </c>
    </row>
    <row r="239" spans="2:16" x14ac:dyDescent="0.2">
      <c r="B239" s="238" t="s">
        <v>567</v>
      </c>
      <c r="C239" s="239">
        <v>484.62</v>
      </c>
      <c r="D239" s="239">
        <f t="shared" si="54"/>
        <v>994.65906499429877</v>
      </c>
      <c r="E239" s="253"/>
      <c r="F239" s="253"/>
      <c r="G239" s="241">
        <f>D239</f>
        <v>994.65906499429877</v>
      </c>
      <c r="K239" s="238" t="s">
        <v>622</v>
      </c>
      <c r="L239" s="222">
        <v>765.45</v>
      </c>
      <c r="M239" s="239">
        <f t="shared" si="55"/>
        <v>1571.0490307867731</v>
      </c>
      <c r="N239" s="240"/>
      <c r="O239" s="240"/>
      <c r="P239" s="241">
        <f>M239</f>
        <v>1571.0490307867731</v>
      </c>
    </row>
    <row r="240" spans="2:16" x14ac:dyDescent="0.2">
      <c r="B240" s="238" t="s">
        <v>570</v>
      </c>
      <c r="C240" s="239">
        <v>739.43</v>
      </c>
      <c r="D240" s="239">
        <f t="shared" si="54"/>
        <v>1517.6442417331812</v>
      </c>
      <c r="E240" s="240"/>
      <c r="F240" s="253"/>
      <c r="G240" s="241">
        <f>D240</f>
        <v>1517.6442417331812</v>
      </c>
      <c r="K240" s="238" t="s">
        <v>623</v>
      </c>
      <c r="L240" s="222">
        <v>1693.18</v>
      </c>
      <c r="M240" s="239">
        <f t="shared" si="55"/>
        <v>3475.1698973774232</v>
      </c>
      <c r="N240" s="240"/>
      <c r="O240" s="240"/>
      <c r="P240" s="241">
        <f>M240</f>
        <v>3475.1698973774232</v>
      </c>
    </row>
    <row r="241" spans="2:16" x14ac:dyDescent="0.2">
      <c r="B241" s="238" t="s">
        <v>572</v>
      </c>
      <c r="C241" s="239">
        <v>192.65</v>
      </c>
      <c r="D241" s="239">
        <f t="shared" si="54"/>
        <v>395.4047890535918</v>
      </c>
      <c r="E241" s="240"/>
      <c r="F241" s="253"/>
      <c r="G241" s="241">
        <f>D241</f>
        <v>395.4047890535918</v>
      </c>
      <c r="K241" s="238" t="s">
        <v>624</v>
      </c>
      <c r="L241" s="222">
        <v>515.04</v>
      </c>
      <c r="M241" s="239">
        <f t="shared" si="55"/>
        <v>1057.0946408209804</v>
      </c>
      <c r="N241" s="240">
        <f>M241</f>
        <v>1057.0946408209804</v>
      </c>
      <c r="O241" s="240"/>
      <c r="P241" s="248"/>
    </row>
    <row r="242" spans="2:16" x14ac:dyDescent="0.2">
      <c r="B242" s="238" t="s">
        <v>576</v>
      </c>
      <c r="C242" s="239">
        <v>1615.72</v>
      </c>
      <c r="D242" s="239">
        <f t="shared" si="54"/>
        <v>3316.1870011402507</v>
      </c>
      <c r="E242" s="240"/>
      <c r="F242" s="253"/>
      <c r="G242" s="241">
        <f>D242</f>
        <v>3316.1870011402507</v>
      </c>
      <c r="K242" s="238" t="s">
        <v>625</v>
      </c>
      <c r="L242" s="222">
        <v>770.64</v>
      </c>
      <c r="M242" s="239">
        <f t="shared" si="55"/>
        <v>1581.7012542759405</v>
      </c>
      <c r="N242" s="240">
        <f>M242</f>
        <v>1581.7012542759405</v>
      </c>
      <c r="O242" s="240"/>
      <c r="P242" s="248"/>
    </row>
    <row r="243" spans="2:16" x14ac:dyDescent="0.2">
      <c r="B243" s="238" t="s">
        <v>579</v>
      </c>
      <c r="C243" s="259">
        <v>822.67</v>
      </c>
      <c r="D243" s="239">
        <f t="shared" si="54"/>
        <v>1688.490307867731</v>
      </c>
      <c r="E243" s="240"/>
      <c r="F243" s="240">
        <f>D243</f>
        <v>1688.490307867731</v>
      </c>
      <c r="G243" s="241"/>
      <c r="K243" s="238" t="s">
        <v>626</v>
      </c>
      <c r="L243" s="222">
        <v>809.87</v>
      </c>
      <c r="M243" s="239">
        <f t="shared" si="55"/>
        <v>1662.2189281641961</v>
      </c>
      <c r="N243" s="240">
        <f>M243</f>
        <v>1662.2189281641961</v>
      </c>
      <c r="O243" s="240"/>
      <c r="P243" s="248"/>
    </row>
    <row r="244" spans="2:16" x14ac:dyDescent="0.2">
      <c r="B244" s="238" t="s">
        <v>551</v>
      </c>
      <c r="C244" s="239">
        <v>121.46</v>
      </c>
      <c r="D244" s="239">
        <f t="shared" si="54"/>
        <v>249.29076396807295</v>
      </c>
      <c r="G244" s="251">
        <f>D244</f>
        <v>249.29076396807295</v>
      </c>
      <c r="K244" s="238" t="s">
        <v>627</v>
      </c>
      <c r="L244" s="222">
        <v>561.45000000000005</v>
      </c>
      <c r="M244" s="239">
        <f t="shared" si="55"/>
        <v>1152.3489167616876</v>
      </c>
      <c r="N244" s="240">
        <f>M244</f>
        <v>1152.3489167616876</v>
      </c>
      <c r="O244" s="240"/>
      <c r="P244" s="248"/>
    </row>
    <row r="245" spans="2:16" x14ac:dyDescent="0.2">
      <c r="B245" s="238" t="s">
        <v>628</v>
      </c>
      <c r="C245" s="239">
        <v>1136.82</v>
      </c>
      <c r="D245" s="239">
        <f t="shared" si="54"/>
        <v>2333.2679589509689</v>
      </c>
      <c r="E245" s="252">
        <f t="shared" ref="E245:E255" si="57">D245</f>
        <v>2333.2679589509689</v>
      </c>
      <c r="G245" s="250"/>
      <c r="K245" s="238" t="s">
        <v>629</v>
      </c>
      <c r="L245" s="222">
        <v>450.86</v>
      </c>
      <c r="M245" s="239">
        <f t="shared" si="55"/>
        <v>925.36830102622582</v>
      </c>
      <c r="N245" s="240">
        <f>M245</f>
        <v>925.36830102622582</v>
      </c>
      <c r="P245" s="250"/>
    </row>
    <row r="246" spans="2:16" x14ac:dyDescent="0.2">
      <c r="B246" s="238" t="s">
        <v>630</v>
      </c>
      <c r="C246" s="239">
        <v>1131</v>
      </c>
      <c r="D246" s="239">
        <f t="shared" si="54"/>
        <v>2321.3226909920181</v>
      </c>
      <c r="E246" s="252">
        <f t="shared" si="57"/>
        <v>2321.3226909920181</v>
      </c>
      <c r="G246" s="250"/>
      <c r="K246" s="238" t="s">
        <v>631</v>
      </c>
      <c r="L246" s="222">
        <v>649.17999999999995</v>
      </c>
      <c r="M246" s="239">
        <f t="shared" si="55"/>
        <v>1332.4104903078676</v>
      </c>
      <c r="P246" s="251">
        <f>M246</f>
        <v>1332.4104903078676</v>
      </c>
    </row>
    <row r="247" spans="2:16" x14ac:dyDescent="0.2">
      <c r="B247" s="238" t="s">
        <v>632</v>
      </c>
      <c r="C247" s="239">
        <v>1548</v>
      </c>
      <c r="D247" s="239">
        <f t="shared" si="54"/>
        <v>3177.194982896237</v>
      </c>
      <c r="E247" s="252">
        <f t="shared" si="57"/>
        <v>3177.194982896237</v>
      </c>
      <c r="G247" s="250"/>
      <c r="K247" s="238" t="s">
        <v>633</v>
      </c>
      <c r="L247" s="222">
        <v>745.9</v>
      </c>
      <c r="M247" s="239">
        <f t="shared" si="55"/>
        <v>1530.9236031927023</v>
      </c>
      <c r="N247" s="252">
        <f>M247</f>
        <v>1530.9236031927023</v>
      </c>
      <c r="P247" s="250"/>
    </row>
    <row r="248" spans="2:16" x14ac:dyDescent="0.2">
      <c r="B248" s="238" t="s">
        <v>634</v>
      </c>
      <c r="C248" s="239">
        <v>652</v>
      </c>
      <c r="D248" s="239">
        <f t="shared" si="54"/>
        <v>1338.1984036488027</v>
      </c>
      <c r="E248" s="252">
        <f t="shared" si="57"/>
        <v>1338.1984036488027</v>
      </c>
      <c r="G248" s="250"/>
      <c r="K248" s="1789" t="s">
        <v>518</v>
      </c>
      <c r="L248" s="1790">
        <f>SUM(L223:L247)</f>
        <v>17080.020000000004</v>
      </c>
      <c r="M248" s="1790">
        <f>SUM(M223:M247)</f>
        <v>35055.913340934996</v>
      </c>
      <c r="N248" s="1790">
        <f>SUM(N223:N247)</f>
        <v>11981.575826681872</v>
      </c>
      <c r="O248" s="1790">
        <f>SUM(O223:O247)</f>
        <v>562.51539338654493</v>
      </c>
      <c r="P248" s="1791">
        <f>SUM(P223:P247)</f>
        <v>22511.822120866585</v>
      </c>
    </row>
    <row r="249" spans="2:16" ht="17" thickBot="1" x14ac:dyDescent="0.25">
      <c r="B249" s="238" t="s">
        <v>635</v>
      </c>
      <c r="C249" s="239">
        <v>1893.33</v>
      </c>
      <c r="D249" s="239">
        <f t="shared" si="54"/>
        <v>3885.9680729760544</v>
      </c>
      <c r="E249" s="252">
        <f t="shared" si="57"/>
        <v>3885.9680729760544</v>
      </c>
      <c r="G249" s="250"/>
      <c r="K249" s="268" t="s">
        <v>525</v>
      </c>
      <c r="L249" s="269">
        <f>L248*0.86</f>
        <v>14688.817200000003</v>
      </c>
      <c r="M249" s="269">
        <f>M248*0.86</f>
        <v>30148.085473204097</v>
      </c>
      <c r="N249" s="269">
        <f>N248*0.86</f>
        <v>10304.15521094641</v>
      </c>
      <c r="O249" s="269">
        <f>O248*0.86</f>
        <v>483.76323831242865</v>
      </c>
      <c r="P249" s="270">
        <f>P248*0.86</f>
        <v>19360.167023945261</v>
      </c>
    </row>
    <row r="250" spans="2:16" ht="17" thickBot="1" x14ac:dyDescent="0.25">
      <c r="B250" s="238" t="s">
        <v>636</v>
      </c>
      <c r="C250" s="239">
        <v>645</v>
      </c>
      <c r="D250" s="239">
        <f t="shared" si="54"/>
        <v>1323.8312428734321</v>
      </c>
      <c r="E250" s="252">
        <f t="shared" si="57"/>
        <v>1323.8312428734321</v>
      </c>
      <c r="G250" s="250"/>
      <c r="K250" s="276" t="s">
        <v>612</v>
      </c>
      <c r="L250" s="277"/>
      <c r="M250" s="278">
        <f>(M249)*$L$55</f>
        <v>30148.085473204097</v>
      </c>
      <c r="N250" s="278">
        <f>(N249)*$L$55</f>
        <v>10304.15521094641</v>
      </c>
      <c r="O250" s="278">
        <f>(O249)*$L$55</f>
        <v>483.76323831242865</v>
      </c>
      <c r="P250" s="279">
        <f>(P249)*$L$55</f>
        <v>19360.167023945261</v>
      </c>
    </row>
    <row r="251" spans="2:16" x14ac:dyDescent="0.2">
      <c r="B251" s="238" t="s">
        <v>637</v>
      </c>
      <c r="C251" s="239">
        <v>378.67</v>
      </c>
      <c r="D251" s="239">
        <f t="shared" si="54"/>
        <v>777.2018244013683</v>
      </c>
      <c r="E251" s="252">
        <f t="shared" si="57"/>
        <v>777.2018244013683</v>
      </c>
      <c r="G251" s="250"/>
    </row>
    <row r="252" spans="2:16" x14ac:dyDescent="0.2">
      <c r="B252" s="238" t="s">
        <v>638</v>
      </c>
      <c r="C252" s="239">
        <v>283.17</v>
      </c>
      <c r="D252" s="239">
        <f t="shared" si="54"/>
        <v>581.1927023945268</v>
      </c>
      <c r="E252" s="252">
        <f t="shared" si="57"/>
        <v>581.1927023945268</v>
      </c>
      <c r="G252" s="250"/>
    </row>
    <row r="253" spans="2:16" x14ac:dyDescent="0.2">
      <c r="B253" s="238" t="s">
        <v>639</v>
      </c>
      <c r="C253" s="239">
        <v>2198.27</v>
      </c>
      <c r="D253" s="239">
        <f t="shared" si="54"/>
        <v>4511.8426453819839</v>
      </c>
      <c r="E253" s="252">
        <f t="shared" si="57"/>
        <v>4511.8426453819839</v>
      </c>
      <c r="G253" s="250"/>
    </row>
    <row r="254" spans="2:16" x14ac:dyDescent="0.2">
      <c r="B254" s="238" t="s">
        <v>640</v>
      </c>
      <c r="C254" s="239">
        <v>608.54</v>
      </c>
      <c r="D254" s="239">
        <f t="shared" si="54"/>
        <v>1248.9988597491447</v>
      </c>
      <c r="E254" s="252">
        <f t="shared" si="57"/>
        <v>1248.9988597491447</v>
      </c>
      <c r="G254" s="250"/>
    </row>
    <row r="255" spans="2:16" x14ac:dyDescent="0.2">
      <c r="B255" s="238" t="s">
        <v>641</v>
      </c>
      <c r="C255" s="239">
        <v>228</v>
      </c>
      <c r="D255" s="239">
        <f t="shared" si="54"/>
        <v>467.95895096921322</v>
      </c>
      <c r="E255" s="252">
        <f t="shared" si="57"/>
        <v>467.95895096921322</v>
      </c>
      <c r="G255" s="250"/>
    </row>
    <row r="256" spans="2:16" x14ac:dyDescent="0.2">
      <c r="B256" s="238" t="s">
        <v>642</v>
      </c>
      <c r="C256" s="239">
        <v>1102.3499999999999</v>
      </c>
      <c r="D256" s="239">
        <f t="shared" si="54"/>
        <v>2262.5199543899653</v>
      </c>
      <c r="G256" s="251">
        <f>D256</f>
        <v>2262.5199543899653</v>
      </c>
    </row>
    <row r="257" spans="2:17" x14ac:dyDescent="0.2">
      <c r="B257" s="238" t="s">
        <v>643</v>
      </c>
      <c r="C257" s="239">
        <v>307.23</v>
      </c>
      <c r="D257" s="239">
        <f t="shared" si="54"/>
        <v>630.57468643101481</v>
      </c>
      <c r="G257" s="251">
        <f>D257</f>
        <v>630.57468643101481</v>
      </c>
      <c r="K257" s="253"/>
      <c r="L257" s="259"/>
      <c r="M257" s="259"/>
      <c r="N257" s="259"/>
      <c r="O257" s="259"/>
      <c r="P257" s="259"/>
      <c r="Q257" s="259"/>
    </row>
    <row r="258" spans="2:17" x14ac:dyDescent="0.2">
      <c r="B258" s="238" t="s">
        <v>644</v>
      </c>
      <c r="C258" s="239">
        <v>1120.8800000000001</v>
      </c>
      <c r="D258" s="239">
        <f t="shared" si="54"/>
        <v>2300.5518814139114</v>
      </c>
      <c r="G258" s="251">
        <f>D258</f>
        <v>2300.5518814139114</v>
      </c>
      <c r="K258" s="253"/>
      <c r="L258" s="254"/>
      <c r="M258" s="254"/>
      <c r="N258" s="254"/>
      <c r="O258" s="254"/>
      <c r="P258" s="254"/>
      <c r="Q258" s="254"/>
    </row>
    <row r="259" spans="2:17" x14ac:dyDescent="0.2">
      <c r="B259" s="238" t="s">
        <v>645</v>
      </c>
      <c r="C259" s="239">
        <v>1009.84</v>
      </c>
      <c r="D259" s="239">
        <f t="shared" si="54"/>
        <v>2072.6476624857469</v>
      </c>
      <c r="G259" s="251">
        <f>D259</f>
        <v>2072.6476624857469</v>
      </c>
      <c r="K259" s="255"/>
      <c r="L259" s="254"/>
      <c r="M259" s="256"/>
      <c r="N259" s="257"/>
      <c r="O259" s="257"/>
      <c r="P259" s="257"/>
      <c r="Q259" s="257"/>
    </row>
    <row r="260" spans="2:17" x14ac:dyDescent="0.2">
      <c r="B260" s="238" t="s">
        <v>646</v>
      </c>
      <c r="C260" s="239">
        <v>1231.72</v>
      </c>
      <c r="D260" s="239">
        <f t="shared" si="54"/>
        <v>2528.0456100342076</v>
      </c>
      <c r="E260" s="252">
        <f>D260</f>
        <v>2528.0456100342076</v>
      </c>
      <c r="G260" s="250"/>
    </row>
    <row r="261" spans="2:17" x14ac:dyDescent="0.2">
      <c r="B261" s="1789" t="s">
        <v>518</v>
      </c>
      <c r="C261" s="1790">
        <f>SUM(C223:C260)</f>
        <v>26878.609999999993</v>
      </c>
      <c r="D261" s="1790">
        <f>SUM(D223:D260)</f>
        <v>55167.044469783352</v>
      </c>
      <c r="E261" s="1790">
        <f>SUM(E242:E260)</f>
        <v>24495.02394526796</v>
      </c>
      <c r="F261" s="1790">
        <f>SUM(F242:F260)</f>
        <v>1688.490307867731</v>
      </c>
      <c r="G261" s="1791">
        <f>SUM(G242:G260)</f>
        <v>10831.771949828963</v>
      </c>
    </row>
    <row r="262" spans="2:17" ht="17" thickBot="1" x14ac:dyDescent="0.25">
      <c r="B262" s="238" t="s">
        <v>525</v>
      </c>
      <c r="C262" s="254">
        <f>C261*0.86</f>
        <v>23115.604599999995</v>
      </c>
      <c r="D262" s="254">
        <f>D261*0.86</f>
        <v>47443.658244013684</v>
      </c>
      <c r="E262" s="254">
        <f>E261*0.86</f>
        <v>21065.720592930444</v>
      </c>
      <c r="F262" s="254">
        <f>F261*0.86</f>
        <v>1452.1016647662486</v>
      </c>
      <c r="G262" s="258">
        <f>G261*0.86</f>
        <v>9315.3238768529081</v>
      </c>
    </row>
    <row r="263" spans="2:17" ht="17" thickBot="1" x14ac:dyDescent="0.25">
      <c r="B263" s="276" t="s">
        <v>586</v>
      </c>
      <c r="C263" s="278">
        <f>C262*$C$55</f>
        <v>23115.604599999995</v>
      </c>
      <c r="D263" s="278">
        <f>D262*$C$55</f>
        <v>47443.658244013684</v>
      </c>
      <c r="E263" s="278">
        <f>E262*$C$55</f>
        <v>21065.720592930444</v>
      </c>
      <c r="F263" s="278">
        <f>F262*$C$55</f>
        <v>1452.1016647662486</v>
      </c>
      <c r="G263" s="279">
        <f>G262*$C$55</f>
        <v>9315.3238768529081</v>
      </c>
    </row>
    <row r="266" spans="2:17" x14ac:dyDescent="0.2">
      <c r="G266" s="225"/>
    </row>
    <row r="319" spans="3:3" x14ac:dyDescent="0.2">
      <c r="C319" s="271"/>
    </row>
  </sheetData>
  <mergeCells count="23">
    <mergeCell ref="X6:AB6"/>
    <mergeCell ref="S6:W6"/>
    <mergeCell ref="B43:C43"/>
    <mergeCell ref="B41:C41"/>
    <mergeCell ref="B30:D30"/>
    <mergeCell ref="B39:C39"/>
    <mergeCell ref="B42:C42"/>
    <mergeCell ref="B46:G46"/>
    <mergeCell ref="A1:B1"/>
    <mergeCell ref="B36:C36"/>
    <mergeCell ref="H43:I43"/>
    <mergeCell ref="H44:I44"/>
    <mergeCell ref="H45:I45"/>
    <mergeCell ref="B31:C31"/>
    <mergeCell ref="D31:D35"/>
    <mergeCell ref="D36:D38"/>
    <mergeCell ref="AU46:AZ46"/>
    <mergeCell ref="BK62:BK68"/>
    <mergeCell ref="BE46:BK46"/>
    <mergeCell ref="K46:P46"/>
    <mergeCell ref="T46:Y46"/>
    <mergeCell ref="AC46:AH46"/>
    <mergeCell ref="AL46:AQ46"/>
  </mergeCells>
  <conditionalFormatting sqref="B56">
    <cfRule type="containsBlanks" dxfId="14" priority="11" stopIfTrue="1">
      <formula>LEN(TRIM(B56))=0</formula>
    </cfRule>
  </conditionalFormatting>
  <conditionalFormatting sqref="K56">
    <cfRule type="containsBlanks" dxfId="13" priority="10" stopIfTrue="1">
      <formula>LEN(TRIM(K56))=0</formula>
    </cfRule>
  </conditionalFormatting>
  <conditionalFormatting sqref="O34">
    <cfRule type="containsBlanks" dxfId="12" priority="5" stopIfTrue="1">
      <formula>LEN(TRIM(O34))=0</formula>
    </cfRule>
  </conditionalFormatting>
  <conditionalFormatting sqref="O42:P42">
    <cfRule type="containsBlanks" dxfId="11" priority="2" stopIfTrue="1">
      <formula>LEN(TRIM(O42))=0</formula>
    </cfRule>
  </conditionalFormatting>
  <conditionalFormatting sqref="O15:AB15 B28">
    <cfRule type="containsBlanks" dxfId="10" priority="4" stopIfTrue="1">
      <formula>LEN(TRIM(B15))=0</formula>
    </cfRule>
  </conditionalFormatting>
  <conditionalFormatting sqref="T53">
    <cfRule type="containsBlanks" dxfId="9" priority="9" stopIfTrue="1">
      <formula>LEN(TRIM(T53))=0</formula>
    </cfRule>
  </conditionalFormatting>
  <conditionalFormatting sqref="AC57">
    <cfRule type="containsBlanks" dxfId="8" priority="7" stopIfTrue="1">
      <formula>LEN(TRIM(AC57))=0</formula>
    </cfRule>
  </conditionalFormatting>
  <hyperlinks>
    <hyperlink ref="BK62" r:id="rId1" xr:uid="{9D09520C-C518-3C4A-9A9D-826F041E79C4}"/>
  </hyperlinks>
  <pageMargins left="0.7" right="0.7" top="0.75" bottom="0.75" header="0.3" footer="0.3"/>
  <pageSetup paperSize="9"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043E3-90A4-2949-B06A-5B329904684B}">
  <sheetPr>
    <tabColor theme="3" tint="0.249977111117893"/>
  </sheetPr>
  <dimension ref="A1:EX52"/>
  <sheetViews>
    <sheetView showGridLines="0" topLeftCell="A8" zoomScale="75" workbookViewId="0">
      <pane xSplit="2" topLeftCell="C1" activePane="topRight" state="frozen"/>
      <selection pane="topRight" activeCell="D1" sqref="D1"/>
    </sheetView>
  </sheetViews>
  <sheetFormatPr baseColWidth="10" defaultColWidth="11.1640625" defaultRowHeight="16" x14ac:dyDescent="0.2"/>
  <cols>
    <col min="1" max="1" width="11.1640625" style="222"/>
    <col min="2" max="2" width="18.1640625" style="222" customWidth="1"/>
    <col min="3" max="3" width="14.33203125" style="222" customWidth="1"/>
    <col min="4" max="4" width="13.5" style="222" bestFit="1" customWidth="1"/>
    <col min="5" max="5" width="16.33203125" style="222" bestFit="1" customWidth="1"/>
    <col min="6" max="7" width="13.5" style="222" bestFit="1" customWidth="1"/>
    <col min="8" max="8" width="15.33203125" style="222" bestFit="1" customWidth="1"/>
    <col min="9" max="10" width="13.5" style="222" bestFit="1" customWidth="1"/>
    <col min="11" max="11" width="14.6640625" style="222" bestFit="1" customWidth="1"/>
    <col min="12" max="12" width="11" style="222" bestFit="1" customWidth="1"/>
    <col min="13" max="13" width="10.33203125" style="222" customWidth="1"/>
    <col min="14" max="14" width="8.83203125" style="222" bestFit="1" customWidth="1"/>
    <col min="15" max="15" width="14.5" style="222" customWidth="1"/>
    <col min="16" max="16" width="16.1640625" style="222" customWidth="1"/>
    <col min="17" max="17" width="17.33203125" style="222" customWidth="1"/>
    <col min="18" max="18" width="17.6640625" style="222" customWidth="1"/>
    <col min="19" max="19" width="16" style="222" bestFit="1" customWidth="1"/>
    <col min="20" max="20" width="14.6640625" style="222" customWidth="1"/>
    <col min="21" max="21" width="16.5" style="222" customWidth="1"/>
    <col min="22" max="36" width="11" style="222" bestFit="1" customWidth="1"/>
    <col min="37" max="39" width="11.1640625" style="222"/>
    <col min="40" max="40" width="10.83203125" style="222" customWidth="1"/>
    <col min="41" max="42" width="11.1640625" style="222"/>
    <col min="43" max="51" width="11" style="222" bestFit="1" customWidth="1"/>
    <col min="52" max="59" width="13.6640625" style="222" bestFit="1" customWidth="1"/>
    <col min="60" max="81" width="11" style="222" bestFit="1" customWidth="1"/>
    <col min="82" max="82" width="9.33203125" style="222" bestFit="1" customWidth="1"/>
    <col min="83" max="83" width="10.83203125" style="222" customWidth="1"/>
    <col min="84" max="86" width="11" style="222" bestFit="1" customWidth="1"/>
    <col min="87" max="88" width="11.1640625" style="222"/>
    <col min="89" max="100" width="11" style="222" bestFit="1" customWidth="1"/>
    <col min="101" max="154" width="11.1640625" style="222"/>
  </cols>
  <sheetData>
    <row r="1" spans="1:147" ht="35" thickBot="1" x14ac:dyDescent="0.25">
      <c r="A1" s="2053" t="s">
        <v>647</v>
      </c>
      <c r="B1" s="2054"/>
      <c r="C1" s="2055"/>
    </row>
    <row r="2" spans="1:147" ht="17" thickBot="1" x14ac:dyDescent="0.25"/>
    <row r="3" spans="1:147" ht="18" customHeight="1" thickBot="1" x14ac:dyDescent="0.25">
      <c r="B3" s="308" t="s">
        <v>648</v>
      </c>
      <c r="C3" s="2050">
        <v>2026</v>
      </c>
      <c r="D3" s="2051"/>
      <c r="E3" s="2051"/>
      <c r="F3" s="2051"/>
      <c r="G3" s="2051"/>
      <c r="H3" s="2051"/>
      <c r="I3" s="2051"/>
      <c r="J3" s="2051"/>
      <c r="K3" s="2051"/>
      <c r="L3" s="2051"/>
      <c r="M3" s="2051"/>
      <c r="N3" s="2051"/>
      <c r="O3" s="2051"/>
      <c r="P3" s="2051"/>
      <c r="Q3" s="2051"/>
      <c r="R3" s="2051"/>
      <c r="S3" s="2051"/>
      <c r="T3" s="2051"/>
      <c r="U3" s="2051"/>
      <c r="V3" s="2051"/>
      <c r="W3" s="2051"/>
      <c r="X3" s="2051"/>
      <c r="Y3" s="2051"/>
      <c r="Z3" s="2051"/>
      <c r="AA3" s="2051"/>
      <c r="AB3" s="2051"/>
      <c r="AC3" s="2051"/>
      <c r="AD3" s="2051"/>
      <c r="AE3" s="2051"/>
      <c r="AF3" s="2051"/>
      <c r="AG3" s="2051"/>
      <c r="AH3" s="2051"/>
      <c r="AI3" s="2051"/>
      <c r="AJ3" s="2051"/>
      <c r="AK3" s="2051"/>
      <c r="AL3" s="2051"/>
      <c r="AM3" s="2051"/>
      <c r="AN3" s="2051"/>
      <c r="AO3" s="2051"/>
      <c r="AP3" s="2051"/>
      <c r="AQ3" s="2051"/>
      <c r="AR3" s="2051"/>
      <c r="AS3" s="2051"/>
      <c r="AT3" s="2051"/>
      <c r="AU3" s="2051"/>
      <c r="AV3" s="2051"/>
      <c r="AW3" s="2051"/>
      <c r="AX3" s="2051"/>
      <c r="AY3" s="2052"/>
      <c r="AZ3" s="2050">
        <v>2027</v>
      </c>
      <c r="BA3" s="2051"/>
      <c r="BB3" s="2051"/>
      <c r="BC3" s="2051"/>
      <c r="BD3" s="2051"/>
      <c r="BE3" s="2051"/>
      <c r="BF3" s="2051"/>
      <c r="BG3" s="2051"/>
      <c r="BH3" s="2051"/>
      <c r="BI3" s="2051"/>
      <c r="BJ3" s="2051"/>
      <c r="BK3" s="2051"/>
      <c r="BL3" s="2051"/>
      <c r="BM3" s="2051"/>
      <c r="BN3" s="2051"/>
      <c r="BO3" s="2051"/>
      <c r="BP3" s="2051"/>
      <c r="BQ3" s="2051"/>
      <c r="BR3" s="2051"/>
      <c r="BS3" s="2051"/>
      <c r="BT3" s="2051"/>
      <c r="BU3" s="2051"/>
      <c r="BV3" s="2051"/>
      <c r="BW3" s="2051"/>
      <c r="BX3" s="2051"/>
      <c r="BY3" s="2051"/>
      <c r="BZ3" s="2051"/>
      <c r="CA3" s="2051"/>
      <c r="CB3" s="2051"/>
      <c r="CC3" s="2051"/>
      <c r="CD3" s="2051"/>
      <c r="CE3" s="2051"/>
      <c r="CF3" s="2051"/>
      <c r="CG3" s="2051"/>
      <c r="CH3" s="2051"/>
      <c r="CI3" s="2051"/>
      <c r="CJ3" s="2051"/>
      <c r="CK3" s="2051"/>
      <c r="CL3" s="2051"/>
      <c r="CM3" s="2051"/>
      <c r="CN3" s="2051"/>
      <c r="CO3" s="2051"/>
      <c r="CP3" s="2051"/>
      <c r="CQ3" s="2051"/>
      <c r="CR3" s="2051"/>
      <c r="CS3" s="2051"/>
      <c r="CT3" s="2051"/>
      <c r="CU3" s="2052"/>
      <c r="CV3" s="2050">
        <v>2028</v>
      </c>
      <c r="CW3" s="2051"/>
      <c r="CX3" s="2051"/>
      <c r="CY3" s="2051"/>
      <c r="CZ3" s="2051"/>
      <c r="DA3" s="2051"/>
      <c r="DB3" s="2051"/>
      <c r="DC3" s="2051"/>
      <c r="DD3" s="2051"/>
      <c r="DE3" s="2051"/>
      <c r="DF3" s="2051"/>
      <c r="DG3" s="2051"/>
      <c r="DH3" s="2051"/>
      <c r="DI3" s="2051"/>
      <c r="DJ3" s="2051"/>
      <c r="DK3" s="2051"/>
      <c r="DL3" s="2051"/>
      <c r="DM3" s="2051"/>
      <c r="DN3" s="2051"/>
      <c r="DO3" s="2051"/>
      <c r="DP3" s="2051"/>
      <c r="DQ3" s="2051"/>
      <c r="DR3" s="2051"/>
      <c r="DS3" s="2051"/>
      <c r="DT3" s="2051"/>
      <c r="DU3" s="2051"/>
      <c r="DV3" s="2051"/>
      <c r="DW3" s="2051"/>
      <c r="DX3" s="2051"/>
      <c r="DY3" s="2051"/>
      <c r="DZ3" s="2051"/>
      <c r="EA3" s="2051"/>
      <c r="EB3" s="2051"/>
      <c r="EC3" s="2051"/>
      <c r="ED3" s="2051"/>
      <c r="EE3" s="2051"/>
      <c r="EF3" s="2051"/>
      <c r="EG3" s="2051"/>
      <c r="EH3" s="2051"/>
      <c r="EI3" s="2051"/>
      <c r="EJ3" s="2051"/>
      <c r="EK3" s="2051"/>
      <c r="EL3" s="2051"/>
      <c r="EM3" s="2051"/>
      <c r="EN3" s="2051"/>
      <c r="EO3" s="2051"/>
      <c r="EP3" s="2051"/>
      <c r="EQ3" s="2052"/>
    </row>
    <row r="4" spans="1:147" ht="17" customHeight="1" thickBot="1" x14ac:dyDescent="0.25">
      <c r="B4" s="295"/>
      <c r="C4" s="369" t="s">
        <v>649</v>
      </c>
      <c r="D4" s="527" t="s">
        <v>650</v>
      </c>
      <c r="E4" s="528"/>
      <c r="F4" s="528"/>
      <c r="G4" s="529"/>
      <c r="H4" s="527" t="s">
        <v>651</v>
      </c>
      <c r="I4" s="528"/>
      <c r="J4" s="528"/>
      <c r="K4" s="529"/>
      <c r="L4" s="527" t="s">
        <v>652</v>
      </c>
      <c r="M4" s="528"/>
      <c r="N4" s="528"/>
      <c r="O4" s="529"/>
      <c r="P4" s="527" t="s">
        <v>653</v>
      </c>
      <c r="Q4" s="528"/>
      <c r="R4" s="528"/>
      <c r="S4" s="529"/>
      <c r="T4" s="527" t="s">
        <v>654</v>
      </c>
      <c r="U4" s="528"/>
      <c r="V4" s="528"/>
      <c r="W4" s="529"/>
      <c r="X4" s="527" t="s">
        <v>655</v>
      </c>
      <c r="Y4" s="528"/>
      <c r="Z4" s="528"/>
      <c r="AA4" s="529"/>
      <c r="AB4" s="527" t="s">
        <v>656</v>
      </c>
      <c r="AC4" s="528"/>
      <c r="AD4" s="528"/>
      <c r="AE4" s="529"/>
      <c r="AF4" s="527" t="s">
        <v>657</v>
      </c>
      <c r="AG4" s="528"/>
      <c r="AH4" s="528"/>
      <c r="AI4" s="529"/>
      <c r="AJ4" s="537" t="s">
        <v>658</v>
      </c>
      <c r="AK4" s="519"/>
      <c r="AL4" s="519"/>
      <c r="AM4" s="538"/>
      <c r="AN4" s="537" t="s">
        <v>659</v>
      </c>
      <c r="AO4" s="519"/>
      <c r="AP4" s="519"/>
      <c r="AQ4" s="538"/>
      <c r="AR4" s="537" t="s">
        <v>660</v>
      </c>
      <c r="AS4" s="519"/>
      <c r="AT4" s="519"/>
      <c r="AU4" s="538"/>
      <c r="AV4" s="537" t="s">
        <v>661</v>
      </c>
      <c r="AW4" s="519"/>
      <c r="AX4" s="519"/>
      <c r="AY4" s="538"/>
      <c r="AZ4" s="527" t="s">
        <v>650</v>
      </c>
      <c r="BA4" s="528"/>
      <c r="BB4" s="528"/>
      <c r="BC4" s="529"/>
      <c r="BD4" s="527" t="s">
        <v>651</v>
      </c>
      <c r="BE4" s="528"/>
      <c r="BF4" s="528"/>
      <c r="BG4" s="529"/>
      <c r="BH4" s="527" t="s">
        <v>652</v>
      </c>
      <c r="BI4" s="528"/>
      <c r="BJ4" s="528"/>
      <c r="BK4" s="529"/>
      <c r="BL4" s="527" t="s">
        <v>653</v>
      </c>
      <c r="BM4" s="528"/>
      <c r="BN4" s="528"/>
      <c r="BO4" s="529"/>
      <c r="BP4" s="527" t="s">
        <v>654</v>
      </c>
      <c r="BQ4" s="528"/>
      <c r="BR4" s="528"/>
      <c r="BS4" s="529"/>
      <c r="BT4" s="527" t="s">
        <v>655</v>
      </c>
      <c r="BU4" s="528"/>
      <c r="BV4" s="528"/>
      <c r="BW4" s="529"/>
      <c r="BX4" s="527" t="s">
        <v>656</v>
      </c>
      <c r="BY4" s="528"/>
      <c r="BZ4" s="528"/>
      <c r="CA4" s="529"/>
      <c r="CB4" s="527" t="s">
        <v>657</v>
      </c>
      <c r="CC4" s="528"/>
      <c r="CD4" s="528"/>
      <c r="CE4" s="529"/>
      <c r="CF4" s="537" t="s">
        <v>658</v>
      </c>
      <c r="CG4" s="519"/>
      <c r="CH4" s="519"/>
      <c r="CI4" s="538"/>
      <c r="CJ4" s="537" t="s">
        <v>659</v>
      </c>
      <c r="CK4" s="519"/>
      <c r="CL4" s="519"/>
      <c r="CM4" s="538"/>
      <c r="CN4" s="537" t="s">
        <v>660</v>
      </c>
      <c r="CO4" s="519"/>
      <c r="CP4" s="519"/>
      <c r="CQ4" s="538"/>
      <c r="CR4" s="537" t="s">
        <v>661</v>
      </c>
      <c r="CS4" s="519"/>
      <c r="CT4" s="519"/>
      <c r="CU4" s="538"/>
      <c r="CV4" s="527" t="s">
        <v>650</v>
      </c>
      <c r="CW4" s="528"/>
      <c r="CX4" s="528"/>
      <c r="CY4" s="529"/>
      <c r="CZ4" s="527" t="s">
        <v>651</v>
      </c>
      <c r="DA4" s="528"/>
      <c r="DB4" s="528"/>
      <c r="DC4" s="529"/>
      <c r="DD4" s="527" t="s">
        <v>652</v>
      </c>
      <c r="DE4" s="528"/>
      <c r="DF4" s="528"/>
      <c r="DG4" s="529"/>
      <c r="DH4" s="527" t="s">
        <v>653</v>
      </c>
      <c r="DI4" s="528"/>
      <c r="DJ4" s="528"/>
      <c r="DK4" s="529"/>
      <c r="DL4" s="527" t="s">
        <v>654</v>
      </c>
      <c r="DM4" s="528"/>
      <c r="DN4" s="528"/>
      <c r="DO4" s="529"/>
      <c r="DP4" s="527" t="s">
        <v>655</v>
      </c>
      <c r="DQ4" s="528"/>
      <c r="DR4" s="528"/>
      <c r="DS4" s="529"/>
      <c r="DT4" s="527" t="s">
        <v>656</v>
      </c>
      <c r="DU4" s="528"/>
      <c r="DV4" s="528"/>
      <c r="DW4" s="529"/>
      <c r="DX4" s="528" t="s">
        <v>657</v>
      </c>
      <c r="DY4" s="528"/>
      <c r="DZ4" s="528"/>
      <c r="EA4" s="529"/>
      <c r="EB4" s="521" t="s">
        <v>658</v>
      </c>
      <c r="EC4" s="521"/>
      <c r="ED4" s="521"/>
      <c r="EE4" s="522"/>
      <c r="EF4" s="520" t="s">
        <v>659</v>
      </c>
      <c r="EG4" s="521"/>
      <c r="EH4" s="521"/>
      <c r="EI4" s="521"/>
      <c r="EJ4" s="537" t="s">
        <v>660</v>
      </c>
      <c r="EK4" s="519"/>
      <c r="EL4" s="519"/>
      <c r="EM4" s="538"/>
      <c r="EN4" s="523" t="s">
        <v>661</v>
      </c>
      <c r="EO4" s="523"/>
      <c r="EP4" s="523"/>
      <c r="EQ4" s="426"/>
    </row>
    <row r="5" spans="1:147" x14ac:dyDescent="0.2">
      <c r="B5" s="297" t="s">
        <v>436</v>
      </c>
      <c r="C5" s="370">
        <v>8</v>
      </c>
      <c r="D5" s="322"/>
      <c r="E5" s="299"/>
      <c r="F5" s="300"/>
      <c r="G5" s="301"/>
      <c r="H5" s="322"/>
      <c r="I5" s="299"/>
      <c r="J5" s="300"/>
      <c r="K5" s="301"/>
      <c r="L5" s="322"/>
      <c r="M5" s="299"/>
      <c r="N5" s="300"/>
      <c r="O5" s="301"/>
      <c r="P5" s="322"/>
      <c r="Q5" s="299"/>
      <c r="R5" s="300"/>
      <c r="S5" s="301"/>
      <c r="T5" s="322"/>
      <c r="U5" s="299"/>
      <c r="V5" s="300"/>
      <c r="W5" s="301"/>
      <c r="X5" s="322"/>
      <c r="Y5" s="299"/>
      <c r="Z5" s="300"/>
      <c r="AA5" s="301"/>
      <c r="AB5" s="322"/>
      <c r="AC5" s="299"/>
      <c r="AD5" s="300"/>
      <c r="AE5" s="301"/>
      <c r="AF5" s="322"/>
      <c r="AG5" s="299"/>
      <c r="AH5" s="300"/>
      <c r="AI5" s="301"/>
      <c r="AJ5" s="322"/>
      <c r="AK5" s="299"/>
      <c r="AL5" s="300"/>
      <c r="AM5" s="301"/>
      <c r="AN5" s="322"/>
      <c r="AO5" s="299"/>
      <c r="AP5" s="300"/>
      <c r="AQ5" s="301"/>
      <c r="AR5" s="322"/>
      <c r="AS5" s="299"/>
      <c r="AT5" s="300"/>
      <c r="AU5" s="301"/>
      <c r="AV5" s="322"/>
      <c r="AW5" s="299"/>
      <c r="AX5" s="300"/>
      <c r="AY5" s="301"/>
      <c r="AZ5" s="322"/>
      <c r="BA5" s="299"/>
      <c r="BB5" s="300"/>
      <c r="BC5" s="301"/>
      <c r="BD5" s="322"/>
      <c r="BE5" s="299"/>
      <c r="BF5" s="300"/>
      <c r="BG5" s="301"/>
      <c r="BH5" s="322"/>
      <c r="BI5" s="299"/>
      <c r="BJ5" s="300"/>
      <c r="BK5" s="301"/>
      <c r="BL5" s="322"/>
      <c r="BM5" s="299"/>
      <c r="BN5" s="300"/>
      <c r="BO5" s="301"/>
      <c r="BP5" s="322"/>
      <c r="BQ5" s="299"/>
      <c r="BR5" s="300"/>
      <c r="BS5" s="301"/>
      <c r="BT5" s="322"/>
      <c r="BU5" s="299"/>
      <c r="BV5" s="300"/>
      <c r="BW5" s="301"/>
      <c r="BX5" s="322"/>
      <c r="BY5" s="299"/>
      <c r="BZ5" s="300"/>
      <c r="CA5" s="301"/>
      <c r="CB5" s="322"/>
      <c r="CC5" s="299"/>
      <c r="CD5" s="300"/>
      <c r="CE5" s="301"/>
      <c r="CF5" s="322"/>
      <c r="CG5" s="299"/>
      <c r="CH5" s="300"/>
      <c r="CI5" s="301"/>
      <c r="CJ5" s="322"/>
      <c r="CK5" s="299"/>
      <c r="CL5" s="300"/>
      <c r="CM5" s="301"/>
      <c r="CN5" s="322"/>
      <c r="CO5" s="299"/>
      <c r="CP5" s="300"/>
      <c r="CQ5" s="301"/>
      <c r="CR5" s="322"/>
      <c r="CS5" s="299"/>
      <c r="CT5" s="300"/>
      <c r="CU5" s="301"/>
      <c r="CV5" s="540"/>
      <c r="CW5" s="541"/>
      <c r="CX5" s="542"/>
      <c r="CY5" s="543"/>
      <c r="CZ5" s="540"/>
      <c r="DA5" s="541"/>
      <c r="DB5" s="542"/>
      <c r="DC5" s="543"/>
      <c r="DD5" s="322"/>
      <c r="DE5" s="299"/>
      <c r="DF5" s="300"/>
      <c r="DG5" s="301"/>
      <c r="DH5" s="322"/>
      <c r="DI5" s="299"/>
      <c r="DJ5" s="300"/>
      <c r="DK5" s="301"/>
      <c r="DL5" s="322"/>
      <c r="DM5" s="299"/>
      <c r="DN5" s="300"/>
      <c r="DO5" s="301"/>
      <c r="DP5" s="322"/>
      <c r="DQ5" s="299"/>
      <c r="DR5" s="300"/>
      <c r="DS5" s="301"/>
      <c r="DT5" s="531">
        <f>'1-CAPEX'!$Z$27/$C$5</f>
        <v>49761.766574242749</v>
      </c>
      <c r="DU5" s="526">
        <f>'1-CAPEX'!$Z$27/$C$5</f>
        <v>49761.766574242749</v>
      </c>
      <c r="DV5" s="526">
        <f>'1-CAPEX'!$Z$27/$C$5</f>
        <v>49761.766574242749</v>
      </c>
      <c r="DW5" s="532">
        <f>'1-CAPEX'!$Z$27/$C$5</f>
        <v>49761.766574242749</v>
      </c>
      <c r="DX5" s="530">
        <f>'1-CAPEX'!$Z$27/$C$5</f>
        <v>49761.766574242749</v>
      </c>
      <c r="DY5" s="526">
        <f>'1-CAPEX'!$Z$27/$C$5</f>
        <v>49761.766574242749</v>
      </c>
      <c r="DZ5" s="526">
        <f>'1-CAPEX'!$Z$27/$C$5</f>
        <v>49761.766574242749</v>
      </c>
      <c r="EA5" s="532">
        <f>'1-CAPEX'!$Z$27/$C$5</f>
        <v>49761.766574242749</v>
      </c>
      <c r="EB5" s="298"/>
      <c r="EC5" s="299"/>
      <c r="ED5" s="300"/>
      <c r="EE5" s="372"/>
      <c r="EF5" s="371"/>
      <c r="EG5" s="299"/>
      <c r="EH5" s="300"/>
      <c r="EI5" s="1346"/>
      <c r="EJ5" s="322"/>
      <c r="EK5" s="299"/>
      <c r="EL5" s="300"/>
      <c r="EM5" s="301"/>
      <c r="EN5" s="298"/>
      <c r="EO5" s="299"/>
      <c r="EP5" s="300"/>
      <c r="EQ5" s="301"/>
    </row>
    <row r="6" spans="1:147" x14ac:dyDescent="0.2">
      <c r="B6" s="1793" t="s">
        <v>434</v>
      </c>
      <c r="C6" s="1794">
        <v>8</v>
      </c>
      <c r="D6" s="508"/>
      <c r="E6" s="1795"/>
      <c r="F6" s="1796"/>
      <c r="G6" s="1797"/>
      <c r="H6" s="508"/>
      <c r="I6" s="1795"/>
      <c r="J6" s="1796"/>
      <c r="K6" s="1797"/>
      <c r="L6" s="508"/>
      <c r="M6" s="1795"/>
      <c r="N6" s="1796"/>
      <c r="O6" s="1797"/>
      <c r="P6" s="508"/>
      <c r="Q6" s="1795"/>
      <c r="R6" s="1796"/>
      <c r="S6" s="1797"/>
      <c r="T6" s="508"/>
      <c r="U6" s="1795"/>
      <c r="V6" s="1796"/>
      <c r="W6" s="1797"/>
      <c r="X6" s="508"/>
      <c r="Y6" s="1795"/>
      <c r="Z6" s="1796"/>
      <c r="AA6" s="1797"/>
      <c r="AB6" s="508"/>
      <c r="AC6" s="1795"/>
      <c r="AD6" s="1796"/>
      <c r="AE6" s="1797"/>
      <c r="AF6" s="508"/>
      <c r="AG6" s="1795"/>
      <c r="AH6" s="1796"/>
      <c r="AI6" s="1797"/>
      <c r="AJ6" s="508"/>
      <c r="AK6" s="1795"/>
      <c r="AL6" s="1796"/>
      <c r="AM6" s="1797"/>
      <c r="AN6" s="508"/>
      <c r="AO6" s="1795"/>
      <c r="AP6" s="1796"/>
      <c r="AQ6" s="1797"/>
      <c r="AR6" s="508"/>
      <c r="AS6" s="1795"/>
      <c r="AT6" s="1796"/>
      <c r="AU6" s="1797"/>
      <c r="AV6" s="508"/>
      <c r="AW6" s="1795"/>
      <c r="AX6" s="1796"/>
      <c r="AY6" s="1797"/>
      <c r="AZ6" s="508"/>
      <c r="BA6" s="1795"/>
      <c r="BB6" s="1796"/>
      <c r="BC6" s="1797"/>
      <c r="BD6" s="508"/>
      <c r="BE6" s="1795"/>
      <c r="BF6" s="1796"/>
      <c r="BG6" s="1797"/>
      <c r="BH6" s="508"/>
      <c r="BI6" s="1795"/>
      <c r="BJ6" s="1796"/>
      <c r="BK6" s="1797"/>
      <c r="BL6" s="508"/>
      <c r="BM6" s="1795"/>
      <c r="BN6" s="1796"/>
      <c r="BO6" s="1797"/>
      <c r="BP6" s="508"/>
      <c r="BQ6" s="1795"/>
      <c r="BR6" s="1796"/>
      <c r="BS6" s="1797"/>
      <c r="BT6" s="508"/>
      <c r="BU6" s="1795"/>
      <c r="BV6" s="1796"/>
      <c r="BW6" s="1797"/>
      <c r="BX6" s="508"/>
      <c r="BY6" s="1795"/>
      <c r="BZ6" s="1796"/>
      <c r="CA6" s="1797"/>
      <c r="CB6" s="508"/>
      <c r="CC6" s="1795"/>
      <c r="CD6" s="1796"/>
      <c r="CE6" s="1797"/>
      <c r="CF6" s="508"/>
      <c r="CG6" s="1795"/>
      <c r="CH6" s="1796"/>
      <c r="CI6" s="1797"/>
      <c r="CJ6" s="508"/>
      <c r="CK6" s="1795"/>
      <c r="CL6" s="1796"/>
      <c r="CM6" s="1797"/>
      <c r="CN6" s="508"/>
      <c r="CO6" s="1795"/>
      <c r="CP6" s="1796"/>
      <c r="CQ6" s="1797"/>
      <c r="CR6" s="508"/>
      <c r="CS6" s="1795"/>
      <c r="CT6" s="1796"/>
      <c r="CU6" s="1797"/>
      <c r="CV6" s="510">
        <f>'1-CAPEX'!$Z$26/$C$6</f>
        <v>48311.683677986613</v>
      </c>
      <c r="CW6" s="1798">
        <f>'1-CAPEX'!$Z$26/$C$6</f>
        <v>48311.683677986613</v>
      </c>
      <c r="CX6" s="1798">
        <f>'1-CAPEX'!$Z$26/$C$6</f>
        <v>48311.683677986613</v>
      </c>
      <c r="CY6" s="1799">
        <f>'1-CAPEX'!$Z$26/$C$6</f>
        <v>48311.683677986613</v>
      </c>
      <c r="CZ6" s="510">
        <f>'1-CAPEX'!$Z$26/$C$6</f>
        <v>48311.683677986613</v>
      </c>
      <c r="DA6" s="1798">
        <f>'1-CAPEX'!$Z$26/$C$6</f>
        <v>48311.683677986613</v>
      </c>
      <c r="DB6" s="1798">
        <f>'1-CAPEX'!$Z$26/$C$6</f>
        <v>48311.683677986613</v>
      </c>
      <c r="DC6" s="1799">
        <f>'1-CAPEX'!$Z$26/$C$6</f>
        <v>48311.683677986613</v>
      </c>
      <c r="DD6" s="508"/>
      <c r="DE6" s="1795"/>
      <c r="DF6" s="1796"/>
      <c r="DG6" s="1797"/>
      <c r="DH6" s="508"/>
      <c r="DI6" s="1795"/>
      <c r="DJ6" s="1796"/>
      <c r="DK6" s="1797"/>
      <c r="DL6" s="508"/>
      <c r="DM6" s="1795"/>
      <c r="DN6" s="1796"/>
      <c r="DO6" s="1797"/>
      <c r="DP6" s="508"/>
      <c r="DQ6" s="1795"/>
      <c r="DR6" s="1796"/>
      <c r="DS6" s="1797"/>
      <c r="DT6" s="508"/>
      <c r="DU6" s="1795"/>
      <c r="DV6" s="1796"/>
      <c r="DW6" s="1797"/>
      <c r="DX6" s="1800"/>
      <c r="DY6" s="1795"/>
      <c r="DZ6" s="1796"/>
      <c r="EA6" s="1797"/>
      <c r="EB6" s="1800"/>
      <c r="EC6" s="1795"/>
      <c r="ED6" s="1796"/>
      <c r="EE6" s="1801"/>
      <c r="EF6" s="506"/>
      <c r="EG6" s="1795"/>
      <c r="EH6" s="1796"/>
      <c r="EI6" s="1802"/>
      <c r="EJ6" s="508"/>
      <c r="EK6" s="1795"/>
      <c r="EL6" s="1796"/>
      <c r="EM6" s="1797"/>
      <c r="EN6" s="1800"/>
      <c r="EO6" s="1795"/>
      <c r="EP6" s="1796"/>
      <c r="EQ6" s="1797"/>
    </row>
    <row r="7" spans="1:147" x14ac:dyDescent="0.2">
      <c r="B7" s="1793" t="s">
        <v>432</v>
      </c>
      <c r="C7" s="1794">
        <v>8</v>
      </c>
      <c r="D7" s="508"/>
      <c r="E7" s="1795"/>
      <c r="F7" s="1796"/>
      <c r="G7" s="1797"/>
      <c r="H7" s="508"/>
      <c r="I7" s="1795"/>
      <c r="J7" s="1796"/>
      <c r="K7" s="1797"/>
      <c r="L7" s="508"/>
      <c r="M7" s="1795"/>
      <c r="N7" s="1796"/>
      <c r="O7" s="1797"/>
      <c r="P7" s="508"/>
      <c r="Q7" s="1795"/>
      <c r="R7" s="1796"/>
      <c r="S7" s="1797"/>
      <c r="T7" s="508"/>
      <c r="U7" s="1795"/>
      <c r="V7" s="1796"/>
      <c r="W7" s="1797"/>
      <c r="X7" s="508"/>
      <c r="Y7" s="1795"/>
      <c r="Z7" s="1796"/>
      <c r="AA7" s="1797"/>
      <c r="AB7" s="508"/>
      <c r="AC7" s="1795"/>
      <c r="AD7" s="1796"/>
      <c r="AE7" s="1797"/>
      <c r="AF7" s="508"/>
      <c r="AG7" s="1795"/>
      <c r="AH7" s="1796"/>
      <c r="AI7" s="1797"/>
      <c r="AJ7" s="508"/>
      <c r="AK7" s="1795"/>
      <c r="AL7" s="1796"/>
      <c r="AM7" s="1797"/>
      <c r="AN7" s="508"/>
      <c r="AO7" s="1795"/>
      <c r="AP7" s="1796"/>
      <c r="AQ7" s="1797"/>
      <c r="AR7" s="508"/>
      <c r="AS7" s="1795"/>
      <c r="AT7" s="1796"/>
      <c r="AU7" s="1797"/>
      <c r="AV7" s="508"/>
      <c r="AW7" s="1795"/>
      <c r="AX7" s="1796"/>
      <c r="AY7" s="1797"/>
      <c r="AZ7" s="508"/>
      <c r="BA7" s="1795"/>
      <c r="BB7" s="1796"/>
      <c r="BC7" s="1797"/>
      <c r="BD7" s="508"/>
      <c r="BE7" s="1795"/>
      <c r="BF7" s="1796"/>
      <c r="BG7" s="1797"/>
      <c r="BH7" s="508"/>
      <c r="BI7" s="1795"/>
      <c r="BJ7" s="1796"/>
      <c r="BK7" s="1797"/>
      <c r="BL7" s="508"/>
      <c r="BM7" s="1795"/>
      <c r="BN7" s="1796"/>
      <c r="BO7" s="1797"/>
      <c r="BP7" s="508"/>
      <c r="BQ7" s="1795"/>
      <c r="BR7" s="1796"/>
      <c r="BS7" s="1797"/>
      <c r="BT7" s="508"/>
      <c r="BU7" s="1795"/>
      <c r="BV7" s="1796"/>
      <c r="BW7" s="1797"/>
      <c r="BX7" s="510">
        <f>'1-CAPEX'!$Z$25/$C$7</f>
        <v>50464.43355098593</v>
      </c>
      <c r="BY7" s="1798">
        <f>'1-CAPEX'!$Z$25/$C$7</f>
        <v>50464.43355098593</v>
      </c>
      <c r="BZ7" s="1798">
        <f>'1-CAPEX'!$Z$25/$C$7</f>
        <v>50464.43355098593</v>
      </c>
      <c r="CA7" s="1799">
        <f>'1-CAPEX'!$Z$25/$C$7</f>
        <v>50464.43355098593</v>
      </c>
      <c r="CB7" s="510">
        <f>'1-CAPEX'!$Z$25/$C$7</f>
        <v>50464.43355098593</v>
      </c>
      <c r="CC7" s="1798">
        <f>'1-CAPEX'!$Z$25/$C$7</f>
        <v>50464.43355098593</v>
      </c>
      <c r="CD7" s="1798">
        <f>'1-CAPEX'!$Z$25/$C$7</f>
        <v>50464.43355098593</v>
      </c>
      <c r="CE7" s="1799">
        <f>'1-CAPEX'!$Z$25/$C$7</f>
        <v>50464.43355098593</v>
      </c>
      <c r="CF7" s="508"/>
      <c r="CG7" s="1795"/>
      <c r="CH7" s="1796"/>
      <c r="CI7" s="1797"/>
      <c r="CJ7" s="508"/>
      <c r="CK7" s="1795"/>
      <c r="CL7" s="1796"/>
      <c r="CM7" s="1797"/>
      <c r="CN7" s="508"/>
      <c r="CO7" s="1795"/>
      <c r="CP7" s="1796"/>
      <c r="CQ7" s="1797"/>
      <c r="CR7" s="508"/>
      <c r="CS7" s="1795"/>
      <c r="CT7" s="1796"/>
      <c r="CU7" s="1797"/>
      <c r="CV7" s="508"/>
      <c r="CW7" s="299"/>
      <c r="CX7" s="300"/>
      <c r="CY7" s="301"/>
      <c r="CZ7" s="322"/>
      <c r="DA7" s="299"/>
      <c r="DB7" s="300"/>
      <c r="DC7" s="301"/>
      <c r="DD7" s="508"/>
      <c r="DE7" s="1795"/>
      <c r="DF7" s="1796"/>
      <c r="DG7" s="1797"/>
      <c r="DH7" s="508"/>
      <c r="DI7" s="1795"/>
      <c r="DJ7" s="1796"/>
      <c r="DK7" s="1797"/>
      <c r="DL7" s="508"/>
      <c r="DM7" s="1795"/>
      <c r="DN7" s="1796"/>
      <c r="DO7" s="1797"/>
      <c r="DP7" s="508"/>
      <c r="DQ7" s="1795"/>
      <c r="DR7" s="1796"/>
      <c r="DS7" s="1797"/>
      <c r="DT7" s="508"/>
      <c r="DU7" s="1795"/>
      <c r="DV7" s="1796"/>
      <c r="DW7" s="1797"/>
      <c r="DX7" s="1800"/>
      <c r="DY7" s="1795"/>
      <c r="DZ7" s="1796"/>
      <c r="EA7" s="1797"/>
      <c r="EB7" s="1800"/>
      <c r="EC7" s="1795"/>
      <c r="ED7" s="1796"/>
      <c r="EE7" s="1801"/>
      <c r="EF7" s="506"/>
      <c r="EG7" s="1795"/>
      <c r="EH7" s="1796"/>
      <c r="EI7" s="1802"/>
      <c r="EJ7" s="508"/>
      <c r="EK7" s="1795"/>
      <c r="EL7" s="1796"/>
      <c r="EM7" s="1797"/>
      <c r="EN7" s="1800"/>
      <c r="EO7" s="1795"/>
      <c r="EP7" s="1796"/>
      <c r="EQ7" s="1797"/>
    </row>
    <row r="8" spans="1:147" x14ac:dyDescent="0.2">
      <c r="B8" s="1803" t="s">
        <v>430</v>
      </c>
      <c r="C8" s="1794">
        <v>8</v>
      </c>
      <c r="D8" s="533"/>
      <c r="E8" s="1804"/>
      <c r="F8" s="1804"/>
      <c r="G8" s="1805"/>
      <c r="H8" s="533"/>
      <c r="I8" s="1804"/>
      <c r="J8" s="1804"/>
      <c r="K8" s="1805"/>
      <c r="L8" s="533"/>
      <c r="M8" s="1804"/>
      <c r="N8" s="1804"/>
      <c r="O8" s="1805"/>
      <c r="P8" s="533"/>
      <c r="Q8" s="1804"/>
      <c r="R8" s="1804"/>
      <c r="S8" s="1805"/>
      <c r="T8" s="533"/>
      <c r="U8" s="1804"/>
      <c r="V8" s="1804"/>
      <c r="W8" s="1805"/>
      <c r="X8" s="533"/>
      <c r="Y8" s="1804"/>
      <c r="Z8" s="1804"/>
      <c r="AA8" s="1805"/>
      <c r="AB8" s="536">
        <f>'1-CAPEX'!$Z$24/$C$8</f>
        <v>50815.767039357517</v>
      </c>
      <c r="AC8" s="1806">
        <f>'1-CAPEX'!$Z$24/$C$8</f>
        <v>50815.767039357517</v>
      </c>
      <c r="AD8" s="1806">
        <f>'1-CAPEX'!$Z$24/$C$8</f>
        <v>50815.767039357517</v>
      </c>
      <c r="AE8" s="1807">
        <f>'1-CAPEX'!$Z$24/$C$8</f>
        <v>50815.767039357517</v>
      </c>
      <c r="AF8" s="536">
        <f>'1-CAPEX'!$Z$24/$C$8</f>
        <v>50815.767039357517</v>
      </c>
      <c r="AG8" s="1806">
        <f>'1-CAPEX'!$Z$24/$C$8</f>
        <v>50815.767039357517</v>
      </c>
      <c r="AH8" s="1806">
        <f>'1-CAPEX'!$Z$24/$C$8</f>
        <v>50815.767039357517</v>
      </c>
      <c r="AI8" s="1807">
        <f>'1-CAPEX'!$Z$24/$C$8</f>
        <v>50815.767039357517</v>
      </c>
      <c r="AJ8" s="533"/>
      <c r="AK8" s="1804"/>
      <c r="AL8" s="1804"/>
      <c r="AM8" s="1805"/>
      <c r="AN8" s="533"/>
      <c r="AO8" s="1804"/>
      <c r="AP8" s="1804"/>
      <c r="AQ8" s="1805"/>
      <c r="AR8" s="533"/>
      <c r="AS8" s="1804"/>
      <c r="AT8" s="1804"/>
      <c r="AU8" s="1805"/>
      <c r="AV8" s="533"/>
      <c r="AW8" s="1804"/>
      <c r="AX8" s="1804"/>
      <c r="AY8" s="1805"/>
      <c r="AZ8" s="533"/>
      <c r="BA8" s="1804"/>
      <c r="BB8" s="1804"/>
      <c r="BC8" s="1805"/>
      <c r="BD8" s="533"/>
      <c r="BE8" s="1804"/>
      <c r="BF8" s="1804"/>
      <c r="BG8" s="1805"/>
      <c r="BH8" s="533"/>
      <c r="BI8" s="1804"/>
      <c r="BJ8" s="1804"/>
      <c r="BK8" s="1805"/>
      <c r="BL8" s="533"/>
      <c r="BM8" s="1804"/>
      <c r="BN8" s="1804"/>
      <c r="BO8" s="1805"/>
      <c r="BP8" s="533"/>
      <c r="BQ8" s="1804"/>
      <c r="BR8" s="1804"/>
      <c r="BS8" s="1805"/>
      <c r="BT8" s="533"/>
      <c r="BU8" s="1804"/>
      <c r="BV8" s="1804"/>
      <c r="BW8" s="1805"/>
      <c r="BX8" s="533"/>
      <c r="BY8" s="1804"/>
      <c r="BZ8" s="1804"/>
      <c r="CA8" s="1805"/>
      <c r="CB8" s="533"/>
      <c r="CC8" s="1804"/>
      <c r="CD8" s="1804"/>
      <c r="CE8" s="1805"/>
      <c r="CF8" s="533"/>
      <c r="CG8" s="1804"/>
      <c r="CH8" s="1804"/>
      <c r="CI8" s="1805"/>
      <c r="CJ8" s="533"/>
      <c r="CK8" s="1804"/>
      <c r="CL8" s="1804"/>
      <c r="CM8" s="1805"/>
      <c r="CN8" s="533"/>
      <c r="CO8" s="1804"/>
      <c r="CP8" s="1804"/>
      <c r="CQ8" s="1805"/>
      <c r="CR8" s="533"/>
      <c r="CS8" s="1804"/>
      <c r="CT8" s="1804"/>
      <c r="CU8" s="1805"/>
      <c r="CV8" s="533"/>
      <c r="CW8" s="1804"/>
      <c r="CX8" s="1804"/>
      <c r="CY8" s="1805"/>
      <c r="CZ8" s="533"/>
      <c r="DA8" s="1804"/>
      <c r="DB8" s="1804"/>
      <c r="DC8" s="1805"/>
      <c r="DD8" s="533"/>
      <c r="DE8" s="1804"/>
      <c r="DF8" s="1804"/>
      <c r="DG8" s="1805"/>
      <c r="DH8" s="533"/>
      <c r="DI8" s="1804"/>
      <c r="DJ8" s="1804"/>
      <c r="DK8" s="1805"/>
      <c r="DL8" s="533"/>
      <c r="DM8" s="1804"/>
      <c r="DN8" s="1804"/>
      <c r="DO8" s="1805"/>
      <c r="DP8" s="533"/>
      <c r="DQ8" s="1804"/>
      <c r="DR8" s="1804"/>
      <c r="DS8" s="1805"/>
      <c r="DT8" s="533"/>
      <c r="DU8" s="1804"/>
      <c r="DV8" s="1804"/>
      <c r="DW8" s="1805"/>
      <c r="DX8" s="1808"/>
      <c r="DY8" s="1804"/>
      <c r="DZ8" s="1804"/>
      <c r="EA8" s="1805"/>
      <c r="EB8" s="1808"/>
      <c r="EC8" s="1804"/>
      <c r="ED8" s="1804"/>
      <c r="EE8" s="1809"/>
      <c r="EF8" s="1667"/>
      <c r="EG8" s="1804"/>
      <c r="EH8" s="1804"/>
      <c r="EI8" s="1810"/>
      <c r="EJ8" s="533"/>
      <c r="EK8" s="1804"/>
      <c r="EL8" s="1804"/>
      <c r="EM8" s="1805"/>
      <c r="EN8" s="1808"/>
      <c r="EO8" s="1804"/>
      <c r="EP8" s="1804"/>
      <c r="EQ8" s="1805"/>
    </row>
    <row r="9" spans="1:147" x14ac:dyDescent="0.2">
      <c r="B9" s="1803" t="s">
        <v>428</v>
      </c>
      <c r="C9" s="1794">
        <v>8</v>
      </c>
      <c r="D9" s="535">
        <f>'1-CAPEX'!$Z$23/$C$9</f>
        <v>57230.761195796651</v>
      </c>
      <c r="E9" s="1811">
        <f>'1-CAPEX'!$Z$23/$C$9</f>
        <v>57230.761195796651</v>
      </c>
      <c r="F9" s="1811">
        <f>'1-CAPEX'!$Z$23/$C$9</f>
        <v>57230.761195796651</v>
      </c>
      <c r="G9" s="1812">
        <f>'1-CAPEX'!$Z$23/$C$9</f>
        <v>57230.761195796651</v>
      </c>
      <c r="H9" s="535">
        <f>'1-CAPEX'!$Z$23/$C$9</f>
        <v>57230.761195796651</v>
      </c>
      <c r="I9" s="1811">
        <f>'1-CAPEX'!$Z$23/$C$9</f>
        <v>57230.761195796651</v>
      </c>
      <c r="J9" s="1811">
        <f>'1-CAPEX'!$Z$23/$C$9</f>
        <v>57230.761195796651</v>
      </c>
      <c r="K9" s="1812">
        <f>'1-CAPEX'!$Z$23/$C$9</f>
        <v>57230.761195796651</v>
      </c>
      <c r="L9" s="508"/>
      <c r="M9" s="1795"/>
      <c r="N9" s="1796"/>
      <c r="O9" s="1797"/>
      <c r="P9" s="508"/>
      <c r="Q9" s="1795"/>
      <c r="R9" s="1796"/>
      <c r="S9" s="1797"/>
      <c r="T9" s="508"/>
      <c r="U9" s="1795"/>
      <c r="V9" s="1796"/>
      <c r="W9" s="1797"/>
      <c r="X9" s="508"/>
      <c r="Y9" s="1795"/>
      <c r="Z9" s="1796"/>
      <c r="AA9" s="1797"/>
      <c r="AB9" s="508"/>
      <c r="AC9" s="1795"/>
      <c r="AD9" s="1796"/>
      <c r="AE9" s="1797"/>
      <c r="AF9" s="508"/>
      <c r="AG9" s="1795"/>
      <c r="AH9" s="1796"/>
      <c r="AI9" s="1797"/>
      <c r="AJ9" s="508"/>
      <c r="AK9" s="1795"/>
      <c r="AL9" s="1796"/>
      <c r="AM9" s="1797"/>
      <c r="AN9" s="508"/>
      <c r="AO9" s="1795"/>
      <c r="AP9" s="1796"/>
      <c r="AQ9" s="1797"/>
      <c r="AR9" s="508"/>
      <c r="AS9" s="1795"/>
      <c r="AT9" s="1796"/>
      <c r="AU9" s="1797"/>
      <c r="AV9" s="508"/>
      <c r="AW9" s="1795"/>
      <c r="AX9" s="1796"/>
      <c r="AY9" s="1797"/>
      <c r="AZ9" s="508"/>
      <c r="BA9" s="1795"/>
      <c r="BB9" s="1796"/>
      <c r="BC9" s="1797"/>
      <c r="BD9" s="508"/>
      <c r="BE9" s="1795"/>
      <c r="BF9" s="1796"/>
      <c r="BG9" s="1797"/>
      <c r="BH9" s="508"/>
      <c r="BI9" s="1795"/>
      <c r="BJ9" s="1796"/>
      <c r="BK9" s="1797"/>
      <c r="BL9" s="508"/>
      <c r="BM9" s="1795"/>
      <c r="BN9" s="1796"/>
      <c r="BO9" s="1797"/>
      <c r="BP9" s="508"/>
      <c r="BQ9" s="1795"/>
      <c r="BR9" s="1796"/>
      <c r="BS9" s="1797"/>
      <c r="BT9" s="508"/>
      <c r="BU9" s="1795"/>
      <c r="BV9" s="1796"/>
      <c r="BW9" s="1797"/>
      <c r="BX9" s="508"/>
      <c r="BY9" s="1795"/>
      <c r="BZ9" s="1796"/>
      <c r="CA9" s="1797"/>
      <c r="CB9" s="508"/>
      <c r="CC9" s="1795"/>
      <c r="CD9" s="1796"/>
      <c r="CE9" s="1797"/>
      <c r="CF9" s="508"/>
      <c r="CG9" s="1795"/>
      <c r="CH9" s="1796"/>
      <c r="CI9" s="1797"/>
      <c r="CJ9" s="508"/>
      <c r="CK9" s="1795"/>
      <c r="CL9" s="1796"/>
      <c r="CM9" s="1797"/>
      <c r="CN9" s="508"/>
      <c r="CO9" s="1795"/>
      <c r="CP9" s="1796"/>
      <c r="CQ9" s="1797"/>
      <c r="CR9" s="508"/>
      <c r="CS9" s="1795"/>
      <c r="CT9" s="1796"/>
      <c r="CU9" s="1797"/>
      <c r="CV9" s="508"/>
      <c r="CW9" s="1795"/>
      <c r="CX9" s="1796"/>
      <c r="CY9" s="1797"/>
      <c r="CZ9" s="508"/>
      <c r="DA9" s="1795"/>
      <c r="DB9" s="1796"/>
      <c r="DC9" s="1797"/>
      <c r="DD9" s="508"/>
      <c r="DE9" s="1795"/>
      <c r="DF9" s="1796"/>
      <c r="DG9" s="1797"/>
      <c r="DH9" s="508"/>
      <c r="DI9" s="1795"/>
      <c r="DJ9" s="1796"/>
      <c r="DK9" s="1797"/>
      <c r="DL9" s="508"/>
      <c r="DM9" s="1795"/>
      <c r="DN9" s="1796"/>
      <c r="DO9" s="1797"/>
      <c r="DP9" s="508"/>
      <c r="DQ9" s="1795"/>
      <c r="DR9" s="1796"/>
      <c r="DS9" s="1797"/>
      <c r="DT9" s="508"/>
      <c r="DU9" s="1795"/>
      <c r="DV9" s="1796"/>
      <c r="DW9" s="1797"/>
      <c r="DX9" s="1800"/>
      <c r="DY9" s="1795"/>
      <c r="DZ9" s="1796"/>
      <c r="EA9" s="1797"/>
      <c r="EB9" s="1800"/>
      <c r="EC9" s="1795"/>
      <c r="ED9" s="1796"/>
      <c r="EE9" s="1801"/>
      <c r="EF9" s="506"/>
      <c r="EG9" s="1795"/>
      <c r="EH9" s="1796"/>
      <c r="EI9" s="1802"/>
      <c r="EJ9" s="508"/>
      <c r="EK9" s="1795"/>
      <c r="EL9" s="1796"/>
      <c r="EM9" s="1797"/>
      <c r="EN9" s="1800"/>
      <c r="EO9" s="1795"/>
      <c r="EP9" s="1796"/>
      <c r="EQ9" s="1797"/>
    </row>
    <row r="10" spans="1:147" x14ac:dyDescent="0.2">
      <c r="B10" s="1803" t="s">
        <v>431</v>
      </c>
      <c r="C10" s="1794">
        <v>36</v>
      </c>
      <c r="D10" s="508"/>
      <c r="E10" s="1795"/>
      <c r="F10" s="1796"/>
      <c r="G10" s="1797"/>
      <c r="H10" s="508"/>
      <c r="I10" s="1795"/>
      <c r="J10" s="1796"/>
      <c r="K10" s="1797"/>
      <c r="L10" s="508"/>
      <c r="M10" s="1795"/>
      <c r="N10" s="1796"/>
      <c r="O10" s="1797"/>
      <c r="P10" s="508"/>
      <c r="Q10" s="1795"/>
      <c r="R10" s="1796"/>
      <c r="S10" s="1797"/>
      <c r="T10" s="508"/>
      <c r="U10" s="1795"/>
      <c r="V10" s="1796"/>
      <c r="W10" s="1797"/>
      <c r="X10" s="508"/>
      <c r="Y10" s="1795"/>
      <c r="Z10" s="1796"/>
      <c r="AA10" s="1797"/>
      <c r="AB10" s="508"/>
      <c r="AC10" s="1795"/>
      <c r="AD10" s="1796"/>
      <c r="AE10" s="1797"/>
      <c r="AF10" s="508"/>
      <c r="AG10" s="1795"/>
      <c r="AH10" s="1796"/>
      <c r="AI10" s="1797"/>
      <c r="AJ10" s="508"/>
      <c r="AK10" s="1795"/>
      <c r="AL10" s="1796"/>
      <c r="AM10" s="1797"/>
      <c r="AN10" s="508"/>
      <c r="AO10" s="1795"/>
      <c r="AP10" s="1796"/>
      <c r="AQ10" s="1797"/>
      <c r="AR10" s="508"/>
      <c r="AS10" s="1795"/>
      <c r="AT10" s="1796"/>
      <c r="AU10" s="1797"/>
      <c r="AV10" s="508"/>
      <c r="AW10" s="1795"/>
      <c r="AX10" s="1796"/>
      <c r="AY10" s="1797"/>
      <c r="AZ10" s="508"/>
      <c r="BA10" s="1795"/>
      <c r="BB10" s="1796"/>
      <c r="BC10" s="1797"/>
      <c r="BD10" s="508"/>
      <c r="BE10" s="1795"/>
      <c r="BF10" s="1796"/>
      <c r="BG10" s="1797"/>
      <c r="BH10" s="508"/>
      <c r="BI10" s="1795"/>
      <c r="BJ10" s="1796"/>
      <c r="BK10" s="1797"/>
      <c r="BL10" s="508"/>
      <c r="BM10" s="1795"/>
      <c r="BN10" s="1796"/>
      <c r="BO10" s="1797"/>
      <c r="BP10" s="508"/>
      <c r="BQ10" s="1795"/>
      <c r="BR10" s="1796"/>
      <c r="BS10" s="1797"/>
      <c r="BT10" s="508"/>
      <c r="BU10" s="1795"/>
      <c r="BV10" s="1796"/>
      <c r="BW10" s="1797"/>
      <c r="BX10" s="508"/>
      <c r="BY10" s="1795"/>
      <c r="BZ10" s="1796"/>
      <c r="CA10" s="1797"/>
      <c r="CB10" s="508"/>
      <c r="CC10" s="1795"/>
      <c r="CD10" s="1796"/>
      <c r="CE10" s="1797"/>
      <c r="CF10" s="508"/>
      <c r="CG10" s="1795"/>
      <c r="CH10" s="1796"/>
      <c r="CI10" s="1797"/>
      <c r="CJ10" s="508"/>
      <c r="CK10" s="1795"/>
      <c r="CL10" s="1796"/>
      <c r="CM10" s="1797"/>
      <c r="CN10" s="510">
        <f>'1-CAPEX'!$Z$31/'1-CAPEX PLANNING'!$C$10</f>
        <v>7679.1730542419764</v>
      </c>
      <c r="CO10" s="1798">
        <f>'1-CAPEX'!$Z$31/'1-CAPEX PLANNING'!$C$10</f>
        <v>7679.1730542419764</v>
      </c>
      <c r="CP10" s="1798">
        <f>'1-CAPEX'!$Z$31/'1-CAPEX PLANNING'!$C$10</f>
        <v>7679.1730542419764</v>
      </c>
      <c r="CQ10" s="1799">
        <f>'1-CAPEX'!$Z$31/'1-CAPEX PLANNING'!$C$10</f>
        <v>7679.1730542419764</v>
      </c>
      <c r="CR10" s="510">
        <f>'1-CAPEX'!$Z$31/'1-CAPEX PLANNING'!$C$10</f>
        <v>7679.1730542419764</v>
      </c>
      <c r="CS10" s="1798">
        <f>'1-CAPEX'!$Z$31/'1-CAPEX PLANNING'!$C$10</f>
        <v>7679.1730542419764</v>
      </c>
      <c r="CT10" s="1798">
        <f>'1-CAPEX'!$Z$31/'1-CAPEX PLANNING'!$C$10</f>
        <v>7679.1730542419764</v>
      </c>
      <c r="CU10" s="1799">
        <f>'1-CAPEX'!$Z$31/'1-CAPEX PLANNING'!$C$10</f>
        <v>7679.1730542419764</v>
      </c>
      <c r="CV10" s="510">
        <f>'1-CAPEX'!$Z$31/'1-CAPEX PLANNING'!$C$10</f>
        <v>7679.1730542419764</v>
      </c>
      <c r="CW10" s="1798">
        <f>'1-CAPEX'!$Z$31/'1-CAPEX PLANNING'!$C$10</f>
        <v>7679.1730542419764</v>
      </c>
      <c r="CX10" s="1798">
        <f>'1-CAPEX'!$Z$31/'1-CAPEX PLANNING'!$C$10</f>
        <v>7679.1730542419764</v>
      </c>
      <c r="CY10" s="1799">
        <f>'1-CAPEX'!$Z$31/'1-CAPEX PLANNING'!$C$10</f>
        <v>7679.1730542419764</v>
      </c>
      <c r="CZ10" s="510">
        <f>'1-CAPEX'!$Z$31/'1-CAPEX PLANNING'!$C$10</f>
        <v>7679.1730542419764</v>
      </c>
      <c r="DA10" s="1798">
        <f>'1-CAPEX'!$Z$31/'1-CAPEX PLANNING'!$C$10</f>
        <v>7679.1730542419764</v>
      </c>
      <c r="DB10" s="1798">
        <f>'1-CAPEX'!$Z$31/'1-CAPEX PLANNING'!$C$10</f>
        <v>7679.1730542419764</v>
      </c>
      <c r="DC10" s="1799">
        <f>'1-CAPEX'!$Z$31/'1-CAPEX PLANNING'!$C$10</f>
        <v>7679.1730542419764</v>
      </c>
      <c r="DD10" s="510">
        <f>'1-CAPEX'!$Z$31/'1-CAPEX PLANNING'!$C$10</f>
        <v>7679.1730542419764</v>
      </c>
      <c r="DE10" s="1798">
        <f>'1-CAPEX'!$Z$31/'1-CAPEX PLANNING'!$C$10</f>
        <v>7679.1730542419764</v>
      </c>
      <c r="DF10" s="1798">
        <f>'1-CAPEX'!$Z$31/'1-CAPEX PLANNING'!$C$10</f>
        <v>7679.1730542419764</v>
      </c>
      <c r="DG10" s="1799">
        <f>'1-CAPEX'!$Z$31/'1-CAPEX PLANNING'!$C$10</f>
        <v>7679.1730542419764</v>
      </c>
      <c r="DH10" s="510">
        <f>'1-CAPEX'!$Z$31/'1-CAPEX PLANNING'!$C$10</f>
        <v>7679.1730542419764</v>
      </c>
      <c r="DI10" s="1798">
        <f>'1-CAPEX'!$Z$31/'1-CAPEX PLANNING'!$C$10</f>
        <v>7679.1730542419764</v>
      </c>
      <c r="DJ10" s="1798">
        <f>'1-CAPEX'!$Z$31/'1-CAPEX PLANNING'!$C$10</f>
        <v>7679.1730542419764</v>
      </c>
      <c r="DK10" s="1799">
        <f>'1-CAPEX'!$Z$31/'1-CAPEX PLANNING'!$C$10</f>
        <v>7679.1730542419764</v>
      </c>
      <c r="DL10" s="510">
        <f>'1-CAPEX'!$Z$31/'1-CAPEX PLANNING'!$C$10</f>
        <v>7679.1730542419764</v>
      </c>
      <c r="DM10" s="1798">
        <f>'1-CAPEX'!$Z$31/'1-CAPEX PLANNING'!$C$10</f>
        <v>7679.1730542419764</v>
      </c>
      <c r="DN10" s="1798">
        <f>'1-CAPEX'!$Z$31/'1-CAPEX PLANNING'!$C$10</f>
        <v>7679.1730542419764</v>
      </c>
      <c r="DO10" s="1799">
        <f>'1-CAPEX'!$Z$31/'1-CAPEX PLANNING'!$C$10</f>
        <v>7679.1730542419764</v>
      </c>
      <c r="DP10" s="510">
        <f>'1-CAPEX'!$Z$31/'1-CAPEX PLANNING'!$C$10</f>
        <v>7679.1730542419764</v>
      </c>
      <c r="DQ10" s="1798">
        <f>'1-CAPEX'!$Z$31/'1-CAPEX PLANNING'!$C$10</f>
        <v>7679.1730542419764</v>
      </c>
      <c r="DR10" s="1798">
        <f>'1-CAPEX'!$Z$31/'1-CAPEX PLANNING'!$C$10</f>
        <v>7679.1730542419764</v>
      </c>
      <c r="DS10" s="1799">
        <f>'1-CAPEX'!$Z$31/'1-CAPEX PLANNING'!$C$10</f>
        <v>7679.1730542419764</v>
      </c>
      <c r="DT10" s="510">
        <f>'1-CAPEX'!$Z$31/'1-CAPEX PLANNING'!$C$10</f>
        <v>7679.1730542419764</v>
      </c>
      <c r="DU10" s="1798">
        <f>'1-CAPEX'!$Z$31/'1-CAPEX PLANNING'!$C$10</f>
        <v>7679.1730542419764</v>
      </c>
      <c r="DV10" s="1798">
        <f>'1-CAPEX'!$Z$31/'1-CAPEX PLANNING'!$C$10</f>
        <v>7679.1730542419764</v>
      </c>
      <c r="DW10" s="1799">
        <f>'1-CAPEX'!$Z$31/'1-CAPEX PLANNING'!$C$10</f>
        <v>7679.1730542419764</v>
      </c>
      <c r="DX10" s="1800"/>
      <c r="DY10" s="1795"/>
      <c r="DZ10" s="1796"/>
      <c r="EA10" s="1797"/>
      <c r="EB10" s="1800"/>
      <c r="EC10" s="1795"/>
      <c r="ED10" s="1796"/>
      <c r="EE10" s="1801"/>
      <c r="EF10" s="506"/>
      <c r="EG10" s="1795"/>
      <c r="EH10" s="1796"/>
      <c r="EI10" s="1802"/>
      <c r="EJ10" s="508"/>
      <c r="EK10" s="1795"/>
      <c r="EL10" s="1796"/>
      <c r="EM10" s="1797"/>
      <c r="EN10" s="1800"/>
      <c r="EO10" s="1795"/>
      <c r="EP10" s="1796"/>
      <c r="EQ10" s="1797"/>
    </row>
    <row r="11" spans="1:147" x14ac:dyDescent="0.2">
      <c r="B11" s="1803" t="s">
        <v>662</v>
      </c>
      <c r="C11" s="1794">
        <v>12</v>
      </c>
      <c r="D11" s="508"/>
      <c r="E11" s="1795"/>
      <c r="F11" s="1796"/>
      <c r="G11" s="1797"/>
      <c r="H11" s="508"/>
      <c r="I11" s="1795"/>
      <c r="J11" s="1796"/>
      <c r="K11" s="1797"/>
      <c r="L11" s="508"/>
      <c r="M11" s="1795"/>
      <c r="N11" s="1796"/>
      <c r="O11" s="1797"/>
      <c r="P11" s="508"/>
      <c r="Q11" s="1795"/>
      <c r="R11" s="1796"/>
      <c r="S11" s="1797"/>
      <c r="T11" s="508"/>
      <c r="U11" s="1795"/>
      <c r="V11" s="1796"/>
      <c r="W11" s="1797"/>
      <c r="X11" s="508"/>
      <c r="Y11" s="1795"/>
      <c r="Z11" s="1796"/>
      <c r="AA11" s="1797"/>
      <c r="AB11" s="508"/>
      <c r="AC11" s="1795"/>
      <c r="AD11" s="1796"/>
      <c r="AE11" s="1797"/>
      <c r="AF11" s="508"/>
      <c r="AG11" s="1795"/>
      <c r="AH11" s="1796"/>
      <c r="AI11" s="1797"/>
      <c r="AJ11" s="508"/>
      <c r="AK11" s="1795"/>
      <c r="AL11" s="1796"/>
      <c r="AM11" s="1797"/>
      <c r="AN11" s="508"/>
      <c r="AO11" s="1795"/>
      <c r="AP11" s="1796"/>
      <c r="AQ11" s="1797"/>
      <c r="AR11" s="508"/>
      <c r="AS11" s="1795"/>
      <c r="AT11" s="1796"/>
      <c r="AU11" s="1797"/>
      <c r="AV11" s="508"/>
      <c r="AW11" s="1795"/>
      <c r="AX11" s="1796"/>
      <c r="AY11" s="1797"/>
      <c r="AZ11" s="539">
        <f>'1-CAPEX'!$Z$32/'1-CAPEX PLANNING'!$C$11</f>
        <v>26388.46652733002</v>
      </c>
      <c r="BA11" s="1813">
        <f>'1-CAPEX'!$Z$32/'1-CAPEX PLANNING'!$C$11</f>
        <v>26388.46652733002</v>
      </c>
      <c r="BB11" s="1813">
        <f>'1-CAPEX'!$Z$32/'1-CAPEX PLANNING'!$C$11</f>
        <v>26388.46652733002</v>
      </c>
      <c r="BC11" s="1814">
        <f>'1-CAPEX'!$Z$32/'1-CAPEX PLANNING'!$C$11</f>
        <v>26388.46652733002</v>
      </c>
      <c r="BD11" s="539">
        <f>'1-CAPEX'!$Z$32/'1-CAPEX PLANNING'!$C$11</f>
        <v>26388.46652733002</v>
      </c>
      <c r="BE11" s="1813">
        <f>'1-CAPEX'!$Z$32/'1-CAPEX PLANNING'!$C$11</f>
        <v>26388.46652733002</v>
      </c>
      <c r="BF11" s="1813">
        <f>'1-CAPEX'!$Z$32/'1-CAPEX PLANNING'!$C$11</f>
        <v>26388.46652733002</v>
      </c>
      <c r="BG11" s="1814">
        <f>'1-CAPEX'!$Z$32/'1-CAPEX PLANNING'!$C$11</f>
        <v>26388.46652733002</v>
      </c>
      <c r="BH11" s="539">
        <f>'1-CAPEX'!$Z$32/'1-CAPEX PLANNING'!$C$11</f>
        <v>26388.46652733002</v>
      </c>
      <c r="BI11" s="1813">
        <f>'1-CAPEX'!$Z$32/'1-CAPEX PLANNING'!$C$11</f>
        <v>26388.46652733002</v>
      </c>
      <c r="BJ11" s="1813">
        <f>'1-CAPEX'!$Z$32/'1-CAPEX PLANNING'!$C$11</f>
        <v>26388.46652733002</v>
      </c>
      <c r="BK11" s="1814">
        <f>'1-CAPEX'!$Z$32/'1-CAPEX PLANNING'!$C$11</f>
        <v>26388.46652733002</v>
      </c>
      <c r="BL11" s="508"/>
      <c r="BM11" s="1795"/>
      <c r="BN11" s="1796"/>
      <c r="BO11" s="1797"/>
      <c r="BP11" s="508"/>
      <c r="BQ11" s="1795"/>
      <c r="BR11" s="1796"/>
      <c r="BS11" s="1797"/>
      <c r="BT11" s="508"/>
      <c r="BU11" s="1795"/>
      <c r="BV11" s="1796"/>
      <c r="BW11" s="1797"/>
      <c r="BX11" s="508"/>
      <c r="BY11" s="1795"/>
      <c r="BZ11" s="1796"/>
      <c r="CA11" s="1797"/>
      <c r="CB11" s="508"/>
      <c r="CC11" s="1795"/>
      <c r="CD11" s="1796"/>
      <c r="CE11" s="1797"/>
      <c r="CF11" s="508"/>
      <c r="CG11" s="1795"/>
      <c r="CH11" s="1796"/>
      <c r="CI11" s="1797"/>
      <c r="CJ11" s="508"/>
      <c r="CK11" s="1795"/>
      <c r="CL11" s="1796"/>
      <c r="CM11" s="1797"/>
      <c r="CN11" s="508"/>
      <c r="CO11" s="1795"/>
      <c r="CP11" s="1796"/>
      <c r="CQ11" s="1797"/>
      <c r="CR11" s="508"/>
      <c r="CS11" s="1795"/>
      <c r="CT11" s="1796"/>
      <c r="CU11" s="1797"/>
      <c r="CV11" s="508"/>
      <c r="CW11" s="1795"/>
      <c r="CX11" s="1796"/>
      <c r="CY11" s="1797"/>
      <c r="CZ11" s="508"/>
      <c r="DA11" s="1795"/>
      <c r="DB11" s="1796"/>
      <c r="DC11" s="1797"/>
      <c r="DD11" s="508"/>
      <c r="DE11" s="1795"/>
      <c r="DF11" s="1796"/>
      <c r="DG11" s="1797"/>
      <c r="DH11" s="508"/>
      <c r="DI11" s="1795"/>
      <c r="DJ11" s="1796"/>
      <c r="DK11" s="1797"/>
      <c r="DL11" s="508"/>
      <c r="DM11" s="1795"/>
      <c r="DN11" s="1796"/>
      <c r="DO11" s="1797"/>
      <c r="DP11" s="508"/>
      <c r="DQ11" s="1795"/>
      <c r="DR11" s="1796"/>
      <c r="DS11" s="1797"/>
      <c r="DT11" s="508"/>
      <c r="DU11" s="1795"/>
      <c r="DV11" s="1796"/>
      <c r="DW11" s="1797"/>
      <c r="DX11" s="1800"/>
      <c r="DY11" s="1795"/>
      <c r="DZ11" s="1796"/>
      <c r="EA11" s="1797"/>
      <c r="EB11" s="1800"/>
      <c r="EC11" s="1795"/>
      <c r="ED11" s="1796"/>
      <c r="EE11" s="1801"/>
      <c r="EF11" s="506"/>
      <c r="EG11" s="1795"/>
      <c r="EH11" s="1796"/>
      <c r="EI11" s="1802"/>
      <c r="EJ11" s="508"/>
      <c r="EK11" s="1795"/>
      <c r="EL11" s="1796"/>
      <c r="EM11" s="1797"/>
      <c r="EN11" s="1800"/>
      <c r="EO11" s="1795"/>
      <c r="EP11" s="1796"/>
      <c r="EQ11" s="1797"/>
    </row>
    <row r="12" spans="1:147" x14ac:dyDescent="0.2">
      <c r="B12" s="1815" t="s">
        <v>663</v>
      </c>
      <c r="C12" s="1794">
        <v>12</v>
      </c>
      <c r="D12" s="508"/>
      <c r="E12" s="1795"/>
      <c r="F12" s="1796"/>
      <c r="G12" s="1797"/>
      <c r="H12" s="508"/>
      <c r="I12" s="1795"/>
      <c r="J12" s="1796"/>
      <c r="K12" s="1797"/>
      <c r="L12" s="508"/>
      <c r="M12" s="1795"/>
      <c r="N12" s="1796"/>
      <c r="O12" s="1797"/>
      <c r="P12" s="508"/>
      <c r="Q12" s="1795"/>
      <c r="R12" s="1796"/>
      <c r="S12" s="1797"/>
      <c r="T12" s="508"/>
      <c r="U12" s="1795"/>
      <c r="V12" s="1796"/>
      <c r="W12" s="1797"/>
      <c r="X12" s="508"/>
      <c r="Y12" s="1795"/>
      <c r="Z12" s="1796"/>
      <c r="AA12" s="1797"/>
      <c r="AB12" s="508"/>
      <c r="AC12" s="1795"/>
      <c r="AD12" s="1796"/>
      <c r="AE12" s="1797"/>
      <c r="AF12" s="508"/>
      <c r="AG12" s="1795"/>
      <c r="AH12" s="1796"/>
      <c r="AI12" s="1797"/>
      <c r="AJ12" s="508"/>
      <c r="AK12" s="1795"/>
      <c r="AL12" s="1796"/>
      <c r="AM12" s="1797"/>
      <c r="AN12" s="508"/>
      <c r="AO12" s="1795"/>
      <c r="AP12" s="1796"/>
      <c r="AQ12" s="1797"/>
      <c r="AR12" s="508"/>
      <c r="AS12" s="1795"/>
      <c r="AT12" s="1796"/>
      <c r="AU12" s="1797"/>
      <c r="AV12" s="508"/>
      <c r="AW12" s="1795"/>
      <c r="AX12" s="1796"/>
      <c r="AY12" s="1797"/>
      <c r="AZ12" s="539">
        <f>'1-CAPEX'!$Z$30/'1-CAPEX PLANNING'!$C$12</f>
        <v>22840.597443460545</v>
      </c>
      <c r="BA12" s="1813">
        <f>'1-CAPEX'!$Z$30/'1-CAPEX PLANNING'!$C$12</f>
        <v>22840.597443460545</v>
      </c>
      <c r="BB12" s="1813">
        <f>'1-CAPEX'!$Z$30/'1-CAPEX PLANNING'!$C$12</f>
        <v>22840.597443460545</v>
      </c>
      <c r="BC12" s="1814">
        <f>'1-CAPEX'!$Z$30/'1-CAPEX PLANNING'!$C$12</f>
        <v>22840.597443460545</v>
      </c>
      <c r="BD12" s="539">
        <f>'1-CAPEX'!$Z$30/'1-CAPEX PLANNING'!$C$12</f>
        <v>22840.597443460545</v>
      </c>
      <c r="BE12" s="1813">
        <f>'1-CAPEX'!$Z$30/'1-CAPEX PLANNING'!$C$12</f>
        <v>22840.597443460545</v>
      </c>
      <c r="BF12" s="1813">
        <f>'1-CAPEX'!$Z$30/'1-CAPEX PLANNING'!$C$12</f>
        <v>22840.597443460545</v>
      </c>
      <c r="BG12" s="1814">
        <f>'1-CAPEX'!$Z$30/'1-CAPEX PLANNING'!$C$12</f>
        <v>22840.597443460545</v>
      </c>
      <c r="BH12" s="539">
        <f>'1-CAPEX'!$Z$30/'1-CAPEX PLANNING'!$C$12</f>
        <v>22840.597443460545</v>
      </c>
      <c r="BI12" s="1813">
        <f>'1-CAPEX'!$Z$30/'1-CAPEX PLANNING'!$C$12</f>
        <v>22840.597443460545</v>
      </c>
      <c r="BJ12" s="1813">
        <f>'1-CAPEX'!$Z$30/'1-CAPEX PLANNING'!$C$12</f>
        <v>22840.597443460545</v>
      </c>
      <c r="BK12" s="1814">
        <f>'1-CAPEX'!$Z$30/'1-CAPEX PLANNING'!$C$12</f>
        <v>22840.597443460545</v>
      </c>
      <c r="BL12" s="508"/>
      <c r="BM12" s="1795"/>
      <c r="BN12" s="1796"/>
      <c r="BO12" s="1797"/>
      <c r="BP12" s="508"/>
      <c r="BQ12" s="1795"/>
      <c r="BR12" s="1796"/>
      <c r="BS12" s="1797"/>
      <c r="BT12" s="508"/>
      <c r="BU12" s="1795"/>
      <c r="BV12" s="1796"/>
      <c r="BW12" s="1797"/>
      <c r="BX12" s="508"/>
      <c r="BY12" s="1795"/>
      <c r="BZ12" s="1796"/>
      <c r="CA12" s="1797"/>
      <c r="CB12" s="508"/>
      <c r="CC12" s="1795"/>
      <c r="CD12" s="1796"/>
      <c r="CE12" s="1797"/>
      <c r="CF12" s="508"/>
      <c r="CG12" s="1795"/>
      <c r="CH12" s="1796"/>
      <c r="CI12" s="1797"/>
      <c r="CJ12" s="508"/>
      <c r="CK12" s="1795"/>
      <c r="CL12" s="1796"/>
      <c r="CM12" s="1797"/>
      <c r="CN12" s="508"/>
      <c r="CO12" s="1795"/>
      <c r="CP12" s="1796"/>
      <c r="CQ12" s="1797"/>
      <c r="CR12" s="508"/>
      <c r="CS12" s="1795"/>
      <c r="CT12" s="1796"/>
      <c r="CU12" s="1797"/>
      <c r="CV12" s="508"/>
      <c r="CW12" s="1795"/>
      <c r="CX12" s="1796"/>
      <c r="CY12" s="1797"/>
      <c r="CZ12" s="508"/>
      <c r="DA12" s="1795"/>
      <c r="DB12" s="1796"/>
      <c r="DC12" s="1797"/>
      <c r="DD12" s="508"/>
      <c r="DE12" s="1795"/>
      <c r="DF12" s="1796"/>
      <c r="DG12" s="1797"/>
      <c r="DH12" s="508"/>
      <c r="DI12" s="1795"/>
      <c r="DJ12" s="1796"/>
      <c r="DK12" s="1797"/>
      <c r="DL12" s="508"/>
      <c r="DM12" s="1795"/>
      <c r="DN12" s="1796"/>
      <c r="DO12" s="1797"/>
      <c r="DP12" s="508"/>
      <c r="DQ12" s="1795"/>
      <c r="DR12" s="1796"/>
      <c r="DS12" s="1797"/>
      <c r="DT12" s="508"/>
      <c r="DU12" s="1795"/>
      <c r="DV12" s="1796"/>
      <c r="DW12" s="1797"/>
      <c r="DX12" s="1800"/>
      <c r="DY12" s="1795"/>
      <c r="DZ12" s="1796"/>
      <c r="EA12" s="1797"/>
      <c r="EB12" s="1800"/>
      <c r="EC12" s="1795"/>
      <c r="ED12" s="1796"/>
      <c r="EE12" s="1801"/>
      <c r="EF12" s="506"/>
      <c r="EG12" s="1795"/>
      <c r="EH12" s="1796"/>
      <c r="EI12" s="1802"/>
      <c r="EJ12" s="508"/>
      <c r="EK12" s="1795"/>
      <c r="EL12" s="1796"/>
      <c r="EM12" s="1797"/>
      <c r="EN12" s="1800"/>
      <c r="EO12" s="1795"/>
      <c r="EP12" s="1796"/>
      <c r="EQ12" s="1797"/>
    </row>
    <row r="13" spans="1:147" x14ac:dyDescent="0.2">
      <c r="B13" s="1815" t="s">
        <v>664</v>
      </c>
      <c r="C13" s="1794">
        <v>36</v>
      </c>
      <c r="D13" s="508"/>
      <c r="E13" s="1795"/>
      <c r="F13" s="1796"/>
      <c r="G13" s="1797"/>
      <c r="H13" s="508"/>
      <c r="I13" s="1795"/>
      <c r="J13" s="1796"/>
      <c r="K13" s="1797"/>
      <c r="L13" s="508"/>
      <c r="M13" s="1795"/>
      <c r="N13" s="1796"/>
      <c r="O13" s="1797"/>
      <c r="P13" s="508"/>
      <c r="Q13" s="1795"/>
      <c r="R13" s="1796"/>
      <c r="S13" s="1797"/>
      <c r="T13" s="508"/>
      <c r="U13" s="1795"/>
      <c r="V13" s="1796"/>
      <c r="W13" s="1797"/>
      <c r="X13" s="508"/>
      <c r="Y13" s="1795"/>
      <c r="Z13" s="1796"/>
      <c r="AA13" s="1797"/>
      <c r="AB13" s="508"/>
      <c r="AC13" s="1795"/>
      <c r="AD13" s="1796"/>
      <c r="AE13" s="1797"/>
      <c r="AF13" s="508"/>
      <c r="AG13" s="1795"/>
      <c r="AH13" s="1796"/>
      <c r="AI13" s="1797"/>
      <c r="AJ13" s="508"/>
      <c r="AK13" s="1795"/>
      <c r="AL13" s="1796"/>
      <c r="AM13" s="1797"/>
      <c r="AN13" s="508"/>
      <c r="AO13" s="1795"/>
      <c r="AP13" s="1796"/>
      <c r="AQ13" s="1797"/>
      <c r="AR13" s="508"/>
      <c r="AS13" s="1795"/>
      <c r="AT13" s="1796"/>
      <c r="AU13" s="1797"/>
      <c r="AV13" s="508"/>
      <c r="AW13" s="1795"/>
      <c r="AX13" s="1796"/>
      <c r="AY13" s="1797"/>
      <c r="AZ13" s="508"/>
      <c r="BA13" s="1795"/>
      <c r="BB13" s="1796"/>
      <c r="BC13" s="1797"/>
      <c r="BD13" s="508"/>
      <c r="BE13" s="1795"/>
      <c r="BF13" s="1796"/>
      <c r="BG13" s="1797"/>
      <c r="BH13" s="508"/>
      <c r="BI13" s="1795"/>
      <c r="BJ13" s="1796"/>
      <c r="BK13" s="1797"/>
      <c r="BL13" s="535">
        <f>'1-CAPEX'!$Z$28/'1-CAPEX PLANNING'!$C$13</f>
        <v>11863.413514112679</v>
      </c>
      <c r="BM13" s="1811">
        <f>'1-CAPEX'!$Z$28/'1-CAPEX PLANNING'!$C$13</f>
        <v>11863.413514112679</v>
      </c>
      <c r="BN13" s="1811">
        <f>'1-CAPEX'!$Z$28/'1-CAPEX PLANNING'!$C$13</f>
        <v>11863.413514112679</v>
      </c>
      <c r="BO13" s="1812">
        <f>'1-CAPEX'!$Z$28/'1-CAPEX PLANNING'!$C$13</f>
        <v>11863.413514112679</v>
      </c>
      <c r="BP13" s="535">
        <f>'1-CAPEX'!$Z$28/'1-CAPEX PLANNING'!$C$13</f>
        <v>11863.413514112679</v>
      </c>
      <c r="BQ13" s="1811">
        <f>'1-CAPEX'!$Z$28/'1-CAPEX PLANNING'!$C$13</f>
        <v>11863.413514112679</v>
      </c>
      <c r="BR13" s="1811">
        <f>'1-CAPEX'!$Z$28/'1-CAPEX PLANNING'!$C$13</f>
        <v>11863.413514112679</v>
      </c>
      <c r="BS13" s="1812">
        <f>'1-CAPEX'!$Z$28/'1-CAPEX PLANNING'!$C$13</f>
        <v>11863.413514112679</v>
      </c>
      <c r="BT13" s="535">
        <f>'1-CAPEX'!$Z$28/'1-CAPEX PLANNING'!$C$13</f>
        <v>11863.413514112679</v>
      </c>
      <c r="BU13" s="1811">
        <f>'1-CAPEX'!$Z$28/'1-CAPEX PLANNING'!$C$13</f>
        <v>11863.413514112679</v>
      </c>
      <c r="BV13" s="1811">
        <f>'1-CAPEX'!$Z$28/'1-CAPEX PLANNING'!$C$13</f>
        <v>11863.413514112679</v>
      </c>
      <c r="BW13" s="1812">
        <f>'1-CAPEX'!$Z$28/'1-CAPEX PLANNING'!$C$13</f>
        <v>11863.413514112679</v>
      </c>
      <c r="BX13" s="535">
        <f>'1-CAPEX'!$Z$28/'1-CAPEX PLANNING'!$C$13</f>
        <v>11863.413514112679</v>
      </c>
      <c r="BY13" s="1811">
        <f>'1-CAPEX'!$Z$28/'1-CAPEX PLANNING'!$C$13</f>
        <v>11863.413514112679</v>
      </c>
      <c r="BZ13" s="1811">
        <f>'1-CAPEX'!$Z$28/'1-CAPEX PLANNING'!$C$13</f>
        <v>11863.413514112679</v>
      </c>
      <c r="CA13" s="1812">
        <f>'1-CAPEX'!$Z$28/'1-CAPEX PLANNING'!$C$13</f>
        <v>11863.413514112679</v>
      </c>
      <c r="CB13" s="535">
        <f>'1-CAPEX'!$Z$28/'1-CAPEX PLANNING'!$C$13</f>
        <v>11863.413514112679</v>
      </c>
      <c r="CC13" s="1811">
        <f>'1-CAPEX'!$Z$28/'1-CAPEX PLANNING'!$C$13</f>
        <v>11863.413514112679</v>
      </c>
      <c r="CD13" s="1811">
        <f>'1-CAPEX'!$Z$28/'1-CAPEX PLANNING'!$C$13</f>
        <v>11863.413514112679</v>
      </c>
      <c r="CE13" s="1812">
        <f>'1-CAPEX'!$Z$28/'1-CAPEX PLANNING'!$C$13</f>
        <v>11863.413514112679</v>
      </c>
      <c r="CF13" s="535">
        <f>'1-CAPEX'!$Z$28/'1-CAPEX PLANNING'!$C$13</f>
        <v>11863.413514112679</v>
      </c>
      <c r="CG13" s="1811">
        <f>'1-CAPEX'!$Z$28/'1-CAPEX PLANNING'!$C$13</f>
        <v>11863.413514112679</v>
      </c>
      <c r="CH13" s="1811">
        <f>'1-CAPEX'!$Z$28/'1-CAPEX PLANNING'!$C$13</f>
        <v>11863.413514112679</v>
      </c>
      <c r="CI13" s="1812">
        <f>'1-CAPEX'!$Z$28/'1-CAPEX PLANNING'!$C$13</f>
        <v>11863.413514112679</v>
      </c>
      <c r="CJ13" s="535">
        <f>'1-CAPEX'!$Z$28/'1-CAPEX PLANNING'!$C$13</f>
        <v>11863.413514112679</v>
      </c>
      <c r="CK13" s="1811">
        <f>'1-CAPEX'!$Z$28/'1-CAPEX PLANNING'!$C$13</f>
        <v>11863.413514112679</v>
      </c>
      <c r="CL13" s="1811">
        <f>'1-CAPEX'!$Z$28/'1-CAPEX PLANNING'!$C$13</f>
        <v>11863.413514112679</v>
      </c>
      <c r="CM13" s="1812">
        <f>'1-CAPEX'!$Z$28/'1-CAPEX PLANNING'!$C$13</f>
        <v>11863.413514112679</v>
      </c>
      <c r="CN13" s="535">
        <f>'1-CAPEX'!$Z$28/'1-CAPEX PLANNING'!$C$13</f>
        <v>11863.413514112679</v>
      </c>
      <c r="CO13" s="1811">
        <f>'1-CAPEX'!$Z$28/'1-CAPEX PLANNING'!$C$13</f>
        <v>11863.413514112679</v>
      </c>
      <c r="CP13" s="1811">
        <f>'1-CAPEX'!$Z$28/'1-CAPEX PLANNING'!$C$13</f>
        <v>11863.413514112679</v>
      </c>
      <c r="CQ13" s="1812">
        <f>'1-CAPEX'!$Z$28/'1-CAPEX PLANNING'!$C$13</f>
        <v>11863.413514112679</v>
      </c>
      <c r="CR13" s="535">
        <f>'1-CAPEX'!$Z$28/'1-CAPEX PLANNING'!$C$13</f>
        <v>11863.413514112679</v>
      </c>
      <c r="CS13" s="1811">
        <f>'1-CAPEX'!$Z$28/'1-CAPEX PLANNING'!$C$13</f>
        <v>11863.413514112679</v>
      </c>
      <c r="CT13" s="1811">
        <f>'1-CAPEX'!$Z$28/'1-CAPEX PLANNING'!$C$13</f>
        <v>11863.413514112679</v>
      </c>
      <c r="CU13" s="1812">
        <f>'1-CAPEX'!$Z$28/'1-CAPEX PLANNING'!$C$13</f>
        <v>11863.413514112679</v>
      </c>
      <c r="CV13" s="508"/>
      <c r="CW13" s="1795"/>
      <c r="CX13" s="1796"/>
      <c r="CY13" s="1797"/>
      <c r="CZ13" s="508"/>
      <c r="DA13" s="1795"/>
      <c r="DB13" s="1796"/>
      <c r="DC13" s="1797"/>
      <c r="DD13" s="508"/>
      <c r="DE13" s="1795"/>
      <c r="DF13" s="1796"/>
      <c r="DG13" s="1797"/>
      <c r="DH13" s="508"/>
      <c r="DI13" s="1795"/>
      <c r="DJ13" s="1796"/>
      <c r="DK13" s="1797"/>
      <c r="DL13" s="508"/>
      <c r="DM13" s="1795"/>
      <c r="DN13" s="1796"/>
      <c r="DO13" s="1797"/>
      <c r="DP13" s="508"/>
      <c r="DQ13" s="1795"/>
      <c r="DR13" s="1796"/>
      <c r="DS13" s="1797"/>
      <c r="DT13" s="508"/>
      <c r="DU13" s="1795"/>
      <c r="DV13" s="1796"/>
      <c r="DW13" s="1797"/>
      <c r="DX13" s="1800"/>
      <c r="DY13" s="1795"/>
      <c r="DZ13" s="1796"/>
      <c r="EA13" s="1797"/>
      <c r="EB13" s="1800"/>
      <c r="EC13" s="1795"/>
      <c r="ED13" s="1796"/>
      <c r="EE13" s="1801"/>
      <c r="EF13" s="506"/>
      <c r="EG13" s="1795"/>
      <c r="EH13" s="1796"/>
      <c r="EI13" s="1802"/>
      <c r="EJ13" s="508"/>
      <c r="EK13" s="1795"/>
      <c r="EL13" s="1796"/>
      <c r="EM13" s="1797"/>
      <c r="EN13" s="1800"/>
      <c r="EO13" s="1795"/>
      <c r="EP13" s="1796"/>
      <c r="EQ13" s="1797"/>
    </row>
    <row r="14" spans="1:147" x14ac:dyDescent="0.2">
      <c r="B14" s="1816" t="s">
        <v>665</v>
      </c>
      <c r="C14" s="1817">
        <v>48</v>
      </c>
      <c r="D14" s="1818">
        <f>'1-CAPEX'!$Z$29/'1-CAPEX PLANNING'!$C$14</f>
        <v>7753.5881181522118</v>
      </c>
      <c r="E14" s="1819">
        <f>'1-CAPEX'!$Z$29/'1-CAPEX PLANNING'!$C$14</f>
        <v>7753.5881181522118</v>
      </c>
      <c r="F14" s="1819">
        <f>'1-CAPEX'!$Z$29/'1-CAPEX PLANNING'!$C$14</f>
        <v>7753.5881181522118</v>
      </c>
      <c r="G14" s="1820">
        <f>'1-CAPEX'!$Z$29/'1-CAPEX PLANNING'!$C$14</f>
        <v>7753.5881181522118</v>
      </c>
      <c r="H14" s="1818">
        <f>'1-CAPEX'!$Z$29/'1-CAPEX PLANNING'!$C$14</f>
        <v>7753.5881181522118</v>
      </c>
      <c r="I14" s="1819">
        <f>'1-CAPEX'!$Z$29/'1-CAPEX PLANNING'!$C$14</f>
        <v>7753.5881181522118</v>
      </c>
      <c r="J14" s="1819">
        <f>'1-CAPEX'!$Z$29/'1-CAPEX PLANNING'!$C$14</f>
        <v>7753.5881181522118</v>
      </c>
      <c r="K14" s="1820">
        <f>'1-CAPEX'!$Z$29/'1-CAPEX PLANNING'!$C$14</f>
        <v>7753.5881181522118</v>
      </c>
      <c r="L14" s="1818">
        <f>'1-CAPEX'!$Z$29/'1-CAPEX PLANNING'!$C$14</f>
        <v>7753.5881181522118</v>
      </c>
      <c r="M14" s="1819">
        <f>'1-CAPEX'!$Z$29/'1-CAPEX PLANNING'!$C$14</f>
        <v>7753.5881181522118</v>
      </c>
      <c r="N14" s="1819">
        <f>'1-CAPEX'!$Z$29/'1-CAPEX PLANNING'!$C$14</f>
        <v>7753.5881181522118</v>
      </c>
      <c r="O14" s="1820">
        <f>'1-CAPEX'!$Z$29/'1-CAPEX PLANNING'!$C$14</f>
        <v>7753.5881181522118</v>
      </c>
      <c r="P14" s="1818">
        <f>'1-CAPEX'!$Z$29/'1-CAPEX PLANNING'!$C$14</f>
        <v>7753.5881181522118</v>
      </c>
      <c r="Q14" s="1819">
        <f>'1-CAPEX'!$Z$29/'1-CAPEX PLANNING'!$C$14</f>
        <v>7753.5881181522118</v>
      </c>
      <c r="R14" s="1819">
        <f>'1-CAPEX'!$Z$29/'1-CAPEX PLANNING'!$C$14</f>
        <v>7753.5881181522118</v>
      </c>
      <c r="S14" s="1820">
        <f>'1-CAPEX'!$Z$29/'1-CAPEX PLANNING'!$C$14</f>
        <v>7753.5881181522118</v>
      </c>
      <c r="T14" s="1818">
        <f>'1-CAPEX'!$Z$29/'1-CAPEX PLANNING'!$C$14</f>
        <v>7753.5881181522118</v>
      </c>
      <c r="U14" s="1819">
        <f>'1-CAPEX'!$Z$29/'1-CAPEX PLANNING'!$C$14</f>
        <v>7753.5881181522118</v>
      </c>
      <c r="V14" s="1819">
        <f>'1-CAPEX'!$Z$29/'1-CAPEX PLANNING'!$C$14</f>
        <v>7753.5881181522118</v>
      </c>
      <c r="W14" s="1820">
        <f>'1-CAPEX'!$Z$29/'1-CAPEX PLANNING'!$C$14</f>
        <v>7753.5881181522118</v>
      </c>
      <c r="X14" s="1818">
        <f>'1-CAPEX'!$Z$29/'1-CAPEX PLANNING'!$C$14</f>
        <v>7753.5881181522118</v>
      </c>
      <c r="Y14" s="1819">
        <f>'1-CAPEX'!$Z$29/'1-CAPEX PLANNING'!$C$14</f>
        <v>7753.5881181522118</v>
      </c>
      <c r="Z14" s="1819">
        <f>'1-CAPEX'!$Z$29/'1-CAPEX PLANNING'!$C$14</f>
        <v>7753.5881181522118</v>
      </c>
      <c r="AA14" s="1820">
        <f>'1-CAPEX'!$Z$29/'1-CAPEX PLANNING'!$C$14</f>
        <v>7753.5881181522118</v>
      </c>
      <c r="AB14" s="1818">
        <f>'1-CAPEX'!$Z$29/'1-CAPEX PLANNING'!$C$14</f>
        <v>7753.5881181522118</v>
      </c>
      <c r="AC14" s="1819">
        <f>'1-CAPEX'!$Z$29/'1-CAPEX PLANNING'!$C$14</f>
        <v>7753.5881181522118</v>
      </c>
      <c r="AD14" s="1819">
        <f>'1-CAPEX'!$Z$29/'1-CAPEX PLANNING'!$C$14</f>
        <v>7753.5881181522118</v>
      </c>
      <c r="AE14" s="1820">
        <f>'1-CAPEX'!$Z$29/'1-CAPEX PLANNING'!$C$14</f>
        <v>7753.5881181522118</v>
      </c>
      <c r="AF14" s="1818">
        <f>'1-CAPEX'!$Z$29/'1-CAPEX PLANNING'!$C$14</f>
        <v>7753.5881181522118</v>
      </c>
      <c r="AG14" s="1819">
        <f>'1-CAPEX'!$Z$29/'1-CAPEX PLANNING'!$C$14</f>
        <v>7753.5881181522118</v>
      </c>
      <c r="AH14" s="1819">
        <f>'1-CAPEX'!$Z$29/'1-CAPEX PLANNING'!$C$14</f>
        <v>7753.5881181522118</v>
      </c>
      <c r="AI14" s="1820">
        <f>'1-CAPEX'!$Z$29/'1-CAPEX PLANNING'!$C$14</f>
        <v>7753.5881181522118</v>
      </c>
      <c r="AJ14" s="1818">
        <f>'1-CAPEX'!$Z$29/'1-CAPEX PLANNING'!$C$14</f>
        <v>7753.5881181522118</v>
      </c>
      <c r="AK14" s="1819">
        <f>'1-CAPEX'!$Z$29/'1-CAPEX PLANNING'!$C$14</f>
        <v>7753.5881181522118</v>
      </c>
      <c r="AL14" s="1819">
        <f>'1-CAPEX'!$Z$29/'1-CAPEX PLANNING'!$C$14</f>
        <v>7753.5881181522118</v>
      </c>
      <c r="AM14" s="1820">
        <f>'1-CAPEX'!$Z$29/'1-CAPEX PLANNING'!$C$14</f>
        <v>7753.5881181522118</v>
      </c>
      <c r="AN14" s="1818">
        <f>'1-CAPEX'!$Z$29/'1-CAPEX PLANNING'!$C$14</f>
        <v>7753.5881181522118</v>
      </c>
      <c r="AO14" s="1819">
        <f>'1-CAPEX'!$Z$29/'1-CAPEX PLANNING'!$C$14</f>
        <v>7753.5881181522118</v>
      </c>
      <c r="AP14" s="1819">
        <f>'1-CAPEX'!$Z$29/'1-CAPEX PLANNING'!$C$14</f>
        <v>7753.5881181522118</v>
      </c>
      <c r="AQ14" s="1820">
        <f>'1-CAPEX'!$Z$29/'1-CAPEX PLANNING'!$C$14</f>
        <v>7753.5881181522118</v>
      </c>
      <c r="AR14" s="1818">
        <f>'1-CAPEX'!$Z$29/'1-CAPEX PLANNING'!$C$14</f>
        <v>7753.5881181522118</v>
      </c>
      <c r="AS14" s="1819">
        <f>'1-CAPEX'!$Z$29/'1-CAPEX PLANNING'!$C$14</f>
        <v>7753.5881181522118</v>
      </c>
      <c r="AT14" s="1819">
        <f>'1-CAPEX'!$Z$29/'1-CAPEX PLANNING'!$C$14</f>
        <v>7753.5881181522118</v>
      </c>
      <c r="AU14" s="1820">
        <f>'1-CAPEX'!$Z$29/'1-CAPEX PLANNING'!$C$14</f>
        <v>7753.5881181522118</v>
      </c>
      <c r="AV14" s="1818">
        <f>'1-CAPEX'!$Z$29/'1-CAPEX PLANNING'!$C$14</f>
        <v>7753.5881181522118</v>
      </c>
      <c r="AW14" s="1819">
        <f>'1-CAPEX'!$Z$29/'1-CAPEX PLANNING'!$C$14</f>
        <v>7753.5881181522118</v>
      </c>
      <c r="AX14" s="1819">
        <f>'1-CAPEX'!$Z$29/'1-CAPEX PLANNING'!$C$14</f>
        <v>7753.5881181522118</v>
      </c>
      <c r="AY14" s="1820">
        <f>'1-CAPEX'!$Z$29/'1-CAPEX PLANNING'!$C$14</f>
        <v>7753.5881181522118</v>
      </c>
      <c r="AZ14" s="1821"/>
      <c r="BA14" s="1822"/>
      <c r="BB14" s="1822"/>
      <c r="BC14" s="1823"/>
      <c r="BD14" s="1821"/>
      <c r="BE14" s="1822"/>
      <c r="BF14" s="1822"/>
      <c r="BG14" s="1823"/>
      <c r="BH14" s="1821"/>
      <c r="BI14" s="1822"/>
      <c r="BJ14" s="1822"/>
      <c r="BK14" s="1823"/>
      <c r="BL14" s="1821"/>
      <c r="BM14" s="1822"/>
      <c r="BN14" s="1822"/>
      <c r="BO14" s="1823"/>
      <c r="BP14" s="1821"/>
      <c r="BQ14" s="1822"/>
      <c r="BR14" s="1822"/>
      <c r="BS14" s="1823"/>
      <c r="BT14" s="1821"/>
      <c r="BU14" s="1822"/>
      <c r="BV14" s="1822"/>
      <c r="BW14" s="1823"/>
      <c r="BX14" s="1821"/>
      <c r="BY14" s="1822"/>
      <c r="BZ14" s="1822"/>
      <c r="CA14" s="1823"/>
      <c r="CB14" s="1821"/>
      <c r="CC14" s="1822"/>
      <c r="CD14" s="1822"/>
      <c r="CE14" s="1823"/>
      <c r="CF14" s="1821"/>
      <c r="CG14" s="1822"/>
      <c r="CH14" s="1822"/>
      <c r="CI14" s="1823"/>
      <c r="CJ14" s="1821"/>
      <c r="CK14" s="1822"/>
      <c r="CL14" s="1822"/>
      <c r="CM14" s="1823"/>
      <c r="CN14" s="1821"/>
      <c r="CO14" s="1822"/>
      <c r="CP14" s="1822"/>
      <c r="CQ14" s="1823"/>
      <c r="CR14" s="1821"/>
      <c r="CS14" s="1822"/>
      <c r="CT14" s="1822"/>
      <c r="CU14" s="1823"/>
      <c r="CV14" s="1821"/>
      <c r="CW14" s="1822"/>
      <c r="CX14" s="1822"/>
      <c r="CY14" s="1823"/>
      <c r="CZ14" s="1821"/>
      <c r="DA14" s="1822"/>
      <c r="DB14" s="1822"/>
      <c r="DC14" s="1823"/>
      <c r="DD14" s="1821"/>
      <c r="DE14" s="1822"/>
      <c r="DF14" s="1822"/>
      <c r="DG14" s="1823"/>
      <c r="DH14" s="1821"/>
      <c r="DI14" s="1822"/>
      <c r="DJ14" s="1822"/>
      <c r="DK14" s="1823"/>
      <c r="DL14" s="1821"/>
      <c r="DM14" s="1822"/>
      <c r="DN14" s="1822"/>
      <c r="DO14" s="1823"/>
      <c r="DP14" s="1821"/>
      <c r="DQ14" s="1822"/>
      <c r="DR14" s="1822"/>
      <c r="DS14" s="1823"/>
      <c r="DT14" s="1821"/>
      <c r="DU14" s="1822"/>
      <c r="DV14" s="1822"/>
      <c r="DW14" s="1823"/>
      <c r="DX14" s="1824"/>
      <c r="DY14" s="1822"/>
      <c r="DZ14" s="1822"/>
      <c r="EA14" s="1823"/>
      <c r="EB14" s="1824"/>
      <c r="EC14" s="1822"/>
      <c r="ED14" s="1822"/>
      <c r="EE14" s="1825"/>
      <c r="EF14" s="1826"/>
      <c r="EG14" s="1822"/>
      <c r="EH14" s="1822"/>
      <c r="EI14" s="1827"/>
      <c r="EJ14" s="1821"/>
      <c r="EK14" s="1822"/>
      <c r="EL14" s="1822"/>
      <c r="EM14" s="1823"/>
      <c r="EN14" s="1824"/>
      <c r="EO14" s="1822"/>
      <c r="EP14" s="1822"/>
      <c r="EQ14" s="1823"/>
    </row>
    <row r="15" spans="1:147" ht="17" thickBot="1" x14ac:dyDescent="0.25">
      <c r="B15" s="356" t="s">
        <v>666</v>
      </c>
      <c r="C15" s="1348">
        <v>4</v>
      </c>
      <c r="D15" s="1349"/>
      <c r="E15" s="1350"/>
      <c r="F15" s="1350"/>
      <c r="G15" s="1351"/>
      <c r="H15" s="1349"/>
      <c r="I15" s="1350"/>
      <c r="J15" s="1350"/>
      <c r="K15" s="1351"/>
      <c r="L15" s="1349"/>
      <c r="M15" s="1350"/>
      <c r="N15" s="1350"/>
      <c r="O15" s="1351"/>
      <c r="P15" s="1349"/>
      <c r="Q15" s="1350"/>
      <c r="R15" s="1350"/>
      <c r="S15" s="1351"/>
      <c r="T15" s="1349"/>
      <c r="U15" s="1350"/>
      <c r="V15" s="1350"/>
      <c r="W15" s="1351"/>
      <c r="X15" s="1349"/>
      <c r="Y15" s="1350"/>
      <c r="Z15" s="1350"/>
      <c r="AA15" s="1351"/>
      <c r="AB15" s="1349"/>
      <c r="AC15" s="1350"/>
      <c r="AD15" s="1350"/>
      <c r="AE15" s="1351"/>
      <c r="AF15" s="1349"/>
      <c r="AG15" s="1350"/>
      <c r="AH15" s="1350"/>
      <c r="AI15" s="1351"/>
      <c r="AJ15" s="1349"/>
      <c r="AK15" s="1350"/>
      <c r="AL15" s="1350"/>
      <c r="AM15" s="1351"/>
      <c r="AN15" s="1349"/>
      <c r="AO15" s="1350"/>
      <c r="AP15" s="1350"/>
      <c r="AQ15" s="1351"/>
      <c r="AR15" s="1349"/>
      <c r="AS15" s="1350"/>
      <c r="AT15" s="1350"/>
      <c r="AU15" s="1351"/>
      <c r="AV15" s="1349"/>
      <c r="AW15" s="1350"/>
      <c r="AX15" s="1350"/>
      <c r="AY15" s="1351"/>
      <c r="AZ15" s="1349"/>
      <c r="BA15" s="1350"/>
      <c r="BB15" s="1350"/>
      <c r="BC15" s="1351"/>
      <c r="BD15" s="1349"/>
      <c r="BE15" s="1350"/>
      <c r="BF15" s="1350"/>
      <c r="BG15" s="1351"/>
      <c r="BH15" s="1349"/>
      <c r="BI15" s="1350"/>
      <c r="BJ15" s="1350"/>
      <c r="BK15" s="1351"/>
      <c r="BL15" s="1349"/>
      <c r="BM15" s="1350"/>
      <c r="BN15" s="1350"/>
      <c r="BO15" s="1351"/>
      <c r="BP15" s="1349"/>
      <c r="BQ15" s="1350"/>
      <c r="BR15" s="1350"/>
      <c r="BS15" s="1351"/>
      <c r="BT15" s="1349"/>
      <c r="BU15" s="1350"/>
      <c r="BV15" s="1350"/>
      <c r="BW15" s="1351"/>
      <c r="BX15" s="1349"/>
      <c r="BY15" s="1350"/>
      <c r="BZ15" s="1350"/>
      <c r="CA15" s="1351"/>
      <c r="CB15" s="1349"/>
      <c r="CC15" s="1350"/>
      <c r="CD15" s="1350"/>
      <c r="CE15" s="1351"/>
      <c r="CF15" s="1349"/>
      <c r="CG15" s="1350"/>
      <c r="CH15" s="1350"/>
      <c r="CI15" s="1351"/>
      <c r="CJ15" s="1349"/>
      <c r="CK15" s="1350"/>
      <c r="CL15" s="1350"/>
      <c r="CM15" s="1351"/>
      <c r="CN15" s="1349"/>
      <c r="CO15" s="1350"/>
      <c r="CP15" s="1350"/>
      <c r="CQ15" s="1351"/>
      <c r="CR15" s="1349"/>
      <c r="CS15" s="1350"/>
      <c r="CT15" s="1350"/>
      <c r="CU15" s="1351"/>
      <c r="CV15" s="1349"/>
      <c r="CW15" s="1350"/>
      <c r="CX15" s="1350"/>
      <c r="CY15" s="1351"/>
      <c r="CZ15" s="1349"/>
      <c r="DA15" s="1350"/>
      <c r="DB15" s="1350"/>
      <c r="DC15" s="1351"/>
      <c r="DD15" s="1349"/>
      <c r="DE15" s="1350"/>
      <c r="DF15" s="1350"/>
      <c r="DG15" s="1351"/>
      <c r="DH15" s="1349"/>
      <c r="DI15" s="1350"/>
      <c r="DJ15" s="1350"/>
      <c r="DK15" s="1351"/>
      <c r="DL15" s="1349"/>
      <c r="DM15" s="1350"/>
      <c r="DN15" s="1350"/>
      <c r="DO15" s="1351"/>
      <c r="DP15" s="1349"/>
      <c r="DQ15" s="1350"/>
      <c r="DR15" s="1350"/>
      <c r="DS15" s="1351"/>
      <c r="DT15" s="1349"/>
      <c r="DU15" s="1350"/>
      <c r="DV15" s="1350"/>
      <c r="DW15" s="1351"/>
      <c r="DX15" s="1350"/>
      <c r="DY15" s="1350"/>
      <c r="DZ15" s="1350"/>
      <c r="EA15" s="1351"/>
      <c r="EB15" s="1350"/>
      <c r="EC15" s="1350"/>
      <c r="ED15" s="1350"/>
      <c r="EE15" s="1352"/>
      <c r="EF15" s="1353"/>
      <c r="EG15" s="1350"/>
      <c r="EH15" s="1350"/>
      <c r="EI15" s="1354"/>
      <c r="EJ15" s="1355">
        <f>'1-CAPEX'!$Z$33/'1-CAPEX PLANNING'!$C$15</f>
        <v>3907.522575</v>
      </c>
      <c r="EK15" s="1356">
        <f>'1-CAPEX'!$Z$33/'1-CAPEX PLANNING'!$C$15</f>
        <v>3907.522575</v>
      </c>
      <c r="EL15" s="1356">
        <f>'1-CAPEX'!$Z$33/'1-CAPEX PLANNING'!$C$15</f>
        <v>3907.522575</v>
      </c>
      <c r="EM15" s="1357">
        <f>'1-CAPEX'!$Z$33/'1-CAPEX PLANNING'!$C$15</f>
        <v>3907.522575</v>
      </c>
      <c r="EN15" s="1350"/>
      <c r="EO15" s="1350"/>
      <c r="EP15" s="1350"/>
      <c r="EQ15" s="1351"/>
    </row>
    <row r="16" spans="1:147" ht="18" thickTop="1" thickBot="1" x14ac:dyDescent="0.25">
      <c r="B16" s="365" t="s">
        <v>667</v>
      </c>
      <c r="C16" s="354"/>
      <c r="D16" s="534">
        <f t="shared" ref="D16:AI16" si="0">SUM(D5:D14)</f>
        <v>64984.349313948864</v>
      </c>
      <c r="E16" s="302">
        <f t="shared" si="0"/>
        <v>64984.349313948864</v>
      </c>
      <c r="F16" s="302">
        <f t="shared" si="0"/>
        <v>64984.349313948864</v>
      </c>
      <c r="G16" s="303">
        <f t="shared" si="0"/>
        <v>64984.349313948864</v>
      </c>
      <c r="H16" s="534">
        <f t="shared" si="0"/>
        <v>64984.349313948864</v>
      </c>
      <c r="I16" s="302">
        <f t="shared" si="0"/>
        <v>64984.349313948864</v>
      </c>
      <c r="J16" s="302">
        <f t="shared" si="0"/>
        <v>64984.349313948864</v>
      </c>
      <c r="K16" s="303">
        <f t="shared" si="0"/>
        <v>64984.349313948864</v>
      </c>
      <c r="L16" s="534">
        <f t="shared" si="0"/>
        <v>7753.5881181522118</v>
      </c>
      <c r="M16" s="302">
        <f t="shared" si="0"/>
        <v>7753.5881181522118</v>
      </c>
      <c r="N16" s="302">
        <f t="shared" si="0"/>
        <v>7753.5881181522118</v>
      </c>
      <c r="O16" s="303">
        <f t="shared" si="0"/>
        <v>7753.5881181522118</v>
      </c>
      <c r="P16" s="534">
        <f t="shared" si="0"/>
        <v>7753.5881181522118</v>
      </c>
      <c r="Q16" s="302">
        <f t="shared" si="0"/>
        <v>7753.5881181522118</v>
      </c>
      <c r="R16" s="302">
        <f t="shared" si="0"/>
        <v>7753.5881181522118</v>
      </c>
      <c r="S16" s="303">
        <f t="shared" si="0"/>
        <v>7753.5881181522118</v>
      </c>
      <c r="T16" s="534">
        <f t="shared" si="0"/>
        <v>7753.5881181522118</v>
      </c>
      <c r="U16" s="302">
        <f t="shared" si="0"/>
        <v>7753.5881181522118</v>
      </c>
      <c r="V16" s="302">
        <f t="shared" si="0"/>
        <v>7753.5881181522118</v>
      </c>
      <c r="W16" s="303">
        <f t="shared" si="0"/>
        <v>7753.5881181522118</v>
      </c>
      <c r="X16" s="534">
        <f t="shared" si="0"/>
        <v>7753.5881181522118</v>
      </c>
      <c r="Y16" s="302">
        <f t="shared" si="0"/>
        <v>7753.5881181522118</v>
      </c>
      <c r="Z16" s="302">
        <f t="shared" si="0"/>
        <v>7753.5881181522118</v>
      </c>
      <c r="AA16" s="303">
        <f t="shared" si="0"/>
        <v>7753.5881181522118</v>
      </c>
      <c r="AB16" s="534">
        <f t="shared" si="0"/>
        <v>58569.35515750973</v>
      </c>
      <c r="AC16" s="302">
        <f t="shared" si="0"/>
        <v>58569.35515750973</v>
      </c>
      <c r="AD16" s="302">
        <f t="shared" si="0"/>
        <v>58569.35515750973</v>
      </c>
      <c r="AE16" s="303">
        <f t="shared" si="0"/>
        <v>58569.35515750973</v>
      </c>
      <c r="AF16" s="534">
        <f t="shared" si="0"/>
        <v>58569.35515750973</v>
      </c>
      <c r="AG16" s="302">
        <f t="shared" si="0"/>
        <v>58569.35515750973</v>
      </c>
      <c r="AH16" s="302">
        <f t="shared" si="0"/>
        <v>58569.35515750973</v>
      </c>
      <c r="AI16" s="303">
        <f t="shared" si="0"/>
        <v>58569.35515750973</v>
      </c>
      <c r="AJ16" s="534">
        <f t="shared" ref="AJ16:BO16" si="1">SUM(AJ5:AJ14)</f>
        <v>7753.5881181522118</v>
      </c>
      <c r="AK16" s="302">
        <f t="shared" si="1"/>
        <v>7753.5881181522118</v>
      </c>
      <c r="AL16" s="302">
        <f t="shared" si="1"/>
        <v>7753.5881181522118</v>
      </c>
      <c r="AM16" s="303">
        <f t="shared" si="1"/>
        <v>7753.5881181522118</v>
      </c>
      <c r="AN16" s="534">
        <f t="shared" si="1"/>
        <v>7753.5881181522118</v>
      </c>
      <c r="AO16" s="302">
        <f t="shared" si="1"/>
        <v>7753.5881181522118</v>
      </c>
      <c r="AP16" s="302">
        <f t="shared" si="1"/>
        <v>7753.5881181522118</v>
      </c>
      <c r="AQ16" s="303">
        <f t="shared" si="1"/>
        <v>7753.5881181522118</v>
      </c>
      <c r="AR16" s="534">
        <f t="shared" si="1"/>
        <v>7753.5881181522118</v>
      </c>
      <c r="AS16" s="302">
        <f t="shared" si="1"/>
        <v>7753.5881181522118</v>
      </c>
      <c r="AT16" s="302">
        <f t="shared" si="1"/>
        <v>7753.5881181522118</v>
      </c>
      <c r="AU16" s="303">
        <f t="shared" si="1"/>
        <v>7753.5881181522118</v>
      </c>
      <c r="AV16" s="534">
        <f t="shared" si="1"/>
        <v>7753.5881181522118</v>
      </c>
      <c r="AW16" s="302">
        <f t="shared" si="1"/>
        <v>7753.5881181522118</v>
      </c>
      <c r="AX16" s="302">
        <f t="shared" si="1"/>
        <v>7753.5881181522118</v>
      </c>
      <c r="AY16" s="303">
        <f t="shared" si="1"/>
        <v>7753.5881181522118</v>
      </c>
      <c r="AZ16" s="534">
        <f t="shared" si="1"/>
        <v>49229.063970790565</v>
      </c>
      <c r="BA16" s="302">
        <f t="shared" si="1"/>
        <v>49229.063970790565</v>
      </c>
      <c r="BB16" s="302">
        <f t="shared" si="1"/>
        <v>49229.063970790565</v>
      </c>
      <c r="BC16" s="303">
        <f t="shared" si="1"/>
        <v>49229.063970790565</v>
      </c>
      <c r="BD16" s="534">
        <f t="shared" si="1"/>
        <v>49229.063970790565</v>
      </c>
      <c r="BE16" s="302">
        <f t="shared" si="1"/>
        <v>49229.063970790565</v>
      </c>
      <c r="BF16" s="302">
        <f t="shared" si="1"/>
        <v>49229.063970790565</v>
      </c>
      <c r="BG16" s="303">
        <f t="shared" si="1"/>
        <v>49229.063970790565</v>
      </c>
      <c r="BH16" s="534">
        <f t="shared" si="1"/>
        <v>49229.063970790565</v>
      </c>
      <c r="BI16" s="302">
        <f t="shared" si="1"/>
        <v>49229.063970790565</v>
      </c>
      <c r="BJ16" s="302">
        <f t="shared" si="1"/>
        <v>49229.063970790565</v>
      </c>
      <c r="BK16" s="303">
        <f t="shared" si="1"/>
        <v>49229.063970790565</v>
      </c>
      <c r="BL16" s="534">
        <f t="shared" si="1"/>
        <v>11863.413514112679</v>
      </c>
      <c r="BM16" s="302">
        <f t="shared" si="1"/>
        <v>11863.413514112679</v>
      </c>
      <c r="BN16" s="302">
        <f t="shared" si="1"/>
        <v>11863.413514112679</v>
      </c>
      <c r="BO16" s="303">
        <f t="shared" si="1"/>
        <v>11863.413514112679</v>
      </c>
      <c r="BP16" s="534">
        <f t="shared" ref="BP16:CU16" si="2">SUM(BP5:BP14)</f>
        <v>11863.413514112679</v>
      </c>
      <c r="BQ16" s="302">
        <f t="shared" si="2"/>
        <v>11863.413514112679</v>
      </c>
      <c r="BR16" s="302">
        <f t="shared" si="2"/>
        <v>11863.413514112679</v>
      </c>
      <c r="BS16" s="303">
        <f t="shared" si="2"/>
        <v>11863.413514112679</v>
      </c>
      <c r="BT16" s="534">
        <f t="shared" si="2"/>
        <v>11863.413514112679</v>
      </c>
      <c r="BU16" s="302">
        <f t="shared" si="2"/>
        <v>11863.413514112679</v>
      </c>
      <c r="BV16" s="302">
        <f t="shared" si="2"/>
        <v>11863.413514112679</v>
      </c>
      <c r="BW16" s="303">
        <f t="shared" si="2"/>
        <v>11863.413514112679</v>
      </c>
      <c r="BX16" s="534">
        <f t="shared" si="2"/>
        <v>62327.847065098613</v>
      </c>
      <c r="BY16" s="302">
        <f t="shared" si="2"/>
        <v>62327.847065098613</v>
      </c>
      <c r="BZ16" s="302">
        <f t="shared" si="2"/>
        <v>62327.847065098613</v>
      </c>
      <c r="CA16" s="303">
        <f t="shared" si="2"/>
        <v>62327.847065098613</v>
      </c>
      <c r="CB16" s="534">
        <f t="shared" si="2"/>
        <v>62327.847065098613</v>
      </c>
      <c r="CC16" s="302">
        <f t="shared" si="2"/>
        <v>62327.847065098613</v>
      </c>
      <c r="CD16" s="302">
        <f t="shared" si="2"/>
        <v>62327.847065098613</v>
      </c>
      <c r="CE16" s="303">
        <f t="shared" si="2"/>
        <v>62327.847065098613</v>
      </c>
      <c r="CF16" s="534">
        <f t="shared" si="2"/>
        <v>11863.413514112679</v>
      </c>
      <c r="CG16" s="302">
        <f t="shared" si="2"/>
        <v>11863.413514112679</v>
      </c>
      <c r="CH16" s="302">
        <f t="shared" si="2"/>
        <v>11863.413514112679</v>
      </c>
      <c r="CI16" s="303">
        <f t="shared" si="2"/>
        <v>11863.413514112679</v>
      </c>
      <c r="CJ16" s="534">
        <f t="shared" si="2"/>
        <v>11863.413514112679</v>
      </c>
      <c r="CK16" s="302">
        <f t="shared" si="2"/>
        <v>11863.413514112679</v>
      </c>
      <c r="CL16" s="302">
        <f t="shared" si="2"/>
        <v>11863.413514112679</v>
      </c>
      <c r="CM16" s="303">
        <f t="shared" si="2"/>
        <v>11863.413514112679</v>
      </c>
      <c r="CN16" s="534">
        <f t="shared" si="2"/>
        <v>19542.586568354654</v>
      </c>
      <c r="CO16" s="302">
        <f t="shared" si="2"/>
        <v>19542.586568354654</v>
      </c>
      <c r="CP16" s="302">
        <f t="shared" si="2"/>
        <v>19542.586568354654</v>
      </c>
      <c r="CQ16" s="303">
        <f t="shared" si="2"/>
        <v>19542.586568354654</v>
      </c>
      <c r="CR16" s="534">
        <f t="shared" si="2"/>
        <v>19542.586568354654</v>
      </c>
      <c r="CS16" s="302">
        <f t="shared" si="2"/>
        <v>19542.586568354654</v>
      </c>
      <c r="CT16" s="302">
        <f t="shared" si="2"/>
        <v>19542.586568354654</v>
      </c>
      <c r="CU16" s="303">
        <f t="shared" si="2"/>
        <v>19542.586568354654</v>
      </c>
      <c r="CV16" s="534">
        <f t="shared" ref="CV16:EA16" si="3">SUM(CV5:CV14)</f>
        <v>55990.856732228589</v>
      </c>
      <c r="CW16" s="302">
        <f t="shared" si="3"/>
        <v>55990.856732228589</v>
      </c>
      <c r="CX16" s="302">
        <f t="shared" si="3"/>
        <v>55990.856732228589</v>
      </c>
      <c r="CY16" s="303">
        <f t="shared" si="3"/>
        <v>55990.856732228589</v>
      </c>
      <c r="CZ16" s="534">
        <f t="shared" si="3"/>
        <v>55990.856732228589</v>
      </c>
      <c r="DA16" s="302">
        <f t="shared" si="3"/>
        <v>55990.856732228589</v>
      </c>
      <c r="DB16" s="302">
        <f t="shared" si="3"/>
        <v>55990.856732228589</v>
      </c>
      <c r="DC16" s="303">
        <f t="shared" si="3"/>
        <v>55990.856732228589</v>
      </c>
      <c r="DD16" s="534">
        <f t="shared" si="3"/>
        <v>7679.1730542419764</v>
      </c>
      <c r="DE16" s="302">
        <f t="shared" si="3"/>
        <v>7679.1730542419764</v>
      </c>
      <c r="DF16" s="302">
        <f t="shared" si="3"/>
        <v>7679.1730542419764</v>
      </c>
      <c r="DG16" s="303">
        <f t="shared" si="3"/>
        <v>7679.1730542419764</v>
      </c>
      <c r="DH16" s="534">
        <f t="shared" si="3"/>
        <v>7679.1730542419764</v>
      </c>
      <c r="DI16" s="302">
        <f t="shared" si="3"/>
        <v>7679.1730542419764</v>
      </c>
      <c r="DJ16" s="302">
        <f t="shared" si="3"/>
        <v>7679.1730542419764</v>
      </c>
      <c r="DK16" s="303">
        <f t="shared" si="3"/>
        <v>7679.1730542419764</v>
      </c>
      <c r="DL16" s="534">
        <f t="shared" si="3"/>
        <v>7679.1730542419764</v>
      </c>
      <c r="DM16" s="302">
        <f t="shared" si="3"/>
        <v>7679.1730542419764</v>
      </c>
      <c r="DN16" s="302">
        <f t="shared" si="3"/>
        <v>7679.1730542419764</v>
      </c>
      <c r="DO16" s="303">
        <f t="shared" si="3"/>
        <v>7679.1730542419764</v>
      </c>
      <c r="DP16" s="534">
        <f t="shared" si="3"/>
        <v>7679.1730542419764</v>
      </c>
      <c r="DQ16" s="302">
        <f t="shared" si="3"/>
        <v>7679.1730542419764</v>
      </c>
      <c r="DR16" s="302">
        <f t="shared" si="3"/>
        <v>7679.1730542419764</v>
      </c>
      <c r="DS16" s="303">
        <f t="shared" si="3"/>
        <v>7679.1730542419764</v>
      </c>
      <c r="DT16" s="534">
        <f t="shared" si="3"/>
        <v>57440.939628484724</v>
      </c>
      <c r="DU16" s="302">
        <f t="shared" si="3"/>
        <v>57440.939628484724</v>
      </c>
      <c r="DV16" s="302">
        <f t="shared" si="3"/>
        <v>57440.939628484724</v>
      </c>
      <c r="DW16" s="303">
        <f t="shared" si="3"/>
        <v>57440.939628484724</v>
      </c>
      <c r="DX16" s="302">
        <f t="shared" si="3"/>
        <v>49761.766574242749</v>
      </c>
      <c r="DY16" s="302">
        <f t="shared" si="3"/>
        <v>49761.766574242749</v>
      </c>
      <c r="DZ16" s="302">
        <f t="shared" si="3"/>
        <v>49761.766574242749</v>
      </c>
      <c r="EA16" s="303">
        <f t="shared" si="3"/>
        <v>49761.766574242749</v>
      </c>
      <c r="EB16" s="374">
        <f t="shared" ref="EB16:EQ16" si="4">SUM(EB5:EB14)</f>
        <v>0</v>
      </c>
      <c r="EC16" s="374">
        <f t="shared" si="4"/>
        <v>0</v>
      </c>
      <c r="ED16" s="374">
        <f t="shared" si="4"/>
        <v>0</v>
      </c>
      <c r="EE16" s="375">
        <f t="shared" si="4"/>
        <v>0</v>
      </c>
      <c r="EF16" s="373">
        <f t="shared" si="4"/>
        <v>0</v>
      </c>
      <c r="EG16" s="374">
        <f t="shared" si="4"/>
        <v>0</v>
      </c>
      <c r="EH16" s="374">
        <f t="shared" si="4"/>
        <v>0</v>
      </c>
      <c r="EI16" s="1347">
        <f t="shared" si="4"/>
        <v>0</v>
      </c>
      <c r="EJ16" s="534">
        <f t="shared" si="4"/>
        <v>0</v>
      </c>
      <c r="EK16" s="302">
        <f t="shared" si="4"/>
        <v>0</v>
      </c>
      <c r="EL16" s="302">
        <f t="shared" si="4"/>
        <v>0</v>
      </c>
      <c r="EM16" s="303">
        <f t="shared" si="4"/>
        <v>0</v>
      </c>
      <c r="EN16" s="302">
        <f t="shared" si="4"/>
        <v>0</v>
      </c>
      <c r="EO16" s="302">
        <f t="shared" si="4"/>
        <v>0</v>
      </c>
      <c r="EP16" s="302">
        <f t="shared" si="4"/>
        <v>0</v>
      </c>
      <c r="EQ16" s="303">
        <f t="shared" si="4"/>
        <v>0</v>
      </c>
    </row>
    <row r="17" spans="2:147" ht="17" thickBot="1" x14ac:dyDescent="0.25">
      <c r="G17" s="368">
        <f>SUM(D16:G16)</f>
        <v>259937.39725579545</v>
      </c>
      <c r="K17" s="368">
        <f>SUM(H16:K16)</f>
        <v>259937.39725579545</v>
      </c>
      <c r="O17" s="368">
        <f>SUM(L16:O16)</f>
        <v>31014.352472608847</v>
      </c>
      <c r="S17" s="368">
        <f>SUM(P16:S16)</f>
        <v>31014.352472608847</v>
      </c>
      <c r="W17" s="304">
        <f>SUM(T16:W16)</f>
        <v>31014.352472608847</v>
      </c>
      <c r="AA17" s="304">
        <f>SUM(X16:AA16)</f>
        <v>31014.352472608847</v>
      </c>
      <c r="AE17" s="368">
        <f>SUM(AB16:AE16)</f>
        <v>234277.42063003892</v>
      </c>
      <c r="AI17" s="368">
        <f>SUM(AF16:AI16)</f>
        <v>234277.42063003892</v>
      </c>
      <c r="AM17" s="368">
        <f>SUM(AJ16:AM16)</f>
        <v>31014.352472608847</v>
      </c>
      <c r="AQ17" s="368">
        <f>SUM(AN16:AQ16)</f>
        <v>31014.352472608847</v>
      </c>
      <c r="AU17" s="304">
        <f>SUM(AR16:AU16)</f>
        <v>31014.352472608847</v>
      </c>
      <c r="AY17" s="368">
        <f>SUM(AV16:AY16)</f>
        <v>31014.352472608847</v>
      </c>
      <c r="BC17" s="368">
        <f>SUM(AZ16:BC16)</f>
        <v>196916.25588316226</v>
      </c>
      <c r="BG17" s="368">
        <f>SUM(BD16:BG16)</f>
        <v>196916.25588316226</v>
      </c>
      <c r="BK17" s="368">
        <f>SUM(BH16:BK16)</f>
        <v>196916.25588316226</v>
      </c>
      <c r="BO17" s="368">
        <f>SUM(BL16:BO16)</f>
        <v>47453.654056450716</v>
      </c>
      <c r="BS17" s="368">
        <f>SUM(BP16:BS16)</f>
        <v>47453.654056450716</v>
      </c>
      <c r="BW17" s="368">
        <f>SUM(BT16:BW16)</f>
        <v>47453.654056450716</v>
      </c>
      <c r="CA17" s="368">
        <f>SUM(BX16:CA16)</f>
        <v>249311.38826039445</v>
      </c>
      <c r="CE17" s="368">
        <f>SUM(CB16:CE16)</f>
        <v>249311.38826039445</v>
      </c>
      <c r="CI17" s="368">
        <f>SUM(CF16:CI16)</f>
        <v>47453.654056450716</v>
      </c>
      <c r="CM17" s="368">
        <f>SUM(CJ16:CM16)</f>
        <v>47453.654056450716</v>
      </c>
      <c r="CQ17" s="368">
        <f>SUM(CN16:CQ16)</f>
        <v>78170.346273418618</v>
      </c>
      <c r="CU17" s="368">
        <f>SUM(CR16:CU16)</f>
        <v>78170.346273418618</v>
      </c>
      <c r="CY17" s="368">
        <f>SUM(CV16:CY16)</f>
        <v>223963.42692891436</v>
      </c>
      <c r="DC17" s="368">
        <f>SUM(CZ16:DC16)</f>
        <v>223963.42692891436</v>
      </c>
      <c r="DG17" s="368">
        <f>SUM(DD16:DG16)</f>
        <v>30716.692216967906</v>
      </c>
      <c r="DK17" s="368">
        <f>SUM(DH16:DK16)</f>
        <v>30716.692216967906</v>
      </c>
      <c r="DO17" s="368">
        <f>SUM(DL16:DO16)</f>
        <v>30716.692216967906</v>
      </c>
      <c r="DS17" s="368">
        <f>SUM(DP16:DS16)</f>
        <v>30716.692216967906</v>
      </c>
      <c r="DW17" s="368">
        <f>SUM(DT16:DW16)</f>
        <v>229763.7585139389</v>
      </c>
      <c r="EA17" s="368">
        <f>SUM(DX16:EA16)</f>
        <v>199047.066296971</v>
      </c>
      <c r="EE17" s="368">
        <f>SUM(EB16:EE16)</f>
        <v>0</v>
      </c>
      <c r="EI17" s="368">
        <f>SUM(EF16:EI16)</f>
        <v>0</v>
      </c>
      <c r="EM17" s="368">
        <f>SUM(EJ16:EM16)</f>
        <v>0</v>
      </c>
      <c r="EQ17" s="368">
        <f>SUM(EN16:EQ16)</f>
        <v>0</v>
      </c>
    </row>
    <row r="19" spans="2:147" x14ac:dyDescent="0.2">
      <c r="E19" s="305"/>
      <c r="F19" s="305"/>
      <c r="G19" s="305"/>
      <c r="H19" s="305"/>
      <c r="J19" s="305"/>
      <c r="M19" s="305"/>
    </row>
    <row r="20" spans="2:147" x14ac:dyDescent="0.2">
      <c r="AH20" s="226"/>
    </row>
    <row r="22" spans="2:147" ht="20" thickBot="1" x14ac:dyDescent="0.25">
      <c r="C22" s="306"/>
      <c r="D22" s="307"/>
      <c r="E22" s="307"/>
      <c r="F22" s="307"/>
      <c r="G22" s="307"/>
      <c r="H22" s="307"/>
      <c r="I22" s="307"/>
      <c r="J22" s="307"/>
      <c r="K22" s="307"/>
      <c r="L22" s="307"/>
      <c r="M22" s="307"/>
      <c r="N22" s="307"/>
      <c r="O22" s="307"/>
      <c r="P22" s="307"/>
      <c r="R22" s="306"/>
      <c r="S22" s="306"/>
      <c r="T22" s="306"/>
      <c r="U22" s="306"/>
      <c r="V22" s="306"/>
      <c r="W22" s="306"/>
      <c r="X22" s="306"/>
      <c r="Y22" s="306"/>
      <c r="Z22" s="306"/>
      <c r="AA22" s="306"/>
      <c r="AB22" s="306"/>
      <c r="AC22" s="307"/>
      <c r="AD22" s="307"/>
      <c r="AE22" s="307"/>
      <c r="AF22" s="307"/>
      <c r="AG22" s="307"/>
      <c r="AH22" s="307"/>
      <c r="AI22" s="307"/>
      <c r="AJ22" s="307"/>
      <c r="AK22" s="307"/>
      <c r="AL22" s="307"/>
      <c r="AM22" s="307"/>
      <c r="AN22" s="307"/>
      <c r="AQ22" s="307"/>
      <c r="AU22" s="307"/>
    </row>
    <row r="23" spans="2:147" ht="20" thickBot="1" x14ac:dyDescent="0.25">
      <c r="B23" s="308" t="s">
        <v>668</v>
      </c>
      <c r="C23" s="2056">
        <v>2026</v>
      </c>
      <c r="D23" s="2057"/>
      <c r="E23" s="2057"/>
      <c r="F23" s="2057"/>
      <c r="G23" s="2057"/>
      <c r="H23" s="2057"/>
      <c r="I23" s="2057"/>
      <c r="J23" s="2057"/>
      <c r="K23" s="2057"/>
      <c r="L23" s="2057"/>
      <c r="M23" s="2057"/>
      <c r="N23" s="2057"/>
      <c r="O23" s="2058"/>
      <c r="P23" s="1613"/>
      <c r="Q23" s="1614"/>
      <c r="R23" s="1614"/>
      <c r="S23" s="1614"/>
      <c r="T23" s="1614"/>
      <c r="U23" s="1591">
        <v>2027</v>
      </c>
      <c r="V23" s="1614"/>
      <c r="W23" s="1614"/>
      <c r="X23" s="1614"/>
      <c r="Y23" s="1614"/>
      <c r="Z23" s="1614"/>
      <c r="AA23" s="1615"/>
      <c r="AB23" s="2056">
        <v>2028</v>
      </c>
      <c r="AC23" s="2057"/>
      <c r="AD23" s="2057"/>
      <c r="AE23" s="2057"/>
      <c r="AF23" s="2057"/>
      <c r="AG23" s="2057"/>
      <c r="AH23" s="2057"/>
      <c r="AI23" s="2057"/>
      <c r="AJ23" s="2057"/>
      <c r="AK23" s="2057"/>
      <c r="AL23" s="2057"/>
      <c r="AM23" s="2058"/>
      <c r="AN23" s="307"/>
      <c r="AQ23" s="307"/>
      <c r="AU23" s="307"/>
    </row>
    <row r="24" spans="2:147" ht="20" thickBot="1" x14ac:dyDescent="0.25">
      <c r="B24" s="351"/>
      <c r="C24" s="551" t="s">
        <v>669</v>
      </c>
      <c r="D24" s="552" t="s">
        <v>650</v>
      </c>
      <c r="E24" s="314" t="s">
        <v>651</v>
      </c>
      <c r="F24" s="314" t="s">
        <v>652</v>
      </c>
      <c r="G24" s="314" t="s">
        <v>653</v>
      </c>
      <c r="H24" s="314" t="s">
        <v>654</v>
      </c>
      <c r="I24" s="314" t="s">
        <v>670</v>
      </c>
      <c r="J24" s="314" t="s">
        <v>671</v>
      </c>
      <c r="K24" s="314" t="s">
        <v>657</v>
      </c>
      <c r="L24" s="314" t="s">
        <v>658</v>
      </c>
      <c r="M24" s="553" t="s">
        <v>672</v>
      </c>
      <c r="N24" s="314" t="s">
        <v>673</v>
      </c>
      <c r="O24" s="554" t="s">
        <v>661</v>
      </c>
      <c r="P24" s="310" t="s">
        <v>674</v>
      </c>
      <c r="Q24" s="311" t="s">
        <v>651</v>
      </c>
      <c r="R24" s="312" t="s">
        <v>652</v>
      </c>
      <c r="S24" s="311" t="s">
        <v>653</v>
      </c>
      <c r="T24" s="312" t="s">
        <v>654</v>
      </c>
      <c r="U24" s="312" t="s">
        <v>655</v>
      </c>
      <c r="V24" s="312" t="s">
        <v>656</v>
      </c>
      <c r="W24" s="312" t="s">
        <v>657</v>
      </c>
      <c r="X24" s="312" t="s">
        <v>658</v>
      </c>
      <c r="Y24" s="312" t="s">
        <v>659</v>
      </c>
      <c r="Z24" s="312" t="s">
        <v>660</v>
      </c>
      <c r="AA24" s="545" t="s">
        <v>661</v>
      </c>
      <c r="AB24" s="313" t="s">
        <v>674</v>
      </c>
      <c r="AC24" s="314" t="s">
        <v>651</v>
      </c>
      <c r="AD24" s="314" t="s">
        <v>652</v>
      </c>
      <c r="AE24" s="314" t="s">
        <v>653</v>
      </c>
      <c r="AF24" s="314" t="s">
        <v>654</v>
      </c>
      <c r="AG24" s="314" t="s">
        <v>655</v>
      </c>
      <c r="AH24" s="314" t="s">
        <v>656</v>
      </c>
      <c r="AI24" s="314" t="s">
        <v>657</v>
      </c>
      <c r="AJ24" s="314" t="s">
        <v>658</v>
      </c>
      <c r="AK24" s="314" t="s">
        <v>659</v>
      </c>
      <c r="AL24" s="314" t="s">
        <v>660</v>
      </c>
      <c r="AM24" s="315" t="s">
        <v>661</v>
      </c>
      <c r="AQ24" s="309"/>
      <c r="AU24" s="307"/>
    </row>
    <row r="25" spans="2:147" ht="19" x14ac:dyDescent="0.2">
      <c r="B25" s="352" t="s">
        <v>436</v>
      </c>
      <c r="C25" s="316">
        <v>2</v>
      </c>
      <c r="D25" s="317"/>
      <c r="E25" s="318"/>
      <c r="F25" s="318"/>
      <c r="G25" s="318"/>
      <c r="H25" s="318"/>
      <c r="I25" s="318"/>
      <c r="J25" s="318"/>
      <c r="K25" s="318"/>
      <c r="L25" s="319"/>
      <c r="M25" s="319"/>
      <c r="N25" s="320"/>
      <c r="O25" s="321"/>
      <c r="P25" s="322"/>
      <c r="Q25" s="299"/>
      <c r="R25" s="298"/>
      <c r="S25" s="299"/>
      <c r="T25" s="299"/>
      <c r="U25" s="547"/>
      <c r="V25" s="547"/>
      <c r="W25" s="548"/>
      <c r="X25" s="331"/>
      <c r="Y25" s="331"/>
      <c r="Z25" s="549"/>
      <c r="AA25" s="550"/>
      <c r="AB25" s="324"/>
      <c r="AC25" s="323"/>
      <c r="AD25" s="323"/>
      <c r="AE25" s="323"/>
      <c r="AF25" s="323"/>
      <c r="AG25" s="325"/>
      <c r="AH25" s="326">
        <f>'1-CAPEX'!$Z$27/$C$25</f>
        <v>199047.066296971</v>
      </c>
      <c r="AI25" s="326">
        <f>'1-CAPEX'!$Z$27/$C$25</f>
        <v>199047.066296971</v>
      </c>
      <c r="AJ25" s="327"/>
      <c r="AK25" s="327"/>
      <c r="AL25" s="320"/>
      <c r="AM25" s="328"/>
      <c r="AQ25" s="329"/>
      <c r="AU25" s="307"/>
      <c r="CK25" s="305"/>
    </row>
    <row r="26" spans="2:147" ht="19" x14ac:dyDescent="0.2">
      <c r="B26" s="1828" t="s">
        <v>434</v>
      </c>
      <c r="C26" s="330">
        <v>2</v>
      </c>
      <c r="D26" s="546"/>
      <c r="E26" s="1829"/>
      <c r="F26" s="1829"/>
      <c r="G26" s="1829"/>
      <c r="H26" s="1829"/>
      <c r="I26" s="1829"/>
      <c r="J26" s="1829"/>
      <c r="K26" s="1829"/>
      <c r="L26" s="1830"/>
      <c r="M26" s="1830"/>
      <c r="N26" s="1829"/>
      <c r="O26" s="1831"/>
      <c r="P26" s="508"/>
      <c r="Q26" s="1795"/>
      <c r="R26" s="1800"/>
      <c r="S26" s="1795"/>
      <c r="T26" s="1795"/>
      <c r="U26" s="1795"/>
      <c r="V26" s="1795"/>
      <c r="W26" s="1829"/>
      <c r="X26" s="1832"/>
      <c r="Y26" s="1832"/>
      <c r="Z26" s="1830"/>
      <c r="AA26" s="1833"/>
      <c r="AB26" s="510">
        <f>'1-CAPEX'!$Z$26/$C$26</f>
        <v>193246.73471194645</v>
      </c>
      <c r="AC26" s="1798">
        <f>'1-CAPEX'!$Z$26/$C$26</f>
        <v>193246.73471194645</v>
      </c>
      <c r="AD26" s="1795"/>
      <c r="AE26" s="1795"/>
      <c r="AF26" s="1795"/>
      <c r="AG26" s="1795"/>
      <c r="AH26" s="1795"/>
      <c r="AI26" s="1829"/>
      <c r="AJ26" s="1832"/>
      <c r="AK26" s="1832"/>
      <c r="AL26" s="1829"/>
      <c r="AM26" s="1833"/>
      <c r="AQ26" s="329"/>
      <c r="AU26" s="307"/>
    </row>
    <row r="27" spans="2:147" ht="19" x14ac:dyDescent="0.2">
      <c r="B27" s="1828" t="s">
        <v>432</v>
      </c>
      <c r="C27" s="1834">
        <v>2</v>
      </c>
      <c r="D27" s="546"/>
      <c r="E27" s="1829"/>
      <c r="F27" s="1829"/>
      <c r="G27" s="1829"/>
      <c r="H27" s="1829"/>
      <c r="I27" s="1829"/>
      <c r="J27" s="1795"/>
      <c r="K27" s="1795"/>
      <c r="L27" s="1830"/>
      <c r="M27" s="1830"/>
      <c r="N27" s="1829"/>
      <c r="O27" s="1835"/>
      <c r="P27" s="533"/>
      <c r="Q27" s="1804"/>
      <c r="R27" s="1808"/>
      <c r="S27" s="1804"/>
      <c r="T27" s="1804"/>
      <c r="U27" s="1804"/>
      <c r="V27" s="1836">
        <f>'1-CAPEX'!$Z$25/$C$27</f>
        <v>201857.73420394372</v>
      </c>
      <c r="W27" s="1836">
        <f>'1-CAPEX'!$Z$25/$C$27</f>
        <v>201857.73420394372</v>
      </c>
      <c r="X27" s="1829"/>
      <c r="Y27" s="1830"/>
      <c r="Z27" s="1830"/>
      <c r="AA27" s="1833"/>
      <c r="AB27" s="1837"/>
      <c r="AC27" s="1804"/>
      <c r="AD27" s="1804"/>
      <c r="AE27" s="1804"/>
      <c r="AF27" s="1804"/>
      <c r="AG27" s="1804"/>
      <c r="AH27" s="1804"/>
      <c r="AI27" s="1829"/>
      <c r="AJ27" s="1829"/>
      <c r="AK27" s="1829"/>
      <c r="AL27" s="1829"/>
      <c r="AM27" s="1833"/>
      <c r="AQ27" s="329"/>
      <c r="AU27" s="307"/>
    </row>
    <row r="28" spans="2:147" ht="19" x14ac:dyDescent="0.2">
      <c r="B28" s="507" t="s">
        <v>430</v>
      </c>
      <c r="C28" s="1834">
        <v>2</v>
      </c>
      <c r="D28" s="1838"/>
      <c r="E28" s="1795"/>
      <c r="F28" s="1795"/>
      <c r="G28" s="1795"/>
      <c r="H28" s="1795"/>
      <c r="I28" s="1795"/>
      <c r="J28" s="1798">
        <f>'1-CAPEX'!$Z$24/$C$28</f>
        <v>203263.06815743007</v>
      </c>
      <c r="K28" s="1798">
        <f>'1-CAPEX'!$Z$24/$C$28</f>
        <v>203263.06815743007</v>
      </c>
      <c r="L28" s="1830"/>
      <c r="M28" s="1830"/>
      <c r="N28" s="1829"/>
      <c r="O28" s="1835"/>
      <c r="P28" s="533"/>
      <c r="Q28" s="1804"/>
      <c r="R28" s="1808"/>
      <c r="S28" s="1804"/>
      <c r="T28" s="1804"/>
      <c r="U28" s="1829"/>
      <c r="V28" s="1829"/>
      <c r="W28" s="1829"/>
      <c r="X28" s="1829"/>
      <c r="Y28" s="1830"/>
      <c r="Z28" s="1830"/>
      <c r="AA28" s="1833"/>
      <c r="AB28" s="1837"/>
      <c r="AC28" s="1804"/>
      <c r="AD28" s="1804"/>
      <c r="AE28" s="1804"/>
      <c r="AF28" s="1804"/>
      <c r="AG28" s="1829"/>
      <c r="AH28" s="1829"/>
      <c r="AI28" s="1829"/>
      <c r="AJ28" s="1829"/>
      <c r="AK28" s="1829"/>
      <c r="AL28" s="1829"/>
      <c r="AM28" s="1833"/>
      <c r="AQ28" s="329"/>
      <c r="AU28" s="307"/>
    </row>
    <row r="29" spans="2:147" ht="19" x14ac:dyDescent="0.2">
      <c r="B29" s="507" t="s">
        <v>428</v>
      </c>
      <c r="C29" s="1834">
        <v>2</v>
      </c>
      <c r="D29" s="509">
        <f>'1-CAPEX'!$Z$23/$C$29</f>
        <v>228923.0447831866</v>
      </c>
      <c r="E29" s="1839">
        <f>'1-CAPEX'!$Z$23/$C$29</f>
        <v>228923.0447831866</v>
      </c>
      <c r="F29" s="1795"/>
      <c r="G29" s="1795"/>
      <c r="H29" s="1795"/>
      <c r="I29" s="1795"/>
      <c r="J29" s="1804"/>
      <c r="K29" s="1804"/>
      <c r="L29" s="1830"/>
      <c r="M29" s="1830"/>
      <c r="N29" s="1829"/>
      <c r="O29" s="1840"/>
      <c r="P29" s="546"/>
      <c r="Q29" s="1829"/>
      <c r="R29" s="1800"/>
      <c r="S29" s="1795"/>
      <c r="T29" s="1795"/>
      <c r="U29" s="1829"/>
      <c r="V29" s="1829"/>
      <c r="W29" s="1829"/>
      <c r="X29" s="1829"/>
      <c r="Y29" s="1830"/>
      <c r="Z29" s="1830"/>
      <c r="AA29" s="1833"/>
      <c r="AB29" s="1841"/>
      <c r="AC29" s="1829"/>
      <c r="AD29" s="1795"/>
      <c r="AE29" s="1795"/>
      <c r="AF29" s="1795"/>
      <c r="AG29" s="1829"/>
      <c r="AH29" s="1829"/>
      <c r="AI29" s="1829"/>
      <c r="AJ29" s="1829"/>
      <c r="AK29" s="1829"/>
      <c r="AL29" s="1829"/>
      <c r="AM29" s="1833"/>
      <c r="AQ29" s="332"/>
      <c r="AU29" s="307"/>
    </row>
    <row r="30" spans="2:147" ht="19" x14ac:dyDescent="0.2">
      <c r="B30" s="507" t="s">
        <v>431</v>
      </c>
      <c r="C30" s="1842">
        <v>9</v>
      </c>
      <c r="D30" s="508"/>
      <c r="E30" s="1795"/>
      <c r="F30" s="1795"/>
      <c r="G30" s="1829"/>
      <c r="H30" s="1829"/>
      <c r="I30" s="1829"/>
      <c r="J30" s="1804"/>
      <c r="K30" s="1804"/>
      <c r="L30" s="1830"/>
      <c r="M30" s="1830"/>
      <c r="N30" s="1829"/>
      <c r="O30" s="1840"/>
      <c r="P30" s="546"/>
      <c r="Q30" s="1829"/>
      <c r="R30" s="1843"/>
      <c r="S30" s="1829"/>
      <c r="T30" s="1829"/>
      <c r="U30" s="1829"/>
      <c r="V30" s="1829"/>
      <c r="W30" s="1829"/>
      <c r="X30" s="1829"/>
      <c r="Y30" s="1830"/>
      <c r="Z30" s="1844">
        <f>'1-CAPEX'!$Z$31/'1-CAPEX PLANNING'!$C$30</f>
        <v>30716.692216967906</v>
      </c>
      <c r="AA30" s="1845">
        <f>'1-CAPEX'!$Z$31/'1-CAPEX PLANNING'!$C$30</f>
        <v>30716.692216967906</v>
      </c>
      <c r="AB30" s="1846">
        <f>'1-CAPEX'!$Z$31/'1-CAPEX PLANNING'!$C$30</f>
        <v>30716.692216967906</v>
      </c>
      <c r="AC30" s="1844">
        <f>'1-CAPEX'!$Z$31/'1-CAPEX PLANNING'!$C$30</f>
        <v>30716.692216967906</v>
      </c>
      <c r="AD30" s="1844">
        <f>'1-CAPEX'!$Z$31/'1-CAPEX PLANNING'!$C$30</f>
        <v>30716.692216967906</v>
      </c>
      <c r="AE30" s="1844">
        <f>'1-CAPEX'!$Z$31/'1-CAPEX PLANNING'!$C$30</f>
        <v>30716.692216967906</v>
      </c>
      <c r="AF30" s="1844">
        <f>'1-CAPEX'!$Z$31/'1-CAPEX PLANNING'!$C$30</f>
        <v>30716.692216967906</v>
      </c>
      <c r="AG30" s="1844">
        <f>'1-CAPEX'!$Z$31/'1-CAPEX PLANNING'!$C$30</f>
        <v>30716.692216967906</v>
      </c>
      <c r="AH30" s="1844">
        <f>'1-CAPEX'!$Z$31/'1-CAPEX PLANNING'!$C$30</f>
        <v>30716.692216967906</v>
      </c>
      <c r="AI30" s="1829"/>
      <c r="AJ30" s="1829"/>
      <c r="AK30" s="1829"/>
      <c r="AL30" s="1829"/>
      <c r="AM30" s="1833"/>
      <c r="AQ30" s="329"/>
      <c r="AU30" s="307"/>
    </row>
    <row r="31" spans="2:147" ht="19" x14ac:dyDescent="0.2">
      <c r="B31" s="507" t="s">
        <v>662</v>
      </c>
      <c r="C31" s="1842">
        <v>3</v>
      </c>
      <c r="D31" s="508"/>
      <c r="E31" s="1795"/>
      <c r="F31" s="1795"/>
      <c r="G31" s="1829"/>
      <c r="H31" s="1829"/>
      <c r="I31" s="1829"/>
      <c r="J31" s="1804"/>
      <c r="K31" s="1804"/>
      <c r="L31" s="1830"/>
      <c r="M31" s="1830"/>
      <c r="N31" s="1829"/>
      <c r="O31" s="1840"/>
      <c r="P31" s="510">
        <f>'1-CAPEX'!$Z$32/'1-CAPEX PLANNING'!$C$31</f>
        <v>105553.86610932008</v>
      </c>
      <c r="Q31" s="1798">
        <f>'1-CAPEX'!$Z$32/'1-CAPEX PLANNING'!$C$31</f>
        <v>105553.86610932008</v>
      </c>
      <c r="R31" s="1798">
        <f>'1-CAPEX'!$Z$32/'1-CAPEX PLANNING'!$C$31</f>
        <v>105553.86610932008</v>
      </c>
      <c r="S31" s="1829"/>
      <c r="T31" s="1829"/>
      <c r="U31" s="1829"/>
      <c r="V31" s="1829"/>
      <c r="W31" s="1829"/>
      <c r="X31" s="1829"/>
      <c r="Y31" s="1830"/>
      <c r="Z31" s="1830"/>
      <c r="AA31" s="1833"/>
      <c r="AB31" s="1841"/>
      <c r="AC31" s="1829"/>
      <c r="AD31" s="1829"/>
      <c r="AE31" s="1829"/>
      <c r="AF31" s="1829"/>
      <c r="AG31" s="1829"/>
      <c r="AH31" s="1829"/>
      <c r="AI31" s="1829"/>
      <c r="AJ31" s="1829"/>
      <c r="AK31" s="1829"/>
      <c r="AL31" s="1829"/>
      <c r="AM31" s="1833"/>
      <c r="AQ31" s="329"/>
      <c r="AU31" s="307"/>
    </row>
    <row r="32" spans="2:147" ht="19" x14ac:dyDescent="0.2">
      <c r="B32" s="1668" t="s">
        <v>663</v>
      </c>
      <c r="C32" s="1842">
        <v>3</v>
      </c>
      <c r="D32" s="546"/>
      <c r="E32" s="1829"/>
      <c r="F32" s="1829"/>
      <c r="G32" s="1829"/>
      <c r="H32" s="1829"/>
      <c r="I32" s="1829"/>
      <c r="J32" s="1829"/>
      <c r="K32" s="1829"/>
      <c r="L32" s="1830"/>
      <c r="M32" s="1830"/>
      <c r="N32" s="1829"/>
      <c r="O32" s="1840"/>
      <c r="P32" s="510">
        <f>'1-CAPEX'!$Z$30/'1-CAPEX PLANNING'!$C$32</f>
        <v>91362.38977384218</v>
      </c>
      <c r="Q32" s="1798">
        <f>'1-CAPEX'!$Z$30/'1-CAPEX PLANNING'!$C$32</f>
        <v>91362.38977384218</v>
      </c>
      <c r="R32" s="1798">
        <f>'1-CAPEX'!$Z$30/'1-CAPEX PLANNING'!$C$32</f>
        <v>91362.38977384218</v>
      </c>
      <c r="S32" s="1795"/>
      <c r="T32" s="1795"/>
      <c r="U32" s="1829"/>
      <c r="V32" s="1829"/>
      <c r="W32" s="1829"/>
      <c r="X32" s="1829"/>
      <c r="Y32" s="1830"/>
      <c r="Z32" s="1830"/>
      <c r="AA32" s="1833"/>
      <c r="AB32" s="1847"/>
      <c r="AC32" s="1795"/>
      <c r="AD32" s="1795"/>
      <c r="AE32" s="1795"/>
      <c r="AF32" s="1795"/>
      <c r="AG32" s="1829"/>
      <c r="AH32" s="1829"/>
      <c r="AI32" s="1829"/>
      <c r="AJ32" s="1829"/>
      <c r="AK32" s="1829"/>
      <c r="AL32" s="1829"/>
      <c r="AM32" s="1833"/>
      <c r="AO32" s="333"/>
      <c r="AP32" s="333"/>
      <c r="AQ32" s="329"/>
      <c r="AU32" s="307"/>
    </row>
    <row r="33" spans="2:147" ht="19" x14ac:dyDescent="0.2">
      <c r="B33" s="1668" t="s">
        <v>664</v>
      </c>
      <c r="C33" s="1842">
        <v>9</v>
      </c>
      <c r="D33" s="1848"/>
      <c r="E33" s="1849"/>
      <c r="F33" s="1849"/>
      <c r="G33" s="1849"/>
      <c r="H33" s="1849"/>
      <c r="I33" s="1849"/>
      <c r="J33" s="1849"/>
      <c r="K33" s="1849"/>
      <c r="L33" s="1850"/>
      <c r="M33" s="1850"/>
      <c r="N33" s="1829"/>
      <c r="O33" s="1840"/>
      <c r="P33" s="508"/>
      <c r="Q33" s="1795"/>
      <c r="R33" s="1800"/>
      <c r="S33" s="1798">
        <f>'1-CAPEX'!$Z$28/'1-CAPEX PLANNING'!$C$33</f>
        <v>47453.654056450716</v>
      </c>
      <c r="T33" s="1798">
        <f>'1-CAPEX'!$Z$28/'1-CAPEX PLANNING'!$C$33</f>
        <v>47453.654056450716</v>
      </c>
      <c r="U33" s="1798">
        <f>'1-CAPEX'!$Z$28/'1-CAPEX PLANNING'!$C$33</f>
        <v>47453.654056450716</v>
      </c>
      <c r="V33" s="1798">
        <f>'1-CAPEX'!$Z$28/'1-CAPEX PLANNING'!$C$33</f>
        <v>47453.654056450716</v>
      </c>
      <c r="W33" s="1798">
        <f>'1-CAPEX'!$Z$28/'1-CAPEX PLANNING'!$C$33</f>
        <v>47453.654056450716</v>
      </c>
      <c r="X33" s="1798">
        <f>'1-CAPEX'!$Z$28/'1-CAPEX PLANNING'!$C$33</f>
        <v>47453.654056450716</v>
      </c>
      <c r="Y33" s="1798">
        <f>'1-CAPEX'!$Z$28/'1-CAPEX PLANNING'!$C$33</f>
        <v>47453.654056450716</v>
      </c>
      <c r="Z33" s="1798">
        <f>'1-CAPEX'!$Z$28/'1-CAPEX PLANNING'!$C$33</f>
        <v>47453.654056450716</v>
      </c>
      <c r="AA33" s="1799">
        <f>'1-CAPEX'!$Z$28/'1-CAPEX PLANNING'!$C$33</f>
        <v>47453.654056450716</v>
      </c>
      <c r="AB33" s="1847"/>
      <c r="AC33" s="1795"/>
      <c r="AD33" s="1795"/>
      <c r="AE33" s="1795"/>
      <c r="AF33" s="1795"/>
      <c r="AG33" s="1829"/>
      <c r="AH33" s="1829"/>
      <c r="AI33" s="1829"/>
      <c r="AJ33" s="1829"/>
      <c r="AK33" s="1829"/>
      <c r="AL33" s="1829"/>
      <c r="AM33" s="1833"/>
      <c r="AO33" s="333"/>
      <c r="AP33" s="333"/>
      <c r="AQ33" s="329"/>
      <c r="AU33" s="307"/>
    </row>
    <row r="34" spans="2:147" ht="19" x14ac:dyDescent="0.2">
      <c r="B34" s="1851" t="s">
        <v>665</v>
      </c>
      <c r="C34" s="1834">
        <v>12</v>
      </c>
      <c r="D34" s="1852">
        <f>'1-CAPEX'!$Z$29/'1-CAPEX PLANNING'!$C$34</f>
        <v>31014.352472608847</v>
      </c>
      <c r="E34" s="1853">
        <f>'1-CAPEX'!$Z$29/'1-CAPEX PLANNING'!$C$34</f>
        <v>31014.352472608847</v>
      </c>
      <c r="F34" s="1853">
        <f>'1-CAPEX'!$Z$29/'1-CAPEX PLANNING'!$C$34</f>
        <v>31014.352472608847</v>
      </c>
      <c r="G34" s="1853">
        <f>'1-CAPEX'!$Z$29/'1-CAPEX PLANNING'!$C$34</f>
        <v>31014.352472608847</v>
      </c>
      <c r="H34" s="1853">
        <f>'1-CAPEX'!$Z$29/'1-CAPEX PLANNING'!$C$34</f>
        <v>31014.352472608847</v>
      </c>
      <c r="I34" s="1853">
        <f>'1-CAPEX'!$Z$29/'1-CAPEX PLANNING'!$C$34</f>
        <v>31014.352472608847</v>
      </c>
      <c r="J34" s="1853">
        <f>'1-CAPEX'!$Z$29/'1-CAPEX PLANNING'!$C$34</f>
        <v>31014.352472608847</v>
      </c>
      <c r="K34" s="1853">
        <f>'1-CAPEX'!$Z$29/'1-CAPEX PLANNING'!$C$34</f>
        <v>31014.352472608847</v>
      </c>
      <c r="L34" s="1853">
        <f>'1-CAPEX'!$Z$29/'1-CAPEX PLANNING'!$C$34</f>
        <v>31014.352472608847</v>
      </c>
      <c r="M34" s="1853">
        <f>'1-CAPEX'!$Z$29/'1-CAPEX PLANNING'!$C$34</f>
        <v>31014.352472608847</v>
      </c>
      <c r="N34" s="1853">
        <f>'1-CAPEX'!$Z$29/'1-CAPEX PLANNING'!$C$34</f>
        <v>31014.352472608847</v>
      </c>
      <c r="O34" s="1854">
        <f>'1-CAPEX'!$Z$29/'1-CAPEX PLANNING'!$C$34</f>
        <v>31014.352472608847</v>
      </c>
      <c r="P34" s="1838"/>
      <c r="Q34" s="1855"/>
      <c r="R34" s="1856"/>
      <c r="S34" s="1855"/>
      <c r="T34" s="1855"/>
      <c r="U34" s="1849"/>
      <c r="V34" s="1850"/>
      <c r="W34" s="1849"/>
      <c r="X34" s="1849"/>
      <c r="Y34" s="1850"/>
      <c r="Z34" s="1850"/>
      <c r="AA34" s="1857"/>
      <c r="AB34" s="1858"/>
      <c r="AC34" s="1855"/>
      <c r="AD34" s="1855"/>
      <c r="AE34" s="1855"/>
      <c r="AF34" s="1855"/>
      <c r="AG34" s="1849"/>
      <c r="AH34" s="1849"/>
      <c r="AI34" s="1849"/>
      <c r="AJ34" s="1849"/>
      <c r="AK34" s="1849"/>
      <c r="AL34" s="1849"/>
      <c r="AM34" s="1857"/>
      <c r="AO34" s="333"/>
      <c r="AP34" s="333"/>
      <c r="AQ34" s="329"/>
      <c r="AU34" s="307"/>
    </row>
    <row r="35" spans="2:147" ht="20" thickBot="1" x14ac:dyDescent="0.25">
      <c r="B35" s="356" t="s">
        <v>675</v>
      </c>
      <c r="C35" s="357">
        <v>1</v>
      </c>
      <c r="D35" s="1344"/>
      <c r="E35" s="361"/>
      <c r="F35" s="361"/>
      <c r="G35" s="361"/>
      <c r="H35" s="361"/>
      <c r="I35" s="361"/>
      <c r="J35" s="361"/>
      <c r="K35" s="361"/>
      <c r="L35" s="362"/>
      <c r="M35" s="362"/>
      <c r="N35" s="361"/>
      <c r="O35" s="1345"/>
      <c r="P35" s="358"/>
      <c r="Q35" s="359"/>
      <c r="R35" s="360"/>
      <c r="S35" s="359"/>
      <c r="T35" s="359"/>
      <c r="U35" s="361"/>
      <c r="V35" s="362"/>
      <c r="W35" s="361"/>
      <c r="X35" s="361"/>
      <c r="Y35" s="362"/>
      <c r="Z35" s="362"/>
      <c r="AA35" s="364"/>
      <c r="AB35" s="363"/>
      <c r="AC35" s="359"/>
      <c r="AD35" s="359"/>
      <c r="AE35" s="359"/>
      <c r="AF35" s="359"/>
      <c r="AG35" s="361"/>
      <c r="AH35" s="361"/>
      <c r="AI35" s="361"/>
      <c r="AJ35" s="361"/>
      <c r="AK35" s="361"/>
      <c r="AL35" s="544">
        <f>'1-CAPEX'!Z33</f>
        <v>15630.0903</v>
      </c>
      <c r="AM35" s="364"/>
      <c r="AO35" s="333"/>
      <c r="AP35" s="333"/>
      <c r="AQ35" s="329"/>
      <c r="AU35" s="307"/>
    </row>
    <row r="36" spans="2:147" ht="21" thickTop="1" thickBot="1" x14ac:dyDescent="0.25">
      <c r="B36" s="353" t="s">
        <v>667</v>
      </c>
      <c r="C36" s="354"/>
      <c r="D36" s="334">
        <f t="shared" ref="D36:L36" si="5">SUM(D25:D34)</f>
        <v>259937.39725579545</v>
      </c>
      <c r="E36" s="335">
        <f t="shared" si="5"/>
        <v>259937.39725579545</v>
      </c>
      <c r="F36" s="335">
        <f t="shared" si="5"/>
        <v>31014.352472608847</v>
      </c>
      <c r="G36" s="335">
        <f t="shared" si="5"/>
        <v>31014.352472608847</v>
      </c>
      <c r="H36" s="335">
        <f t="shared" si="5"/>
        <v>31014.352472608847</v>
      </c>
      <c r="I36" s="335">
        <f t="shared" si="5"/>
        <v>31014.352472608847</v>
      </c>
      <c r="J36" s="335">
        <f>SUM(J25:J34)</f>
        <v>234277.42063003892</v>
      </c>
      <c r="K36" s="335">
        <f t="shared" si="5"/>
        <v>234277.42063003892</v>
      </c>
      <c r="L36" s="336">
        <f t="shared" si="5"/>
        <v>31014.352472608847</v>
      </c>
      <c r="M36" s="336">
        <f>SUM(M25:M34)</f>
        <v>31014.352472608847</v>
      </c>
      <c r="N36" s="335">
        <f>SUM(N25:N34)</f>
        <v>31014.352472608847</v>
      </c>
      <c r="O36" s="338">
        <f>SUM(O25:O34)</f>
        <v>31014.352472608847</v>
      </c>
      <c r="P36" s="334">
        <f>SUM(P25:P34)</f>
        <v>196916.25588316226</v>
      </c>
      <c r="Q36" s="335">
        <f t="shared" ref="Q36:Y36" si="6">SUM(Q25:Q34)</f>
        <v>196916.25588316226</v>
      </c>
      <c r="R36" s="335">
        <f t="shared" si="6"/>
        <v>196916.25588316226</v>
      </c>
      <c r="S36" s="335">
        <f t="shared" si="6"/>
        <v>47453.654056450716</v>
      </c>
      <c r="T36" s="335">
        <f t="shared" si="6"/>
        <v>47453.654056450716</v>
      </c>
      <c r="U36" s="335">
        <f t="shared" si="6"/>
        <v>47453.654056450716</v>
      </c>
      <c r="V36" s="335">
        <f t="shared" si="6"/>
        <v>249311.38826039445</v>
      </c>
      <c r="W36" s="335">
        <f t="shared" si="6"/>
        <v>249311.38826039445</v>
      </c>
      <c r="X36" s="335">
        <f t="shared" si="6"/>
        <v>47453.654056450716</v>
      </c>
      <c r="Y36" s="336">
        <f t="shared" si="6"/>
        <v>47453.654056450716</v>
      </c>
      <c r="Z36" s="336">
        <f t="shared" ref="Z36:AK36" si="7">SUM(Z25:Z34)</f>
        <v>78170.346273418618</v>
      </c>
      <c r="AA36" s="355">
        <f t="shared" si="7"/>
        <v>78170.346273418618</v>
      </c>
      <c r="AB36" s="337">
        <f t="shared" si="7"/>
        <v>223963.42692891436</v>
      </c>
      <c r="AC36" s="335">
        <f t="shared" si="7"/>
        <v>223963.42692891436</v>
      </c>
      <c r="AD36" s="335">
        <f t="shared" si="7"/>
        <v>30716.692216967906</v>
      </c>
      <c r="AE36" s="335">
        <f t="shared" si="7"/>
        <v>30716.692216967906</v>
      </c>
      <c r="AF36" s="335">
        <f t="shared" si="7"/>
        <v>30716.692216967906</v>
      </c>
      <c r="AG36" s="335">
        <f t="shared" si="7"/>
        <v>30716.692216967906</v>
      </c>
      <c r="AH36" s="335">
        <f t="shared" si="7"/>
        <v>229763.7585139389</v>
      </c>
      <c r="AI36" s="335">
        <f t="shared" si="7"/>
        <v>199047.066296971</v>
      </c>
      <c r="AJ36" s="335">
        <f t="shared" si="7"/>
        <v>0</v>
      </c>
      <c r="AK36" s="335">
        <f t="shared" si="7"/>
        <v>0</v>
      </c>
      <c r="AL36" s="335">
        <f>SUM(AL25:AL34)</f>
        <v>0</v>
      </c>
      <c r="AM36" s="355">
        <f>SUM(AM25:AM34)</f>
        <v>0</v>
      </c>
      <c r="AN36" s="515"/>
      <c r="AO36" s="339"/>
      <c r="AP36" s="339"/>
      <c r="AQ36" s="339"/>
      <c r="AU36" s="307"/>
    </row>
    <row r="37" spans="2:147" ht="17" thickBot="1" x14ac:dyDescent="0.25">
      <c r="O37" s="340">
        <f>SUM(D36:O36)</f>
        <v>1236544.4555525396</v>
      </c>
      <c r="AA37" s="341">
        <f>SUM(P36:AA36)</f>
        <v>1482980.5069993665</v>
      </c>
      <c r="AM37" s="341">
        <f>SUM(AB36:AM36)</f>
        <v>999604.4475366103</v>
      </c>
      <c r="AN37" s="515"/>
      <c r="AO37" s="305"/>
    </row>
    <row r="38" spans="2:147" ht="17" thickBot="1" x14ac:dyDescent="0.25">
      <c r="O38" s="342">
        <f>O37/SUM(O37,AA37,AM37)</f>
        <v>0.33248223420198481</v>
      </c>
      <c r="AA38" s="342">
        <f>AA37/SUM(AA37,O37,AM37)</f>
        <v>0.39874399179997111</v>
      </c>
      <c r="AM38" s="342">
        <f>AM37/SUM(AM37,AA37,O37)</f>
        <v>0.26877377399804414</v>
      </c>
      <c r="AN38" s="515"/>
    </row>
    <row r="40" spans="2:147" x14ac:dyDescent="0.2">
      <c r="B40" s="295"/>
      <c r="C40" s="295"/>
      <c r="D40" s="350"/>
      <c r="E40" s="350"/>
      <c r="F40" s="350"/>
      <c r="G40" s="350"/>
      <c r="H40" s="350"/>
      <c r="I40" s="350"/>
      <c r="J40" s="350"/>
      <c r="K40" s="350"/>
      <c r="L40" s="350"/>
      <c r="M40" s="350"/>
      <c r="N40" s="350"/>
      <c r="O40" s="511"/>
      <c r="P40" s="350"/>
      <c r="Q40" s="350"/>
      <c r="R40" s="350"/>
      <c r="S40" s="350"/>
      <c r="T40" s="350"/>
      <c r="U40" s="350"/>
      <c r="V40" s="350"/>
      <c r="W40" s="350"/>
      <c r="X40" s="350"/>
      <c r="Y40" s="350"/>
      <c r="Z40" s="350"/>
      <c r="AA40" s="350"/>
      <c r="AB40" s="350"/>
      <c r="AC40" s="350"/>
      <c r="AD40" s="350"/>
      <c r="AE40" s="350"/>
      <c r="AF40" s="350"/>
      <c r="AG40" s="350"/>
      <c r="AH40" s="350"/>
      <c r="AI40" s="350"/>
      <c r="AJ40" s="267"/>
      <c r="AK40" s="267"/>
      <c r="AL40" s="267"/>
      <c r="AM40" s="267"/>
      <c r="AN40" s="267"/>
      <c r="AO40" s="267"/>
      <c r="AP40" s="267"/>
      <c r="AQ40" s="267"/>
      <c r="AR40" s="267"/>
      <c r="AS40" s="267"/>
      <c r="AT40" s="267"/>
      <c r="AU40" s="267"/>
      <c r="AV40" s="267"/>
      <c r="AW40" s="267"/>
      <c r="AX40" s="267"/>
      <c r="AY40" s="267"/>
      <c r="AZ40" s="350"/>
      <c r="BA40" s="350"/>
      <c r="BB40" s="350"/>
      <c r="BC40" s="350"/>
      <c r="BD40" s="350"/>
      <c r="BE40" s="350"/>
      <c r="BF40" s="350"/>
      <c r="BG40" s="350"/>
      <c r="BH40" s="350"/>
      <c r="BI40" s="350"/>
      <c r="BJ40" s="350"/>
      <c r="BK40" s="350"/>
      <c r="BL40" s="350"/>
      <c r="BM40" s="350"/>
      <c r="BN40" s="350"/>
      <c r="BO40" s="350"/>
      <c r="BP40" s="350"/>
      <c r="BQ40" s="350"/>
      <c r="BR40" s="350"/>
      <c r="BS40" s="350"/>
      <c r="BT40" s="350"/>
      <c r="BU40" s="350"/>
      <c r="BV40" s="350"/>
      <c r="BW40" s="350"/>
      <c r="BX40" s="350"/>
      <c r="BY40" s="350"/>
      <c r="BZ40" s="350"/>
      <c r="CA40" s="350"/>
      <c r="CB40" s="350"/>
      <c r="CC40" s="350"/>
      <c r="CD40" s="350"/>
      <c r="CE40" s="350"/>
      <c r="CF40" s="267"/>
      <c r="CG40" s="267"/>
      <c r="CH40" s="267"/>
      <c r="CI40" s="267"/>
      <c r="CJ40" s="267"/>
      <c r="CK40" s="267"/>
      <c r="CL40" s="267"/>
      <c r="CM40" s="267"/>
      <c r="CN40" s="267"/>
      <c r="CO40" s="267"/>
      <c r="CP40" s="267"/>
      <c r="CQ40" s="267"/>
      <c r="CR40" s="267"/>
      <c r="CS40" s="267"/>
      <c r="CT40" s="267"/>
      <c r="CU40" s="267"/>
      <c r="CV40" s="350"/>
      <c r="CW40" s="350"/>
      <c r="CX40" s="350"/>
      <c r="CY40" s="350"/>
      <c r="CZ40" s="350"/>
      <c r="DA40" s="350"/>
      <c r="DB40" s="350"/>
      <c r="DC40" s="350"/>
      <c r="DD40" s="350"/>
      <c r="DE40" s="350"/>
      <c r="DF40" s="350"/>
      <c r="DG40" s="350"/>
      <c r="DH40" s="350"/>
      <c r="DI40" s="350"/>
      <c r="DJ40" s="350"/>
      <c r="DK40" s="350"/>
      <c r="DL40" s="350"/>
      <c r="DM40" s="350"/>
      <c r="DN40" s="350"/>
      <c r="DO40" s="350"/>
      <c r="DP40" s="350"/>
      <c r="DQ40" s="350"/>
      <c r="DR40" s="350"/>
      <c r="DS40" s="350"/>
      <c r="DT40" s="350"/>
      <c r="DU40" s="350"/>
      <c r="DV40" s="350"/>
      <c r="DW40" s="350"/>
      <c r="DX40" s="350"/>
      <c r="DY40" s="350"/>
      <c r="DZ40" s="350"/>
      <c r="EA40" s="350"/>
      <c r="EB40" s="267"/>
      <c r="EC40" s="267"/>
      <c r="ED40" s="267"/>
      <c r="EE40" s="267"/>
      <c r="EF40" s="267"/>
      <c r="EG40" s="267"/>
      <c r="EH40" s="267"/>
      <c r="EI40" s="267"/>
      <c r="EJ40" s="267"/>
      <c r="EK40" s="267"/>
      <c r="EL40" s="267"/>
      <c r="EM40" s="267"/>
      <c r="EN40" s="267"/>
      <c r="EO40" s="267"/>
      <c r="EP40" s="267"/>
      <c r="EQ40" s="267"/>
    </row>
    <row r="41" spans="2:147" x14ac:dyDescent="0.2">
      <c r="B41" s="343"/>
      <c r="C41" s="344"/>
      <c r="D41" s="333"/>
      <c r="E41" s="333"/>
      <c r="F41" s="345"/>
      <c r="G41" s="333"/>
      <c r="H41" s="333"/>
      <c r="I41" s="333"/>
      <c r="J41" s="345"/>
      <c r="K41" s="333"/>
      <c r="L41" s="333"/>
      <c r="M41" s="333"/>
      <c r="N41" s="345"/>
      <c r="O41" s="333"/>
      <c r="P41" s="333"/>
      <c r="Q41" s="333"/>
      <c r="R41" s="345"/>
      <c r="S41" s="333"/>
      <c r="T41" s="333"/>
      <c r="U41" s="333"/>
      <c r="V41" s="345"/>
      <c r="W41" s="333"/>
      <c r="X41" s="333"/>
      <c r="Y41" s="333"/>
      <c r="Z41" s="345"/>
      <c r="AA41" s="333"/>
      <c r="AB41" s="333"/>
      <c r="AC41" s="333"/>
      <c r="AD41" s="345"/>
      <c r="AE41" s="333"/>
      <c r="AF41" s="333"/>
      <c r="AG41" s="333"/>
      <c r="AH41" s="345"/>
      <c r="AI41" s="333"/>
      <c r="AJ41" s="333"/>
      <c r="AK41" s="333"/>
      <c r="AL41" s="345"/>
      <c r="AM41" s="333"/>
      <c r="AN41" s="333"/>
      <c r="AO41" s="333"/>
      <c r="AP41" s="345"/>
      <c r="AQ41" s="333"/>
      <c r="AR41" s="333"/>
      <c r="AS41" s="333"/>
      <c r="AT41" s="345"/>
      <c r="AU41" s="333"/>
      <c r="AV41" s="333"/>
      <c r="AW41" s="333"/>
      <c r="AX41" s="345"/>
      <c r="AY41" s="333"/>
      <c r="AZ41" s="333"/>
      <c r="BA41" s="333"/>
      <c r="BB41" s="345"/>
      <c r="BC41" s="333"/>
      <c r="BD41" s="333"/>
      <c r="BE41" s="333"/>
      <c r="BF41" s="345"/>
      <c r="BG41" s="333"/>
      <c r="BH41" s="333"/>
      <c r="BI41" s="333"/>
      <c r="BJ41" s="345"/>
      <c r="BK41" s="333"/>
      <c r="BL41" s="333"/>
      <c r="BM41" s="333"/>
      <c r="BN41" s="345"/>
      <c r="BO41" s="333"/>
      <c r="BP41" s="333"/>
      <c r="BQ41" s="333"/>
      <c r="BR41" s="345"/>
      <c r="BS41" s="333"/>
      <c r="BT41" s="333"/>
      <c r="BU41" s="333"/>
      <c r="BV41" s="345"/>
      <c r="BW41" s="333"/>
      <c r="BX41" s="333"/>
      <c r="BY41" s="333"/>
      <c r="BZ41" s="345"/>
      <c r="CA41" s="333"/>
      <c r="CB41" s="333"/>
      <c r="CC41" s="333"/>
      <c r="CD41" s="345"/>
      <c r="CE41" s="333"/>
      <c r="CF41" s="333"/>
      <c r="CG41" s="333"/>
      <c r="CH41" s="345"/>
      <c r="CI41" s="333"/>
      <c r="CJ41" s="333"/>
      <c r="CK41" s="333"/>
      <c r="CL41" s="345"/>
      <c r="CM41" s="333"/>
      <c r="CN41" s="333"/>
      <c r="CO41" s="333"/>
      <c r="CP41" s="345"/>
      <c r="CQ41" s="333"/>
      <c r="CR41" s="333"/>
      <c r="CS41" s="333"/>
      <c r="CT41" s="345"/>
      <c r="CU41" s="333"/>
      <c r="CV41" s="333"/>
      <c r="CW41" s="333"/>
      <c r="CX41" s="345"/>
      <c r="CY41" s="333"/>
      <c r="CZ41" s="333"/>
      <c r="DA41" s="333"/>
      <c r="DB41" s="345"/>
      <c r="DC41" s="333"/>
      <c r="DD41" s="333"/>
      <c r="DE41" s="333"/>
      <c r="DF41" s="345"/>
      <c r="DG41" s="333"/>
      <c r="DH41" s="333"/>
      <c r="DI41" s="333"/>
      <c r="DJ41" s="345"/>
      <c r="DK41" s="333"/>
      <c r="DL41" s="333"/>
      <c r="DM41" s="333"/>
      <c r="DN41" s="345"/>
      <c r="DO41" s="333"/>
      <c r="DP41" s="333"/>
      <c r="DQ41" s="333"/>
      <c r="DR41" s="345"/>
      <c r="DS41" s="333"/>
      <c r="DT41" s="333"/>
      <c r="DU41" s="333"/>
      <c r="DV41" s="345"/>
      <c r="DW41" s="333"/>
      <c r="DX41" s="333"/>
      <c r="DY41" s="333"/>
      <c r="DZ41" s="345"/>
      <c r="EA41" s="333"/>
      <c r="EB41" s="333"/>
      <c r="EC41" s="333"/>
      <c r="ED41" s="345"/>
      <c r="EE41" s="333"/>
      <c r="EF41" s="333"/>
      <c r="EG41" s="333"/>
      <c r="EH41" s="345"/>
      <c r="EI41" s="333"/>
      <c r="EJ41" s="333"/>
      <c r="EK41" s="333"/>
      <c r="EL41" s="345"/>
      <c r="EM41" s="333"/>
      <c r="EN41" s="333"/>
      <c r="EO41" s="333"/>
      <c r="EP41" s="345"/>
      <c r="EQ41" s="333"/>
    </row>
    <row r="42" spans="2:147" x14ac:dyDescent="0.2">
      <c r="X42" s="305"/>
    </row>
    <row r="45" spans="2:147" x14ac:dyDescent="0.2">
      <c r="B45" s="343"/>
      <c r="C45" s="344"/>
      <c r="D45" s="332"/>
      <c r="E45" s="332"/>
      <c r="F45" s="332"/>
      <c r="G45" s="332"/>
      <c r="H45" s="332"/>
      <c r="I45" s="332"/>
      <c r="J45" s="332"/>
      <c r="K45" s="332"/>
      <c r="L45" s="332"/>
      <c r="M45" s="332"/>
      <c r="N45" s="332"/>
      <c r="O45" s="332"/>
      <c r="P45" s="332"/>
      <c r="Q45" s="332"/>
      <c r="R45" s="332"/>
      <c r="S45" s="332"/>
      <c r="T45" s="332"/>
      <c r="U45" s="332"/>
      <c r="V45" s="332"/>
      <c r="W45" s="332"/>
      <c r="X45" s="332"/>
      <c r="Y45" s="332"/>
      <c r="Z45" s="332"/>
      <c r="AA45" s="332"/>
      <c r="AB45" s="332"/>
      <c r="AC45" s="332"/>
      <c r="AD45" s="332"/>
      <c r="AE45" s="332"/>
      <c r="AF45" s="332"/>
      <c r="AG45" s="332"/>
      <c r="AH45" s="332"/>
      <c r="AI45" s="332"/>
      <c r="AJ45" s="332"/>
      <c r="AK45" s="332"/>
      <c r="AL45" s="332"/>
      <c r="AM45" s="332"/>
      <c r="AN45" s="332"/>
      <c r="AO45" s="332"/>
      <c r="AP45" s="332"/>
      <c r="AQ45" s="332"/>
      <c r="AR45" s="332"/>
      <c r="AS45" s="332"/>
      <c r="AT45" s="332"/>
      <c r="AU45" s="332"/>
      <c r="AV45" s="332"/>
      <c r="AW45" s="332"/>
      <c r="AX45" s="332"/>
      <c r="AY45" s="332"/>
      <c r="AZ45" s="332"/>
      <c r="BA45" s="332"/>
      <c r="BB45" s="332"/>
      <c r="BC45" s="332"/>
      <c r="BD45" s="332"/>
      <c r="BE45" s="332"/>
      <c r="BF45" s="332"/>
      <c r="BG45" s="332"/>
      <c r="BH45" s="332"/>
      <c r="BI45" s="332"/>
      <c r="BJ45" s="332"/>
      <c r="BK45" s="332"/>
      <c r="BL45" s="332"/>
      <c r="BM45" s="332"/>
      <c r="BN45" s="332"/>
      <c r="BO45" s="332"/>
      <c r="BP45" s="332"/>
      <c r="BQ45" s="332"/>
      <c r="BR45" s="332"/>
      <c r="BS45" s="332"/>
      <c r="BT45" s="332"/>
      <c r="BU45" s="332"/>
      <c r="BV45" s="332"/>
      <c r="BW45" s="332"/>
      <c r="BX45" s="332"/>
      <c r="BY45" s="332"/>
      <c r="BZ45" s="332"/>
      <c r="CA45" s="332"/>
      <c r="CB45" s="332"/>
      <c r="CC45" s="332"/>
      <c r="CD45" s="332"/>
      <c r="CE45" s="332"/>
      <c r="CF45" s="332"/>
      <c r="CG45" s="332"/>
      <c r="CH45" s="332"/>
      <c r="CI45" s="332"/>
      <c r="CJ45" s="332"/>
      <c r="CK45" s="332"/>
      <c r="CL45" s="332"/>
      <c r="CM45" s="332"/>
      <c r="CN45" s="332"/>
      <c r="CO45" s="332"/>
      <c r="CP45" s="332"/>
      <c r="CQ45" s="332"/>
      <c r="CR45" s="332"/>
      <c r="CS45" s="332"/>
      <c r="CT45" s="332"/>
      <c r="CU45" s="332"/>
      <c r="CV45" s="332"/>
      <c r="CW45" s="332"/>
      <c r="CX45" s="332"/>
      <c r="CY45" s="332"/>
      <c r="CZ45" s="332"/>
      <c r="DA45" s="332"/>
      <c r="DB45" s="332"/>
      <c r="DC45" s="332"/>
      <c r="DD45" s="332"/>
      <c r="DE45" s="332"/>
      <c r="DF45" s="332"/>
      <c r="DG45" s="332"/>
      <c r="DH45" s="332"/>
      <c r="DI45" s="332"/>
      <c r="DJ45" s="332"/>
      <c r="DK45" s="332"/>
      <c r="DL45" s="332"/>
      <c r="DM45" s="332"/>
      <c r="DN45" s="332"/>
      <c r="DO45" s="332"/>
      <c r="DP45" s="332"/>
      <c r="DQ45" s="332"/>
      <c r="DR45" s="332"/>
      <c r="DS45" s="332"/>
      <c r="DT45" s="332"/>
      <c r="DU45" s="332"/>
      <c r="DV45" s="332"/>
      <c r="DW45" s="332"/>
      <c r="DX45" s="332"/>
      <c r="DY45" s="332"/>
      <c r="DZ45" s="332"/>
      <c r="EA45" s="332"/>
      <c r="EB45" s="332"/>
      <c r="EC45" s="332"/>
      <c r="ED45" s="332"/>
      <c r="EE45" s="332"/>
      <c r="EF45" s="332"/>
      <c r="EG45" s="332"/>
      <c r="EH45" s="332"/>
      <c r="EI45" s="332"/>
      <c r="EJ45" s="332"/>
      <c r="EK45" s="332"/>
      <c r="EL45" s="332"/>
      <c r="EM45" s="332"/>
      <c r="EN45" s="332"/>
      <c r="EO45" s="332"/>
      <c r="EP45" s="332"/>
      <c r="EQ45" s="332"/>
    </row>
    <row r="46" spans="2:147" x14ac:dyDescent="0.2">
      <c r="B46" s="343"/>
      <c r="C46" s="344"/>
      <c r="D46" s="333"/>
      <c r="E46" s="333"/>
      <c r="F46" s="345"/>
      <c r="G46" s="333"/>
      <c r="H46" s="333"/>
      <c r="I46" s="333"/>
      <c r="J46" s="345"/>
      <c r="K46" s="333"/>
      <c r="L46" s="333"/>
      <c r="M46" s="333"/>
      <c r="N46" s="345"/>
      <c r="O46" s="333"/>
      <c r="P46" s="333"/>
      <c r="Q46" s="333"/>
      <c r="R46" s="345"/>
      <c r="S46" s="333"/>
      <c r="T46" s="333"/>
      <c r="U46" s="333"/>
      <c r="V46" s="345"/>
      <c r="W46" s="333"/>
      <c r="X46" s="333"/>
      <c r="Y46" s="333"/>
      <c r="Z46" s="345"/>
      <c r="AA46" s="333"/>
      <c r="AB46" s="333"/>
      <c r="AC46" s="333"/>
      <c r="AD46" s="345"/>
      <c r="AE46" s="333"/>
      <c r="AF46" s="333"/>
      <c r="AG46" s="333"/>
      <c r="AH46" s="345"/>
      <c r="AI46" s="333"/>
      <c r="AJ46" s="333"/>
      <c r="AK46" s="333"/>
      <c r="AL46" s="345"/>
      <c r="AM46" s="333"/>
      <c r="AN46" s="333"/>
      <c r="AO46" s="333"/>
      <c r="AP46" s="345"/>
      <c r="AQ46" s="333"/>
      <c r="AR46" s="333"/>
      <c r="AS46" s="333"/>
      <c r="AT46" s="345"/>
      <c r="AU46" s="333"/>
      <c r="AV46" s="333"/>
      <c r="AW46" s="333"/>
      <c r="AX46" s="345"/>
      <c r="AY46" s="333"/>
      <c r="AZ46" s="333"/>
      <c r="BA46" s="333"/>
      <c r="BB46" s="345"/>
      <c r="BC46" s="333"/>
      <c r="BD46" s="333"/>
      <c r="BE46" s="333"/>
      <c r="BF46" s="345"/>
      <c r="BG46" s="333"/>
      <c r="BH46" s="333"/>
      <c r="BI46" s="333"/>
      <c r="BJ46" s="345"/>
      <c r="BK46" s="333"/>
      <c r="BL46" s="333"/>
      <c r="BM46" s="333"/>
      <c r="BN46" s="345"/>
      <c r="BO46" s="333"/>
      <c r="BP46" s="333"/>
      <c r="BQ46" s="333"/>
      <c r="BR46" s="345"/>
      <c r="BS46" s="333"/>
      <c r="BT46" s="333"/>
      <c r="BU46" s="333"/>
      <c r="BV46" s="345"/>
      <c r="BW46" s="333"/>
      <c r="BX46" s="333"/>
      <c r="BY46" s="333"/>
      <c r="BZ46" s="345"/>
      <c r="CA46" s="333"/>
      <c r="CB46" s="333"/>
      <c r="CC46" s="333"/>
      <c r="CD46" s="345"/>
      <c r="CE46" s="333"/>
      <c r="CF46" s="333"/>
      <c r="CG46" s="333"/>
      <c r="CH46" s="345"/>
      <c r="CI46" s="333"/>
      <c r="CJ46" s="333"/>
      <c r="CK46" s="333"/>
      <c r="CL46" s="345"/>
      <c r="CM46" s="333"/>
      <c r="CN46" s="333"/>
      <c r="CO46" s="333"/>
      <c r="CP46" s="345"/>
      <c r="CQ46" s="333"/>
      <c r="CR46" s="333"/>
      <c r="CS46" s="333"/>
      <c r="CT46" s="345"/>
      <c r="CU46" s="333"/>
      <c r="CV46" s="333"/>
      <c r="CW46" s="333"/>
      <c r="CX46" s="345"/>
      <c r="CY46" s="333"/>
      <c r="CZ46" s="333"/>
      <c r="DA46" s="333"/>
      <c r="DB46" s="345"/>
      <c r="DC46" s="333"/>
      <c r="DD46" s="333"/>
      <c r="DE46" s="333"/>
      <c r="DF46" s="345"/>
      <c r="DG46" s="333"/>
      <c r="DH46" s="333"/>
      <c r="DI46" s="333"/>
      <c r="DJ46" s="345"/>
      <c r="DK46" s="333"/>
      <c r="DL46" s="333"/>
      <c r="DM46" s="333"/>
      <c r="DN46" s="345"/>
      <c r="DO46" s="333"/>
      <c r="DP46" s="333"/>
      <c r="DQ46" s="333"/>
      <c r="DR46" s="345"/>
      <c r="DS46" s="333"/>
      <c r="DT46" s="333"/>
      <c r="DU46" s="333"/>
      <c r="DV46" s="345"/>
      <c r="DW46" s="333"/>
      <c r="DX46" s="333"/>
      <c r="DY46" s="333"/>
      <c r="DZ46" s="345"/>
      <c r="EA46" s="333"/>
      <c r="EB46" s="333"/>
      <c r="EC46" s="333"/>
      <c r="ED46" s="345"/>
      <c r="EE46" s="333"/>
      <c r="EF46" s="333"/>
      <c r="EG46" s="333"/>
      <c r="EH46" s="345"/>
      <c r="EI46" s="333"/>
      <c r="EJ46" s="333"/>
      <c r="EK46" s="333"/>
      <c r="EL46" s="345"/>
      <c r="EM46" s="333"/>
      <c r="EN46" s="333"/>
      <c r="EO46" s="333"/>
      <c r="EP46" s="345"/>
      <c r="EQ46" s="333"/>
    </row>
    <row r="47" spans="2:147" x14ac:dyDescent="0.2">
      <c r="B47" s="343"/>
      <c r="C47" s="346"/>
      <c r="D47" s="333"/>
      <c r="E47" s="333"/>
      <c r="F47" s="345"/>
      <c r="G47" s="333"/>
      <c r="H47" s="333"/>
      <c r="I47" s="333"/>
      <c r="J47" s="345"/>
      <c r="K47" s="333"/>
      <c r="L47" s="333"/>
      <c r="M47" s="333"/>
      <c r="N47" s="345"/>
      <c r="O47" s="333"/>
      <c r="P47" s="333"/>
      <c r="Q47" s="333"/>
      <c r="R47" s="345"/>
      <c r="S47" s="333"/>
      <c r="T47" s="333"/>
      <c r="U47" s="333"/>
      <c r="V47" s="345"/>
      <c r="W47" s="333"/>
      <c r="X47" s="333"/>
      <c r="Y47" s="333"/>
      <c r="Z47" s="345"/>
      <c r="AA47" s="333"/>
      <c r="AB47" s="333"/>
      <c r="AC47" s="333"/>
      <c r="AD47" s="345"/>
      <c r="AE47" s="333"/>
      <c r="AF47" s="333"/>
      <c r="AG47" s="333"/>
      <c r="AH47" s="345"/>
      <c r="AI47" s="333"/>
      <c r="AJ47" s="333"/>
      <c r="AK47" s="333"/>
      <c r="AL47" s="345"/>
      <c r="AM47" s="333"/>
      <c r="AN47" s="333"/>
      <c r="AO47" s="333"/>
      <c r="AP47" s="345"/>
      <c r="AQ47" s="333"/>
      <c r="AR47" s="333"/>
      <c r="AS47" s="333"/>
      <c r="AT47" s="345"/>
      <c r="AU47" s="333"/>
      <c r="AV47" s="333"/>
      <c r="AW47" s="333"/>
      <c r="AX47" s="345"/>
      <c r="AY47" s="333"/>
      <c r="AZ47" s="333"/>
      <c r="BA47" s="333"/>
      <c r="BB47" s="345"/>
      <c r="BC47" s="333"/>
      <c r="BD47" s="333"/>
      <c r="BE47" s="333"/>
      <c r="BF47" s="345"/>
      <c r="BG47" s="333"/>
      <c r="BH47" s="333"/>
      <c r="BI47" s="333"/>
      <c r="BJ47" s="345"/>
      <c r="BK47" s="333"/>
      <c r="BL47" s="333"/>
      <c r="BM47" s="333"/>
      <c r="BN47" s="345"/>
      <c r="BO47" s="333"/>
      <c r="BP47" s="333"/>
      <c r="BQ47" s="333"/>
      <c r="BR47" s="345"/>
      <c r="BS47" s="333"/>
      <c r="BT47" s="333"/>
      <c r="BU47" s="333"/>
      <c r="BV47" s="345"/>
      <c r="BW47" s="333"/>
      <c r="BX47" s="333"/>
      <c r="BY47" s="333"/>
      <c r="BZ47" s="345"/>
      <c r="CA47" s="333"/>
      <c r="CB47" s="333"/>
      <c r="CC47" s="333"/>
      <c r="CD47" s="345"/>
      <c r="CE47" s="333"/>
      <c r="CF47" s="333"/>
      <c r="CG47" s="333"/>
      <c r="CH47" s="345"/>
      <c r="CI47" s="333"/>
      <c r="CJ47" s="333"/>
      <c r="CK47" s="333"/>
      <c r="CL47" s="345"/>
      <c r="CM47" s="333"/>
      <c r="CN47" s="333"/>
      <c r="CO47" s="333"/>
      <c r="CP47" s="345"/>
      <c r="CQ47" s="333"/>
      <c r="CR47" s="333"/>
      <c r="CS47" s="333"/>
      <c r="CT47" s="345"/>
      <c r="CU47" s="333"/>
      <c r="CV47" s="333"/>
      <c r="CW47" s="333"/>
      <c r="CX47" s="345"/>
      <c r="CY47" s="333"/>
      <c r="CZ47" s="333"/>
      <c r="DA47" s="333"/>
      <c r="DB47" s="345"/>
      <c r="DC47" s="333"/>
      <c r="DD47" s="333"/>
      <c r="DE47" s="333"/>
      <c r="DF47" s="345"/>
      <c r="DG47" s="333"/>
      <c r="DH47" s="333"/>
      <c r="DI47" s="333"/>
      <c r="DJ47" s="345"/>
      <c r="DK47" s="333"/>
      <c r="DL47" s="333"/>
      <c r="DM47" s="333"/>
      <c r="DN47" s="345"/>
      <c r="DO47" s="333"/>
      <c r="DP47" s="333"/>
      <c r="DQ47" s="333"/>
      <c r="DR47" s="345"/>
      <c r="DS47" s="333"/>
      <c r="DT47" s="333"/>
      <c r="DU47" s="333"/>
      <c r="DV47" s="345"/>
      <c r="DW47" s="333"/>
      <c r="DX47" s="333"/>
      <c r="DY47" s="333"/>
      <c r="DZ47" s="345"/>
      <c r="EA47" s="333"/>
      <c r="EB47" s="333"/>
      <c r="EC47" s="333"/>
      <c r="ED47" s="345"/>
      <c r="EE47" s="333"/>
      <c r="EF47" s="333"/>
      <c r="EG47" s="333"/>
      <c r="EH47" s="345"/>
      <c r="EI47" s="333"/>
      <c r="EJ47" s="333"/>
      <c r="EK47" s="333"/>
      <c r="EL47" s="345"/>
      <c r="EM47" s="333"/>
      <c r="EN47" s="333"/>
      <c r="EO47" s="333"/>
      <c r="EP47" s="345"/>
      <c r="EQ47" s="333"/>
    </row>
    <row r="48" spans="2:147" x14ac:dyDescent="0.2">
      <c r="B48" s="347"/>
      <c r="C48" s="346"/>
      <c r="D48" s="333"/>
      <c r="E48" s="333"/>
      <c r="F48" s="345"/>
      <c r="G48" s="333"/>
      <c r="H48" s="333"/>
      <c r="I48" s="333"/>
      <c r="J48" s="345"/>
      <c r="K48" s="333"/>
      <c r="L48" s="333"/>
      <c r="M48" s="333"/>
      <c r="N48" s="345"/>
      <c r="O48" s="333"/>
      <c r="P48" s="333"/>
      <c r="Q48" s="333"/>
      <c r="R48" s="345"/>
      <c r="S48" s="333"/>
      <c r="T48" s="333"/>
      <c r="U48" s="333"/>
      <c r="V48" s="345"/>
      <c r="W48" s="333"/>
      <c r="X48" s="333"/>
      <c r="Y48" s="333"/>
      <c r="Z48" s="345"/>
      <c r="AA48" s="333"/>
      <c r="AB48" s="333"/>
      <c r="AC48" s="333"/>
      <c r="AD48" s="345"/>
      <c r="AE48" s="333"/>
      <c r="AF48" s="333"/>
      <c r="AG48" s="333"/>
      <c r="AH48" s="345"/>
      <c r="AI48" s="333"/>
      <c r="AJ48" s="333"/>
      <c r="AK48" s="333"/>
      <c r="AL48" s="345"/>
      <c r="AM48" s="333"/>
      <c r="AN48" s="333"/>
      <c r="AO48" s="333"/>
      <c r="AP48" s="345"/>
      <c r="AQ48" s="333"/>
      <c r="AR48" s="333"/>
      <c r="AS48" s="333"/>
      <c r="AT48" s="345"/>
      <c r="AU48" s="333"/>
      <c r="AV48" s="333"/>
      <c r="AW48" s="333"/>
      <c r="AX48" s="345"/>
      <c r="AY48" s="333"/>
      <c r="AZ48" s="333"/>
      <c r="BA48" s="333"/>
      <c r="BB48" s="345"/>
      <c r="BC48" s="333"/>
      <c r="BD48" s="333"/>
      <c r="BE48" s="333"/>
      <c r="BF48" s="345"/>
      <c r="BG48" s="333"/>
      <c r="BH48" s="333"/>
      <c r="BI48" s="333"/>
      <c r="BJ48" s="345"/>
      <c r="BK48" s="333"/>
      <c r="BL48" s="333"/>
      <c r="BM48" s="333"/>
      <c r="BN48" s="345"/>
      <c r="BO48" s="333"/>
      <c r="BP48" s="333"/>
      <c r="BQ48" s="333"/>
      <c r="BR48" s="345"/>
      <c r="BS48" s="333"/>
      <c r="BT48" s="333"/>
      <c r="BU48" s="333"/>
      <c r="BV48" s="345"/>
      <c r="BW48" s="333"/>
      <c r="BX48" s="333"/>
      <c r="BY48" s="333"/>
      <c r="BZ48" s="345"/>
      <c r="CA48" s="333"/>
      <c r="CB48" s="333"/>
      <c r="CC48" s="333"/>
      <c r="CD48" s="345"/>
      <c r="CE48" s="333"/>
      <c r="CF48" s="333"/>
      <c r="CG48" s="333"/>
      <c r="CH48" s="345"/>
      <c r="CI48" s="333"/>
      <c r="CJ48" s="333"/>
      <c r="CK48" s="333"/>
      <c r="CL48" s="345"/>
      <c r="CM48" s="333"/>
      <c r="CN48" s="333"/>
      <c r="CO48" s="333"/>
      <c r="CP48" s="345"/>
      <c r="CQ48" s="333"/>
      <c r="CR48" s="333"/>
      <c r="CS48" s="333"/>
      <c r="CT48" s="345"/>
      <c r="CU48" s="333"/>
      <c r="CV48" s="333"/>
      <c r="CW48" s="333"/>
      <c r="CX48" s="345"/>
      <c r="CY48" s="333"/>
      <c r="CZ48" s="333"/>
      <c r="DA48" s="333"/>
      <c r="DB48" s="345"/>
      <c r="DC48" s="333"/>
      <c r="DD48" s="333"/>
      <c r="DE48" s="333"/>
      <c r="DF48" s="345"/>
      <c r="DG48" s="333"/>
      <c r="DH48" s="333"/>
      <c r="DI48" s="333"/>
      <c r="DJ48" s="345"/>
      <c r="DK48" s="333"/>
      <c r="DL48" s="333"/>
      <c r="DM48" s="333"/>
      <c r="DN48" s="345"/>
      <c r="DO48" s="333"/>
      <c r="DP48" s="333"/>
      <c r="DQ48" s="333"/>
      <c r="DR48" s="345"/>
      <c r="DS48" s="333"/>
      <c r="DT48" s="333"/>
      <c r="DU48" s="333"/>
      <c r="DV48" s="345"/>
      <c r="DW48" s="333"/>
      <c r="DX48" s="333"/>
      <c r="DY48" s="333"/>
      <c r="DZ48" s="345"/>
      <c r="EA48" s="333"/>
      <c r="EB48" s="333"/>
      <c r="EC48" s="333"/>
      <c r="ED48" s="345"/>
      <c r="EE48" s="333"/>
      <c r="EF48" s="333"/>
      <c r="EG48" s="333"/>
      <c r="EH48" s="345"/>
      <c r="EI48" s="333"/>
      <c r="EJ48" s="333"/>
      <c r="EK48" s="333"/>
      <c r="EL48" s="345"/>
      <c r="EM48" s="333"/>
      <c r="EN48" s="333"/>
      <c r="EO48" s="333"/>
      <c r="EP48" s="345"/>
      <c r="EQ48" s="333"/>
    </row>
    <row r="49" spans="2:147" x14ac:dyDescent="0.2">
      <c r="B49" s="347"/>
      <c r="C49" s="346"/>
      <c r="D49" s="333"/>
      <c r="E49" s="333"/>
      <c r="F49" s="345"/>
      <c r="G49" s="333"/>
      <c r="H49" s="333"/>
      <c r="I49" s="333"/>
      <c r="J49" s="345"/>
      <c r="K49" s="333"/>
      <c r="L49" s="333"/>
      <c r="M49" s="333"/>
      <c r="N49" s="345"/>
      <c r="O49" s="333"/>
      <c r="P49" s="333"/>
      <c r="Q49" s="333"/>
      <c r="R49" s="345"/>
      <c r="S49" s="333"/>
      <c r="T49" s="333"/>
      <c r="U49" s="333"/>
      <c r="V49" s="345"/>
      <c r="W49" s="333"/>
      <c r="X49" s="333"/>
      <c r="Y49" s="333"/>
      <c r="Z49" s="345"/>
      <c r="AA49" s="333"/>
      <c r="AB49" s="333"/>
      <c r="AC49" s="333"/>
      <c r="AD49" s="345"/>
      <c r="AE49" s="333"/>
      <c r="AF49" s="333"/>
      <c r="AG49" s="333"/>
      <c r="AH49" s="345"/>
      <c r="AI49" s="333"/>
      <c r="AJ49" s="333"/>
      <c r="AK49" s="333"/>
      <c r="AL49" s="345"/>
      <c r="AM49" s="333"/>
      <c r="AN49" s="333"/>
      <c r="AO49" s="333"/>
      <c r="AP49" s="345"/>
      <c r="AQ49" s="333"/>
      <c r="AR49" s="333"/>
      <c r="AS49" s="333"/>
      <c r="AT49" s="345"/>
      <c r="AU49" s="333"/>
      <c r="AV49" s="333"/>
      <c r="AW49" s="333"/>
      <c r="AX49" s="345"/>
      <c r="AY49" s="333"/>
      <c r="AZ49" s="333"/>
      <c r="BA49" s="333"/>
      <c r="BB49" s="345"/>
      <c r="BC49" s="333"/>
      <c r="BD49" s="333"/>
      <c r="BE49" s="333"/>
      <c r="BF49" s="345"/>
      <c r="BG49" s="333"/>
      <c r="BH49" s="333"/>
      <c r="BI49" s="333"/>
      <c r="BJ49" s="345"/>
      <c r="BK49" s="333"/>
      <c r="BL49" s="333"/>
      <c r="BM49" s="333"/>
      <c r="BN49" s="345"/>
      <c r="BO49" s="333"/>
      <c r="BP49" s="333"/>
      <c r="BQ49" s="333"/>
      <c r="BR49" s="345"/>
      <c r="BS49" s="333"/>
      <c r="BT49" s="333"/>
      <c r="BU49" s="333"/>
      <c r="BV49" s="345"/>
      <c r="BW49" s="333"/>
      <c r="BX49" s="333"/>
      <c r="BY49" s="333"/>
      <c r="BZ49" s="345"/>
      <c r="CA49" s="333"/>
      <c r="CB49" s="333"/>
      <c r="CC49" s="333"/>
      <c r="CD49" s="345"/>
      <c r="CE49" s="333"/>
      <c r="CF49" s="333"/>
      <c r="CG49" s="333"/>
      <c r="CH49" s="345"/>
      <c r="CI49" s="333"/>
      <c r="CJ49" s="333"/>
      <c r="CK49" s="333"/>
      <c r="CL49" s="345"/>
      <c r="CM49" s="333"/>
      <c r="CN49" s="333"/>
      <c r="CO49" s="333"/>
      <c r="CP49" s="345"/>
      <c r="CQ49" s="333"/>
      <c r="CR49" s="333"/>
      <c r="CS49" s="333"/>
      <c r="CT49" s="345"/>
      <c r="CU49" s="333"/>
      <c r="CV49" s="333"/>
      <c r="CW49" s="333"/>
      <c r="CX49" s="345"/>
      <c r="CY49" s="333"/>
      <c r="CZ49" s="333"/>
      <c r="DA49" s="333"/>
      <c r="DB49" s="345"/>
      <c r="DC49" s="333"/>
      <c r="DD49" s="333"/>
      <c r="DE49" s="333"/>
      <c r="DF49" s="345"/>
      <c r="DG49" s="333"/>
      <c r="DH49" s="333"/>
      <c r="DI49" s="333"/>
      <c r="DJ49" s="345"/>
      <c r="DK49" s="333"/>
      <c r="DL49" s="333"/>
      <c r="DM49" s="333"/>
      <c r="DN49" s="345"/>
      <c r="DO49" s="333"/>
      <c r="DP49" s="333"/>
      <c r="DQ49" s="333"/>
      <c r="DR49" s="345"/>
      <c r="DS49" s="333"/>
      <c r="DT49" s="333"/>
      <c r="DU49" s="333"/>
      <c r="DV49" s="345"/>
      <c r="DW49" s="333"/>
      <c r="DX49" s="333"/>
      <c r="DY49" s="333"/>
      <c r="DZ49" s="345"/>
      <c r="EA49" s="333"/>
      <c r="EB49" s="333"/>
      <c r="EC49" s="333"/>
      <c r="ED49" s="345"/>
      <c r="EE49" s="333"/>
      <c r="EF49" s="333"/>
      <c r="EG49" s="333"/>
      <c r="EH49" s="345"/>
      <c r="EI49" s="333"/>
      <c r="EJ49" s="333"/>
      <c r="EK49" s="333"/>
      <c r="EL49" s="345"/>
      <c r="EM49" s="333"/>
      <c r="EN49" s="333"/>
      <c r="EO49" s="333"/>
      <c r="EP49" s="345"/>
      <c r="EQ49" s="333"/>
    </row>
    <row r="50" spans="2:147" x14ac:dyDescent="0.2">
      <c r="B50" s="348"/>
      <c r="C50" s="346"/>
      <c r="D50" s="332"/>
      <c r="E50" s="332"/>
      <c r="F50" s="332"/>
      <c r="G50" s="332"/>
      <c r="H50" s="332"/>
      <c r="I50" s="332"/>
      <c r="J50" s="332"/>
      <c r="K50" s="332"/>
      <c r="L50" s="332"/>
      <c r="M50" s="332"/>
      <c r="N50" s="332"/>
      <c r="O50" s="332"/>
      <c r="P50" s="332"/>
      <c r="Q50" s="332"/>
      <c r="R50" s="332"/>
      <c r="S50" s="332"/>
      <c r="T50" s="332"/>
      <c r="U50" s="332"/>
      <c r="V50" s="332"/>
      <c r="W50" s="332"/>
      <c r="X50" s="332"/>
      <c r="Y50" s="332"/>
      <c r="Z50" s="332"/>
      <c r="AA50" s="332"/>
      <c r="AB50" s="332"/>
      <c r="AC50" s="332"/>
      <c r="AD50" s="332"/>
      <c r="AE50" s="332"/>
      <c r="AF50" s="332"/>
      <c r="AG50" s="332"/>
      <c r="AH50" s="332"/>
      <c r="AI50" s="332"/>
      <c r="AJ50" s="332"/>
      <c r="AK50" s="332"/>
      <c r="AL50" s="332"/>
      <c r="AM50" s="332"/>
      <c r="AN50" s="332"/>
      <c r="AO50" s="332"/>
      <c r="AP50" s="332"/>
      <c r="AQ50" s="332"/>
      <c r="AR50" s="332"/>
      <c r="AS50" s="332"/>
      <c r="AT50" s="332"/>
      <c r="AU50" s="332"/>
      <c r="AV50" s="332"/>
      <c r="AW50" s="332"/>
      <c r="AX50" s="332"/>
      <c r="AY50" s="332"/>
      <c r="AZ50" s="332"/>
      <c r="BA50" s="332"/>
      <c r="BB50" s="332"/>
      <c r="BC50" s="332"/>
      <c r="BD50" s="332"/>
      <c r="BE50" s="332"/>
      <c r="BF50" s="332"/>
      <c r="BG50" s="332"/>
      <c r="BH50" s="332"/>
      <c r="BI50" s="332"/>
      <c r="BJ50" s="332"/>
      <c r="BK50" s="332"/>
      <c r="BL50" s="332"/>
      <c r="BM50" s="332"/>
      <c r="BN50" s="332"/>
      <c r="BO50" s="332"/>
      <c r="BP50" s="332"/>
      <c r="BQ50" s="332"/>
      <c r="BR50" s="332"/>
      <c r="BS50" s="332"/>
      <c r="BT50" s="332"/>
      <c r="BU50" s="332"/>
      <c r="BV50" s="332"/>
      <c r="BW50" s="332"/>
      <c r="BX50" s="332"/>
      <c r="BY50" s="332"/>
      <c r="BZ50" s="332"/>
      <c r="CA50" s="332"/>
      <c r="CB50" s="332"/>
      <c r="CC50" s="332"/>
      <c r="CD50" s="332"/>
      <c r="CE50" s="332"/>
      <c r="CF50" s="332"/>
      <c r="CG50" s="332"/>
      <c r="CH50" s="332"/>
      <c r="CI50" s="332"/>
      <c r="CJ50" s="332"/>
      <c r="CK50" s="332"/>
      <c r="CL50" s="332"/>
      <c r="CM50" s="332"/>
      <c r="CN50" s="332"/>
      <c r="CO50" s="332"/>
      <c r="CP50" s="332"/>
      <c r="CQ50" s="332"/>
      <c r="CR50" s="332"/>
      <c r="CS50" s="332"/>
      <c r="CT50" s="332"/>
      <c r="CU50" s="332"/>
      <c r="CV50" s="332"/>
      <c r="CW50" s="332"/>
      <c r="CX50" s="332"/>
      <c r="CY50" s="332"/>
      <c r="CZ50" s="332"/>
      <c r="DA50" s="332"/>
      <c r="DB50" s="332"/>
      <c r="DC50" s="332"/>
      <c r="DD50" s="332"/>
      <c r="DE50" s="332"/>
      <c r="DF50" s="332"/>
      <c r="DG50" s="332"/>
      <c r="DH50" s="332"/>
      <c r="DI50" s="332"/>
      <c r="DJ50" s="332"/>
      <c r="DK50" s="332"/>
      <c r="DL50" s="332"/>
      <c r="DM50" s="332"/>
      <c r="DN50" s="332"/>
      <c r="DO50" s="332"/>
      <c r="DP50" s="332"/>
      <c r="DQ50" s="332"/>
      <c r="DR50" s="332"/>
      <c r="DS50" s="332"/>
      <c r="DT50" s="332"/>
      <c r="DU50" s="332"/>
      <c r="DV50" s="332"/>
      <c r="DW50" s="332"/>
      <c r="DX50" s="332"/>
      <c r="DY50" s="332"/>
      <c r="DZ50" s="332"/>
      <c r="EA50" s="332"/>
      <c r="EB50" s="332"/>
      <c r="EC50" s="332"/>
      <c r="ED50" s="332"/>
      <c r="EE50" s="332"/>
      <c r="EF50" s="332"/>
      <c r="EG50" s="332"/>
      <c r="EH50" s="332"/>
      <c r="EI50" s="332"/>
      <c r="EJ50" s="332"/>
      <c r="EK50" s="332"/>
      <c r="EL50" s="332"/>
      <c r="EM50" s="332"/>
      <c r="EN50" s="332"/>
      <c r="EO50" s="332"/>
      <c r="EP50" s="332"/>
      <c r="EQ50" s="332"/>
    </row>
    <row r="51" spans="2:147" x14ac:dyDescent="0.2">
      <c r="B51" s="296"/>
      <c r="C51" s="349"/>
      <c r="D51" s="329"/>
      <c r="E51" s="329"/>
      <c r="F51" s="329"/>
      <c r="G51" s="329"/>
      <c r="H51" s="329"/>
      <c r="I51" s="329"/>
      <c r="J51" s="329"/>
      <c r="K51" s="329"/>
      <c r="L51" s="329"/>
      <c r="M51" s="329"/>
      <c r="N51" s="329"/>
      <c r="O51" s="329"/>
      <c r="P51" s="329"/>
      <c r="Q51" s="329"/>
      <c r="R51" s="329"/>
      <c r="S51" s="329"/>
      <c r="T51" s="329"/>
      <c r="U51" s="329"/>
      <c r="V51" s="329"/>
      <c r="W51" s="329"/>
      <c r="X51" s="329"/>
      <c r="Y51" s="329"/>
      <c r="Z51" s="329"/>
      <c r="AA51" s="329"/>
      <c r="AB51" s="329"/>
      <c r="AC51" s="329"/>
      <c r="AD51" s="329"/>
      <c r="AE51" s="329"/>
      <c r="AF51" s="329"/>
      <c r="AG51" s="329"/>
      <c r="AH51" s="329"/>
      <c r="AI51" s="329"/>
      <c r="AJ51" s="329"/>
      <c r="AK51" s="329"/>
      <c r="AL51" s="329"/>
      <c r="AM51" s="329"/>
      <c r="AN51" s="329"/>
      <c r="AO51" s="329"/>
      <c r="AP51" s="329"/>
      <c r="AQ51" s="329"/>
      <c r="AR51" s="329"/>
      <c r="AS51" s="329"/>
      <c r="AT51" s="329"/>
      <c r="AU51" s="329"/>
      <c r="AV51" s="329"/>
      <c r="AW51" s="329"/>
      <c r="AX51" s="329"/>
      <c r="AY51" s="329"/>
      <c r="AZ51" s="329"/>
      <c r="BA51" s="329"/>
      <c r="BB51" s="329"/>
      <c r="BC51" s="329"/>
      <c r="BD51" s="329"/>
      <c r="BE51" s="329"/>
      <c r="BF51" s="329"/>
      <c r="BG51" s="329"/>
      <c r="BH51" s="329"/>
      <c r="BI51" s="329"/>
      <c r="BJ51" s="329"/>
      <c r="BK51" s="329"/>
      <c r="BL51" s="329"/>
      <c r="BM51" s="329"/>
      <c r="BN51" s="329"/>
      <c r="BO51" s="329"/>
      <c r="BP51" s="329"/>
      <c r="BQ51" s="329"/>
      <c r="BR51" s="329"/>
      <c r="BS51" s="329"/>
      <c r="BT51" s="329"/>
      <c r="BU51" s="329"/>
      <c r="BV51" s="329"/>
      <c r="BW51" s="329"/>
      <c r="BX51" s="329"/>
      <c r="BY51" s="329"/>
      <c r="BZ51" s="329"/>
      <c r="CA51" s="329"/>
      <c r="CB51" s="329"/>
      <c r="CC51" s="329"/>
      <c r="CD51" s="329"/>
      <c r="CE51" s="329"/>
      <c r="CF51" s="329"/>
      <c r="CG51" s="329"/>
      <c r="CH51" s="329"/>
      <c r="CI51" s="329"/>
      <c r="CJ51" s="329"/>
      <c r="CK51" s="329"/>
      <c r="CL51" s="329"/>
      <c r="CM51" s="329"/>
      <c r="CN51" s="329"/>
      <c r="CO51" s="329"/>
      <c r="CP51" s="329"/>
      <c r="CQ51" s="329"/>
      <c r="CR51" s="329"/>
      <c r="CS51" s="329"/>
      <c r="CT51" s="329"/>
      <c r="CU51" s="329"/>
      <c r="CV51" s="329"/>
      <c r="CW51" s="329"/>
      <c r="CX51" s="329"/>
      <c r="CY51" s="329"/>
      <c r="CZ51" s="329"/>
      <c r="DA51" s="329"/>
      <c r="DB51" s="329"/>
      <c r="DC51" s="329"/>
      <c r="DD51" s="329"/>
      <c r="DE51" s="329"/>
      <c r="DF51" s="329"/>
      <c r="DG51" s="329"/>
      <c r="DH51" s="329"/>
      <c r="DI51" s="329"/>
      <c r="DJ51" s="329"/>
      <c r="DK51" s="329"/>
      <c r="DL51" s="329"/>
      <c r="DM51" s="329"/>
      <c r="DN51" s="329"/>
      <c r="DO51" s="329"/>
      <c r="DP51" s="329"/>
      <c r="DQ51" s="329"/>
      <c r="DR51" s="329"/>
      <c r="DS51" s="329"/>
      <c r="DT51" s="329"/>
      <c r="DU51" s="329"/>
      <c r="DV51" s="329"/>
      <c r="DW51" s="329"/>
      <c r="DX51" s="329"/>
      <c r="DY51" s="329"/>
      <c r="DZ51" s="329"/>
      <c r="EA51" s="329"/>
      <c r="EB51" s="329"/>
      <c r="EC51" s="329"/>
      <c r="ED51" s="329"/>
      <c r="EE51" s="329"/>
      <c r="EF51" s="329"/>
      <c r="EG51" s="329"/>
      <c r="EH51" s="329"/>
      <c r="EI51" s="329"/>
      <c r="EJ51" s="329"/>
      <c r="EK51" s="329"/>
      <c r="EL51" s="329"/>
      <c r="EM51" s="329"/>
      <c r="EN51" s="329"/>
      <c r="EO51" s="329"/>
      <c r="EP51" s="329"/>
      <c r="EQ51" s="329"/>
    </row>
    <row r="52" spans="2:147" x14ac:dyDescent="0.2">
      <c r="G52" s="305"/>
      <c r="K52" s="305"/>
      <c r="O52" s="305"/>
      <c r="S52" s="305"/>
      <c r="W52" s="305"/>
      <c r="AA52" s="305"/>
      <c r="AE52" s="305"/>
      <c r="AI52" s="305"/>
      <c r="AM52" s="305"/>
      <c r="AQ52" s="305"/>
      <c r="AU52" s="305"/>
      <c r="AY52" s="305"/>
      <c r="BC52" s="305"/>
      <c r="BG52" s="305"/>
      <c r="BK52" s="305"/>
      <c r="BO52" s="305"/>
      <c r="BS52" s="305"/>
      <c r="BW52" s="305"/>
      <c r="CA52" s="305"/>
      <c r="CE52" s="305"/>
      <c r="CI52" s="305"/>
      <c r="CM52" s="305"/>
      <c r="CQ52" s="305"/>
      <c r="CU52" s="305"/>
      <c r="CY52" s="305"/>
      <c r="DC52" s="305"/>
      <c r="DG52" s="305"/>
      <c r="DK52" s="305"/>
      <c r="DO52" s="305"/>
      <c r="DS52" s="305"/>
      <c r="DW52" s="305"/>
      <c r="EA52" s="305"/>
      <c r="EE52" s="305"/>
      <c r="EI52" s="305"/>
      <c r="EM52" s="305"/>
      <c r="EQ52" s="305"/>
    </row>
  </sheetData>
  <mergeCells count="6">
    <mergeCell ref="CV3:EQ3"/>
    <mergeCell ref="A1:C1"/>
    <mergeCell ref="C3:AY3"/>
    <mergeCell ref="AZ3:CU3"/>
    <mergeCell ref="AB23:AM23"/>
    <mergeCell ref="C23:O2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A1666-9B32-4849-9F4E-1D5599847116}">
  <dimension ref="B1:Z269"/>
  <sheetViews>
    <sheetView topLeftCell="D1" zoomScale="44" workbookViewId="0">
      <selection activeCell="U19" sqref="U19"/>
    </sheetView>
  </sheetViews>
  <sheetFormatPr baseColWidth="10" defaultColWidth="11.1640625" defaultRowHeight="16" x14ac:dyDescent="0.2"/>
  <cols>
    <col min="2" max="2" width="71.1640625" bestFit="1" customWidth="1"/>
    <col min="3" max="3" width="24.1640625" customWidth="1"/>
    <col min="4" max="4" width="16" bestFit="1" customWidth="1"/>
    <col min="5" max="5" width="11"/>
    <col min="6" max="6" width="11.83203125" bestFit="1" customWidth="1"/>
    <col min="7" max="7" width="10.6640625" bestFit="1" customWidth="1"/>
    <col min="8" max="8" width="14.1640625" customWidth="1"/>
    <col min="9" max="9" width="11"/>
    <col min="10" max="10" width="12.5" bestFit="1" customWidth="1"/>
    <col min="11" max="11" width="14.1640625" bestFit="1" customWidth="1"/>
    <col min="14" max="14" width="16.83203125" bestFit="1" customWidth="1"/>
    <col min="16" max="16" width="10.6640625" bestFit="1" customWidth="1"/>
    <col min="17" max="17" width="13" bestFit="1" customWidth="1"/>
    <col min="18" max="18" width="25" bestFit="1" customWidth="1"/>
    <col min="20" max="20" width="17" bestFit="1" customWidth="1"/>
    <col min="21" max="21" width="12.33203125" customWidth="1"/>
    <col min="25" max="25" width="16.83203125" bestFit="1" customWidth="1"/>
  </cols>
  <sheetData>
    <row r="1" spans="2:26" ht="17" thickBot="1" x14ac:dyDescent="0.25">
      <c r="N1" s="1711"/>
      <c r="O1" s="1859" t="s">
        <v>203</v>
      </c>
      <c r="P1" s="1859" t="s">
        <v>482</v>
      </c>
      <c r="Q1" s="1859" t="s">
        <v>483</v>
      </c>
      <c r="R1" s="1859" t="s">
        <v>676</v>
      </c>
    </row>
    <row r="2" spans="2:26" x14ac:dyDescent="0.2">
      <c r="B2" s="164" t="s">
        <v>677</v>
      </c>
      <c r="N2" s="1711" t="s">
        <v>408</v>
      </c>
      <c r="O2" s="1860">
        <f>F34</f>
        <v>29164.319999999996</v>
      </c>
      <c r="P2" s="1860">
        <f>G34</f>
        <v>11982.949737742303</v>
      </c>
      <c r="Q2" s="1860">
        <f>H34</f>
        <v>18596.334047890534</v>
      </c>
      <c r="R2" s="1860">
        <f t="shared" ref="R2:R8" si="0">SUM(O2:Q2)</f>
        <v>59743.603785632833</v>
      </c>
      <c r="Y2" s="1711" t="s">
        <v>408</v>
      </c>
      <c r="Z2" s="1711">
        <v>15</v>
      </c>
    </row>
    <row r="3" spans="2:26" ht="17" thickBot="1" x14ac:dyDescent="0.25">
      <c r="B3" s="123" t="s">
        <v>678</v>
      </c>
      <c r="N3" s="1711" t="s">
        <v>409</v>
      </c>
      <c r="O3" s="1860">
        <f>F61</f>
        <v>108880.12800000003</v>
      </c>
      <c r="P3" s="1860">
        <f>G61</f>
        <v>44736.345687571251</v>
      </c>
      <c r="Q3" s="1860">
        <f>H61</f>
        <v>69426.313778791344</v>
      </c>
      <c r="R3" s="1860">
        <f t="shared" si="0"/>
        <v>223042.78746636261</v>
      </c>
      <c r="Y3" s="1711" t="s">
        <v>409</v>
      </c>
      <c r="Z3" s="1711">
        <v>42</v>
      </c>
    </row>
    <row r="4" spans="2:26" x14ac:dyDescent="0.2">
      <c r="N4" s="1711" t="s">
        <v>410</v>
      </c>
      <c r="O4" s="1860">
        <f>F88</f>
        <v>174985.91999999998</v>
      </c>
      <c r="P4" s="1860">
        <f>G88</f>
        <v>71897.698426453819</v>
      </c>
      <c r="Q4" s="1860">
        <f>H88</f>
        <v>111578.00428734322</v>
      </c>
      <c r="R4" s="1860">
        <f t="shared" si="0"/>
        <v>358461.62271379703</v>
      </c>
      <c r="Y4" s="1711" t="s">
        <v>410</v>
      </c>
      <c r="Z4" s="1711">
        <v>54</v>
      </c>
    </row>
    <row r="5" spans="2:26" x14ac:dyDescent="0.2">
      <c r="N5" s="1711" t="s">
        <v>412</v>
      </c>
      <c r="O5" s="1860">
        <f>F115</f>
        <v>73882.943999999989</v>
      </c>
      <c r="P5" s="1860">
        <f>G115</f>
        <v>30356.8060022805</v>
      </c>
      <c r="Q5" s="1860">
        <f>H115</f>
        <v>47110.712921322687</v>
      </c>
      <c r="R5" s="1860">
        <f t="shared" si="0"/>
        <v>151350.46292360319</v>
      </c>
      <c r="Y5" s="1711" t="s">
        <v>412</v>
      </c>
      <c r="Z5" s="1711">
        <v>19</v>
      </c>
    </row>
    <row r="6" spans="2:26" ht="22" x14ac:dyDescent="0.3">
      <c r="B6" s="2062" t="s">
        <v>679</v>
      </c>
      <c r="C6" s="2063"/>
      <c r="D6" s="2063"/>
      <c r="E6" s="2063"/>
      <c r="F6" s="2063"/>
      <c r="G6" s="2063"/>
      <c r="H6" s="2064"/>
      <c r="N6" s="1711" t="s">
        <v>413</v>
      </c>
      <c r="O6" s="1860">
        <f>F142</f>
        <v>46662.912000000011</v>
      </c>
      <c r="P6" s="1860">
        <f>G142</f>
        <v>19172.719580387678</v>
      </c>
      <c r="Q6" s="1860">
        <f>H142</f>
        <v>29754.134476624859</v>
      </c>
      <c r="R6" s="1860">
        <f t="shared" si="0"/>
        <v>95589.766057012544</v>
      </c>
      <c r="Y6" s="1711" t="s">
        <v>413</v>
      </c>
      <c r="Z6" s="1711">
        <v>9</v>
      </c>
    </row>
    <row r="7" spans="2:26" x14ac:dyDescent="0.2">
      <c r="N7" s="1711" t="s">
        <v>415</v>
      </c>
      <c r="O7" s="1860">
        <f>F169</f>
        <v>14690.175999999998</v>
      </c>
      <c r="P7" s="1860">
        <f>G169</f>
        <v>6035.8561641961232</v>
      </c>
      <c r="Q7" s="1860">
        <f>H169</f>
        <v>9367.0423352337511</v>
      </c>
      <c r="R7" s="1860">
        <f t="shared" si="0"/>
        <v>30093.074499429873</v>
      </c>
      <c r="Y7" s="1711" t="s">
        <v>415</v>
      </c>
      <c r="Z7" s="1711">
        <v>2</v>
      </c>
    </row>
    <row r="8" spans="2:26" ht="17" thickBot="1" x14ac:dyDescent="0.25">
      <c r="B8" t="s">
        <v>472</v>
      </c>
      <c r="N8" s="1711" t="s">
        <v>416</v>
      </c>
      <c r="O8" s="1860">
        <f>F213</f>
        <v>21065.720592930444</v>
      </c>
      <c r="P8" s="1860">
        <f>G213</f>
        <v>1452.1016647662486</v>
      </c>
      <c r="Q8" s="1860">
        <f>H213</f>
        <v>9315.3238768529081</v>
      </c>
      <c r="R8" s="1860">
        <f t="shared" si="0"/>
        <v>31833.146134549599</v>
      </c>
      <c r="Y8" s="1711" t="s">
        <v>416</v>
      </c>
      <c r="Z8" s="1711">
        <v>1</v>
      </c>
    </row>
    <row r="9" spans="2:26" ht="17" thickBot="1" x14ac:dyDescent="0.25">
      <c r="B9" s="2059" t="s">
        <v>473</v>
      </c>
      <c r="C9" s="2060"/>
      <c r="D9" s="2060"/>
      <c r="E9" s="2060"/>
      <c r="F9" s="2060" t="s">
        <v>474</v>
      </c>
      <c r="G9" s="2060"/>
      <c r="H9" s="2061"/>
      <c r="J9" s="1671" t="s">
        <v>680</v>
      </c>
      <c r="K9" s="1672" t="s">
        <v>489</v>
      </c>
      <c r="N9" s="1711" t="s">
        <v>681</v>
      </c>
      <c r="O9" s="1860">
        <f>SUM(O2:O8)</f>
        <v>469332.12059293047</v>
      </c>
      <c r="P9" s="1860">
        <f>SUM(P2:P8)</f>
        <v>185634.47726339794</v>
      </c>
      <c r="Q9" s="1860">
        <f>SUM(Q2:Q8)</f>
        <v>295147.86572405929</v>
      </c>
      <c r="R9" s="1860">
        <f>SUM(R2:R8)</f>
        <v>950114.46358038776</v>
      </c>
      <c r="Y9" s="1711" t="s">
        <v>682</v>
      </c>
      <c r="Z9" s="1711">
        <f>SUM(Z2:Z8)</f>
        <v>142</v>
      </c>
    </row>
    <row r="10" spans="2:26" ht="17" thickBot="1" x14ac:dyDescent="0.25">
      <c r="B10" s="1673" t="s">
        <v>479</v>
      </c>
      <c r="C10" s="1674" t="s">
        <v>480</v>
      </c>
      <c r="D10" s="1674" t="s">
        <v>481</v>
      </c>
      <c r="E10" s="1675" t="s">
        <v>127</v>
      </c>
      <c r="F10" s="1674" t="s">
        <v>203</v>
      </c>
      <c r="G10" s="1674" t="s">
        <v>482</v>
      </c>
      <c r="H10" s="1676" t="s">
        <v>483</v>
      </c>
      <c r="J10" s="160">
        <v>43.85</v>
      </c>
      <c r="K10" s="161">
        <v>18</v>
      </c>
      <c r="T10" s="432"/>
      <c r="U10" s="433" t="s">
        <v>683</v>
      </c>
      <c r="V10" s="434" t="s">
        <v>491</v>
      </c>
    </row>
    <row r="11" spans="2:26" x14ac:dyDescent="0.2">
      <c r="B11" s="145" t="s">
        <v>487</v>
      </c>
      <c r="C11" s="1677">
        <v>479.42</v>
      </c>
      <c r="D11" s="1677">
        <f>C11*$K$10/$J$10</f>
        <v>196.79726339794752</v>
      </c>
      <c r="E11" s="155"/>
      <c r="F11" s="156"/>
      <c r="G11" s="156"/>
      <c r="H11" s="146">
        <f>D11</f>
        <v>196.79726339794752</v>
      </c>
      <c r="T11" s="430" t="s">
        <v>408</v>
      </c>
      <c r="U11" s="431">
        <v>15</v>
      </c>
      <c r="V11" s="435">
        <v>18</v>
      </c>
    </row>
    <row r="12" spans="2:26" x14ac:dyDescent="0.2">
      <c r="B12" s="145" t="s">
        <v>494</v>
      </c>
      <c r="C12" s="1677">
        <v>333.84</v>
      </c>
      <c r="D12" s="1677">
        <f t="shared" ref="D12:D31" si="1">C12*$K$10/$J$10</f>
        <v>137.03808437856327</v>
      </c>
      <c r="E12" s="155"/>
      <c r="F12" s="156">
        <f>D12</f>
        <v>137.03808437856327</v>
      </c>
      <c r="G12" s="156"/>
      <c r="H12" s="147"/>
      <c r="T12" s="1861" t="s">
        <v>409</v>
      </c>
      <c r="U12" s="428">
        <v>42</v>
      </c>
      <c r="V12" s="1862">
        <v>24</v>
      </c>
    </row>
    <row r="13" spans="2:26" x14ac:dyDescent="0.2">
      <c r="B13" s="145" t="s">
        <v>501</v>
      </c>
      <c r="C13" s="1677">
        <v>903.79</v>
      </c>
      <c r="D13" s="1677">
        <f t="shared" si="1"/>
        <v>370.99703534777649</v>
      </c>
      <c r="E13" s="155"/>
      <c r="F13" s="165">
        <f>D13</f>
        <v>370.99703534777649</v>
      </c>
      <c r="G13" s="156"/>
      <c r="H13" s="146"/>
      <c r="P13" s="282"/>
      <c r="Q13" s="281"/>
      <c r="T13" s="1861" t="s">
        <v>410</v>
      </c>
      <c r="U13" s="428">
        <v>54</v>
      </c>
      <c r="V13" s="1862">
        <v>30</v>
      </c>
    </row>
    <row r="14" spans="2:26" x14ac:dyDescent="0.2">
      <c r="B14" s="145" t="s">
        <v>507</v>
      </c>
      <c r="C14" s="1677">
        <v>291.31</v>
      </c>
      <c r="D14" s="1677">
        <f t="shared" si="1"/>
        <v>119.57993158494868</v>
      </c>
      <c r="E14" s="155"/>
      <c r="F14" s="165">
        <f>D14</f>
        <v>119.57993158494868</v>
      </c>
      <c r="G14" s="156"/>
      <c r="H14" s="146"/>
      <c r="P14" s="1783"/>
      <c r="Q14" s="1784"/>
      <c r="T14" s="1861" t="s">
        <v>411</v>
      </c>
      <c r="U14" s="428">
        <v>19</v>
      </c>
      <c r="V14" s="1862">
        <v>36</v>
      </c>
    </row>
    <row r="15" spans="2:26" x14ac:dyDescent="0.2">
      <c r="B15" s="145" t="s">
        <v>513</v>
      </c>
      <c r="C15" s="1677">
        <v>213</v>
      </c>
      <c r="D15" s="1677">
        <f t="shared" si="1"/>
        <v>87.434435575826683</v>
      </c>
      <c r="E15" s="155"/>
      <c r="F15" s="157"/>
      <c r="G15" s="156">
        <f>D15</f>
        <v>87.434435575826683</v>
      </c>
      <c r="H15" s="146"/>
      <c r="P15" s="1783"/>
      <c r="Q15" s="1784"/>
      <c r="T15" s="1861" t="s">
        <v>413</v>
      </c>
      <c r="U15" s="428">
        <v>9</v>
      </c>
      <c r="V15" s="1862">
        <v>48</v>
      </c>
    </row>
    <row r="16" spans="2:26" ht="17" thickBot="1" x14ac:dyDescent="0.25">
      <c r="B16" s="145" t="s">
        <v>520</v>
      </c>
      <c r="C16" s="1677">
        <v>139.5</v>
      </c>
      <c r="D16" s="1677">
        <f t="shared" si="1"/>
        <v>57.263397947548462</v>
      </c>
      <c r="E16" s="155"/>
      <c r="F16" s="156"/>
      <c r="G16" s="156">
        <f>D16</f>
        <v>57.263397947548462</v>
      </c>
      <c r="H16" s="147"/>
      <c r="P16" s="1783"/>
      <c r="Q16" s="1784"/>
      <c r="T16" s="427" t="s">
        <v>414</v>
      </c>
      <c r="U16" s="429">
        <v>2</v>
      </c>
      <c r="V16" s="426">
        <v>68</v>
      </c>
    </row>
    <row r="17" spans="2:17" x14ac:dyDescent="0.2">
      <c r="B17" s="145" t="s">
        <v>504</v>
      </c>
      <c r="C17" s="1677">
        <v>1087.76</v>
      </c>
      <c r="D17" s="1677">
        <f t="shared" si="1"/>
        <v>446.51493728620295</v>
      </c>
      <c r="E17" s="155"/>
      <c r="F17" s="156"/>
      <c r="G17" s="156">
        <f>D17</f>
        <v>446.51493728620295</v>
      </c>
      <c r="H17" s="147"/>
      <c r="P17" s="1783"/>
      <c r="Q17" s="1784"/>
    </row>
    <row r="18" spans="2:17" x14ac:dyDescent="0.2">
      <c r="B18" s="145" t="s">
        <v>530</v>
      </c>
      <c r="C18" s="1677">
        <v>159.66999999999999</v>
      </c>
      <c r="D18" s="1677">
        <f t="shared" si="1"/>
        <v>65.542987457240585</v>
      </c>
      <c r="E18" s="155"/>
      <c r="F18" s="156">
        <f t="shared" ref="F18:F26" si="2">D18</f>
        <v>65.542987457240585</v>
      </c>
      <c r="G18" s="156"/>
      <c r="H18" s="147"/>
      <c r="P18" s="284"/>
      <c r="Q18" s="222"/>
    </row>
    <row r="19" spans="2:17" x14ac:dyDescent="0.2">
      <c r="B19" s="145" t="s">
        <v>534</v>
      </c>
      <c r="C19" s="1677">
        <v>249</v>
      </c>
      <c r="D19" s="1677">
        <f t="shared" si="1"/>
        <v>102.21208665906499</v>
      </c>
      <c r="E19" s="155"/>
      <c r="F19" s="156">
        <f t="shared" si="2"/>
        <v>102.21208665906499</v>
      </c>
      <c r="G19" s="156"/>
      <c r="H19" s="147"/>
    </row>
    <row r="20" spans="2:17" x14ac:dyDescent="0.2">
      <c r="B20" s="145" t="s">
        <v>539</v>
      </c>
      <c r="C20" s="1677">
        <v>237</v>
      </c>
      <c r="D20" s="1677">
        <f t="shared" si="1"/>
        <v>97.286202964652219</v>
      </c>
      <c r="E20" s="155"/>
      <c r="F20" s="156">
        <f t="shared" si="2"/>
        <v>97.286202964652219</v>
      </c>
      <c r="G20" s="156"/>
      <c r="H20" s="147"/>
    </row>
    <row r="21" spans="2:17" x14ac:dyDescent="0.2">
      <c r="B21" s="145" t="s">
        <v>543</v>
      </c>
      <c r="C21" s="1677">
        <v>382</v>
      </c>
      <c r="D21" s="1677">
        <f t="shared" si="1"/>
        <v>156.8072976054732</v>
      </c>
      <c r="E21" s="155"/>
      <c r="F21" s="156">
        <f t="shared" si="2"/>
        <v>156.8072976054732</v>
      </c>
      <c r="G21" s="156"/>
      <c r="H21" s="147"/>
    </row>
    <row r="22" spans="2:17" x14ac:dyDescent="0.2">
      <c r="B22" s="145" t="s">
        <v>549</v>
      </c>
      <c r="C22" s="1677">
        <v>289.11</v>
      </c>
      <c r="D22" s="1677">
        <f t="shared" si="1"/>
        <v>118.67685290763968</v>
      </c>
      <c r="E22" s="155"/>
      <c r="F22" s="156">
        <f t="shared" si="2"/>
        <v>118.67685290763968</v>
      </c>
      <c r="G22" s="156"/>
      <c r="H22" s="147"/>
    </row>
    <row r="23" spans="2:17" x14ac:dyDescent="0.2">
      <c r="B23" s="145" t="s">
        <v>552</v>
      </c>
      <c r="C23" s="1677">
        <v>450.67</v>
      </c>
      <c r="D23" s="1677">
        <f>C23*$K$10/$J$10</f>
        <v>184.9956670467503</v>
      </c>
      <c r="E23" s="155"/>
      <c r="F23" s="156">
        <f t="shared" si="2"/>
        <v>184.9956670467503</v>
      </c>
      <c r="G23" s="156"/>
      <c r="H23" s="147"/>
    </row>
    <row r="24" spans="2:17" x14ac:dyDescent="0.2">
      <c r="B24" s="145" t="s">
        <v>556</v>
      </c>
      <c r="C24" s="1677">
        <v>869</v>
      </c>
      <c r="D24" s="1677">
        <f t="shared" si="1"/>
        <v>356.71607753705814</v>
      </c>
      <c r="E24" s="155"/>
      <c r="F24" s="165">
        <f t="shared" si="2"/>
        <v>356.71607753705814</v>
      </c>
      <c r="G24" s="157"/>
      <c r="H24" s="146"/>
    </row>
    <row r="25" spans="2:17" x14ac:dyDescent="0.2">
      <c r="B25" s="145" t="s">
        <v>560</v>
      </c>
      <c r="C25" s="1677">
        <v>644.66999999999996</v>
      </c>
      <c r="D25" s="1677">
        <f>C25*$K$10/$J$10</f>
        <v>264.63078677309005</v>
      </c>
      <c r="F25" s="165">
        <f t="shared" si="2"/>
        <v>264.63078677309005</v>
      </c>
      <c r="H25" s="144"/>
    </row>
    <row r="26" spans="2:17" x14ac:dyDescent="0.2">
      <c r="B26" s="145" t="s">
        <v>564</v>
      </c>
      <c r="C26" s="1677">
        <v>697.5</v>
      </c>
      <c r="D26" s="1677">
        <f t="shared" si="1"/>
        <v>286.31698973774229</v>
      </c>
      <c r="E26" s="155"/>
      <c r="F26" s="165">
        <f t="shared" si="2"/>
        <v>286.31698973774229</v>
      </c>
      <c r="G26" s="157"/>
      <c r="H26" s="146"/>
    </row>
    <row r="27" spans="2:17" x14ac:dyDescent="0.2">
      <c r="B27" s="145" t="s">
        <v>567</v>
      </c>
      <c r="C27" s="1677">
        <v>484.62</v>
      </c>
      <c r="D27" s="1677">
        <f t="shared" si="1"/>
        <v>198.93181299885973</v>
      </c>
      <c r="E27" s="155"/>
      <c r="F27" s="157"/>
      <c r="G27" s="157"/>
      <c r="H27" s="146">
        <f>D27</f>
        <v>198.93181299885973</v>
      </c>
    </row>
    <row r="28" spans="2:17" x14ac:dyDescent="0.2">
      <c r="B28" s="145" t="s">
        <v>570</v>
      </c>
      <c r="C28" s="1677">
        <v>739.43</v>
      </c>
      <c r="D28" s="1677">
        <f t="shared" si="1"/>
        <v>303.52884834663627</v>
      </c>
      <c r="E28" s="155"/>
      <c r="F28" s="156"/>
      <c r="G28" s="157"/>
      <c r="H28" s="146">
        <f>D28</f>
        <v>303.52884834663627</v>
      </c>
    </row>
    <row r="29" spans="2:17" x14ac:dyDescent="0.2">
      <c r="B29" s="145" t="s">
        <v>572</v>
      </c>
      <c r="C29" s="1677">
        <v>192.65</v>
      </c>
      <c r="D29" s="1677">
        <f t="shared" si="1"/>
        <v>79.08095781071836</v>
      </c>
      <c r="E29" s="155"/>
      <c r="F29" s="156"/>
      <c r="G29" s="157"/>
      <c r="H29" s="146">
        <f>D29</f>
        <v>79.08095781071836</v>
      </c>
    </row>
    <row r="30" spans="2:17" x14ac:dyDescent="0.2">
      <c r="B30" s="145" t="s">
        <v>576</v>
      </c>
      <c r="C30" s="1677">
        <v>1615.72</v>
      </c>
      <c r="D30" s="1677">
        <f t="shared" si="1"/>
        <v>663.23740022805009</v>
      </c>
      <c r="E30" s="155"/>
      <c r="F30" s="156"/>
      <c r="G30" s="157"/>
      <c r="H30" s="146">
        <f>D30</f>
        <v>663.23740022805009</v>
      </c>
    </row>
    <row r="31" spans="2:17" x14ac:dyDescent="0.2">
      <c r="B31" s="145" t="s">
        <v>579</v>
      </c>
      <c r="C31" s="1678">
        <v>822.67</v>
      </c>
      <c r="D31" s="1677">
        <f t="shared" si="1"/>
        <v>337.69806157354617</v>
      </c>
      <c r="E31" s="155"/>
      <c r="F31" s="156"/>
      <c r="G31" s="156">
        <f>D31</f>
        <v>337.69806157354617</v>
      </c>
      <c r="H31" s="146"/>
    </row>
    <row r="32" spans="2:17" x14ac:dyDescent="0.2">
      <c r="B32" s="1863" t="s">
        <v>518</v>
      </c>
      <c r="C32" s="1864">
        <f>SUM(C11:C31)</f>
        <v>11282.329999999998</v>
      </c>
      <c r="D32" s="1864">
        <f>SUM(D11:D31)</f>
        <v>4631.2871151653362</v>
      </c>
      <c r="E32" s="1864"/>
      <c r="F32" s="1864">
        <f>SUM(F11:F31)</f>
        <v>2260.7999999999997</v>
      </c>
      <c r="G32" s="1864">
        <f>SUM(G11:G31)</f>
        <v>928.91083238312433</v>
      </c>
      <c r="H32" s="1865">
        <f>SUM(H11:H31)</f>
        <v>1441.5762827822118</v>
      </c>
    </row>
    <row r="33" spans="2:11" ht="17" thickBot="1" x14ac:dyDescent="0.25">
      <c r="B33" s="145" t="s">
        <v>525</v>
      </c>
      <c r="C33" s="153">
        <f>C32*0.86</f>
        <v>9702.8037999999979</v>
      </c>
      <c r="D33" s="153">
        <f>D32*0.86</f>
        <v>3982.9069190421892</v>
      </c>
      <c r="E33" s="153"/>
      <c r="F33" s="153">
        <f>F32*0.86</f>
        <v>1944.2879999999998</v>
      </c>
      <c r="G33" s="153">
        <f>G32*0.86</f>
        <v>798.86331584948687</v>
      </c>
      <c r="H33" s="168">
        <f>H32*0.86</f>
        <v>1239.7556031927022</v>
      </c>
    </row>
    <row r="34" spans="2:11" ht="17" thickBot="1" x14ac:dyDescent="0.25">
      <c r="B34" s="1679" t="s">
        <v>612</v>
      </c>
      <c r="C34" s="149"/>
      <c r="D34" s="150">
        <f>(D33)*Z2</f>
        <v>59743.60378563284</v>
      </c>
      <c r="E34" s="1680"/>
      <c r="F34" s="1681">
        <f>(F33)*Z2</f>
        <v>29164.319999999996</v>
      </c>
      <c r="G34" s="1681">
        <f>(G33)*Z2</f>
        <v>11982.949737742303</v>
      </c>
      <c r="H34" s="1682">
        <f>(H33)*Z2</f>
        <v>18596.334047890534</v>
      </c>
    </row>
    <row r="35" spans="2:11" ht="17" thickBot="1" x14ac:dyDescent="0.25"/>
    <row r="36" spans="2:11" x14ac:dyDescent="0.2">
      <c r="B36" s="2059" t="s">
        <v>591</v>
      </c>
      <c r="C36" s="2060"/>
      <c r="D36" s="2060"/>
      <c r="E36" s="2060"/>
      <c r="F36" s="2060" t="s">
        <v>474</v>
      </c>
      <c r="G36" s="2060"/>
      <c r="H36" s="2061"/>
      <c r="J36" s="1671" t="s">
        <v>680</v>
      </c>
      <c r="K36" s="1672" t="s">
        <v>489</v>
      </c>
    </row>
    <row r="37" spans="2:11" ht="17" thickBot="1" x14ac:dyDescent="0.25">
      <c r="B37" s="1673" t="s">
        <v>479</v>
      </c>
      <c r="C37" s="1674" t="s">
        <v>480</v>
      </c>
      <c r="D37" s="1674" t="s">
        <v>481</v>
      </c>
      <c r="E37" s="1675" t="s">
        <v>127</v>
      </c>
      <c r="F37" s="1674" t="s">
        <v>203</v>
      </c>
      <c r="G37" s="1674" t="s">
        <v>482</v>
      </c>
      <c r="H37" s="1676" t="s">
        <v>483</v>
      </c>
      <c r="J37" s="160">
        <v>43.85</v>
      </c>
      <c r="K37" s="161">
        <v>24</v>
      </c>
    </row>
    <row r="38" spans="2:11" x14ac:dyDescent="0.2">
      <c r="B38" s="145" t="s">
        <v>487</v>
      </c>
      <c r="C38" s="1677">
        <v>479.42</v>
      </c>
      <c r="D38" s="1677">
        <f>C38*$K$37/$J$37</f>
        <v>262.39635119726341</v>
      </c>
      <c r="E38" s="155"/>
      <c r="F38" s="156"/>
      <c r="G38" s="156"/>
      <c r="H38" s="146">
        <f>D38</f>
        <v>262.39635119726341</v>
      </c>
      <c r="J38" s="162"/>
      <c r="K38" s="162"/>
    </row>
    <row r="39" spans="2:11" x14ac:dyDescent="0.2">
      <c r="B39" s="145" t="s">
        <v>494</v>
      </c>
      <c r="C39" s="1677">
        <v>333.84</v>
      </c>
      <c r="D39" s="1677">
        <f t="shared" ref="D39:D58" si="3">C39*$K$37/$J$37</f>
        <v>182.71744583808436</v>
      </c>
      <c r="E39" s="155"/>
      <c r="F39" s="156">
        <f>D39</f>
        <v>182.71744583808436</v>
      </c>
      <c r="G39" s="156"/>
      <c r="H39" s="147"/>
    </row>
    <row r="40" spans="2:11" x14ac:dyDescent="0.2">
      <c r="B40" s="145" t="s">
        <v>501</v>
      </c>
      <c r="C40" s="1677">
        <v>903.79</v>
      </c>
      <c r="D40" s="1677">
        <f t="shared" si="3"/>
        <v>494.66271379703534</v>
      </c>
      <c r="E40" s="155"/>
      <c r="F40" s="165">
        <f>D40</f>
        <v>494.66271379703534</v>
      </c>
      <c r="G40" s="156"/>
      <c r="H40" s="146"/>
    </row>
    <row r="41" spans="2:11" x14ac:dyDescent="0.2">
      <c r="B41" s="145" t="s">
        <v>507</v>
      </c>
      <c r="C41" s="1677">
        <v>291.31</v>
      </c>
      <c r="D41" s="1677">
        <f t="shared" si="3"/>
        <v>159.43990877993159</v>
      </c>
      <c r="E41" s="155"/>
      <c r="F41" s="165">
        <f>D41</f>
        <v>159.43990877993159</v>
      </c>
      <c r="G41" s="156"/>
      <c r="H41" s="146"/>
    </row>
    <row r="42" spans="2:11" x14ac:dyDescent="0.2">
      <c r="B42" s="145" t="s">
        <v>513</v>
      </c>
      <c r="C42" s="1677">
        <v>213</v>
      </c>
      <c r="D42" s="1677">
        <f t="shared" si="3"/>
        <v>116.57924743443557</v>
      </c>
      <c r="E42" s="155"/>
      <c r="F42" s="157"/>
      <c r="G42" s="156">
        <f>D42</f>
        <v>116.57924743443557</v>
      </c>
      <c r="H42" s="146"/>
    </row>
    <row r="43" spans="2:11" x14ac:dyDescent="0.2">
      <c r="B43" s="145" t="s">
        <v>520</v>
      </c>
      <c r="C43" s="1677">
        <v>139.5</v>
      </c>
      <c r="D43" s="1677">
        <f t="shared" si="3"/>
        <v>76.35119726339795</v>
      </c>
      <c r="E43" s="155"/>
      <c r="F43" s="156"/>
      <c r="G43" s="156">
        <f>D43</f>
        <v>76.35119726339795</v>
      </c>
      <c r="H43" s="147"/>
    </row>
    <row r="44" spans="2:11" x14ac:dyDescent="0.2">
      <c r="B44" s="145" t="s">
        <v>504</v>
      </c>
      <c r="C44" s="1677">
        <v>1087.76</v>
      </c>
      <c r="D44" s="1677">
        <f t="shared" si="3"/>
        <v>595.35324971493719</v>
      </c>
      <c r="E44" s="155"/>
      <c r="F44" s="156"/>
      <c r="G44" s="156">
        <f>D44</f>
        <v>595.35324971493719</v>
      </c>
      <c r="H44" s="147"/>
    </row>
    <row r="45" spans="2:11" x14ac:dyDescent="0.2">
      <c r="B45" s="145" t="s">
        <v>530</v>
      </c>
      <c r="C45" s="1677">
        <v>159.66999999999999</v>
      </c>
      <c r="D45" s="1677">
        <f t="shared" si="3"/>
        <v>87.390649942987451</v>
      </c>
      <c r="E45" s="155"/>
      <c r="F45" s="156">
        <f t="shared" ref="F45:F53" si="4">D45</f>
        <v>87.390649942987451</v>
      </c>
      <c r="G45" s="156"/>
      <c r="H45" s="147"/>
    </row>
    <row r="46" spans="2:11" x14ac:dyDescent="0.2">
      <c r="B46" s="145" t="s">
        <v>534</v>
      </c>
      <c r="C46" s="1677">
        <v>249</v>
      </c>
      <c r="D46" s="1677">
        <f t="shared" si="3"/>
        <v>136.28278221208666</v>
      </c>
      <c r="E46" s="155"/>
      <c r="F46" s="156">
        <f t="shared" si="4"/>
        <v>136.28278221208666</v>
      </c>
      <c r="G46" s="156"/>
      <c r="H46" s="147"/>
    </row>
    <row r="47" spans="2:11" x14ac:dyDescent="0.2">
      <c r="B47" s="145" t="s">
        <v>539</v>
      </c>
      <c r="C47" s="1677">
        <v>237</v>
      </c>
      <c r="D47" s="1677">
        <f t="shared" si="3"/>
        <v>129.71493728620297</v>
      </c>
      <c r="E47" s="155"/>
      <c r="F47" s="156">
        <f t="shared" si="4"/>
        <v>129.71493728620297</v>
      </c>
      <c r="G47" s="156"/>
      <c r="H47" s="147"/>
    </row>
    <row r="48" spans="2:11" x14ac:dyDescent="0.2">
      <c r="B48" s="145" t="s">
        <v>543</v>
      </c>
      <c r="C48" s="1677">
        <v>382</v>
      </c>
      <c r="D48" s="1677">
        <f t="shared" si="3"/>
        <v>209.07639680729761</v>
      </c>
      <c r="E48" s="155"/>
      <c r="F48" s="156">
        <f t="shared" si="4"/>
        <v>209.07639680729761</v>
      </c>
      <c r="G48" s="156"/>
      <c r="H48" s="147"/>
    </row>
    <row r="49" spans="2:11" x14ac:dyDescent="0.2">
      <c r="B49" s="145" t="s">
        <v>549</v>
      </c>
      <c r="C49" s="1677">
        <v>289.11</v>
      </c>
      <c r="D49" s="1677">
        <f t="shared" si="3"/>
        <v>158.23580387685291</v>
      </c>
      <c r="E49" s="155"/>
      <c r="F49" s="156">
        <f t="shared" si="4"/>
        <v>158.23580387685291</v>
      </c>
      <c r="G49" s="156"/>
      <c r="H49" s="147"/>
    </row>
    <row r="50" spans="2:11" x14ac:dyDescent="0.2">
      <c r="B50" s="145" t="s">
        <v>552</v>
      </c>
      <c r="C50" s="1677">
        <v>450.67</v>
      </c>
      <c r="D50" s="1677">
        <f t="shared" si="3"/>
        <v>246.66088939566703</v>
      </c>
      <c r="E50" s="155"/>
      <c r="F50" s="156">
        <f t="shared" si="4"/>
        <v>246.66088939566703</v>
      </c>
      <c r="G50" s="156"/>
      <c r="H50" s="147"/>
    </row>
    <row r="51" spans="2:11" x14ac:dyDescent="0.2">
      <c r="B51" s="145" t="s">
        <v>556</v>
      </c>
      <c r="C51" s="1677">
        <v>869</v>
      </c>
      <c r="D51" s="1677">
        <f t="shared" si="3"/>
        <v>475.62143671607754</v>
      </c>
      <c r="E51" s="155"/>
      <c r="F51" s="165">
        <f t="shared" si="4"/>
        <v>475.62143671607754</v>
      </c>
      <c r="G51" s="157"/>
      <c r="H51" s="146"/>
    </row>
    <row r="52" spans="2:11" x14ac:dyDescent="0.2">
      <c r="B52" s="145" t="s">
        <v>560</v>
      </c>
      <c r="C52" s="1677">
        <v>644.66999999999996</v>
      </c>
      <c r="D52" s="1677">
        <f t="shared" si="3"/>
        <v>352.84104903078673</v>
      </c>
      <c r="F52" s="165">
        <f t="shared" si="4"/>
        <v>352.84104903078673</v>
      </c>
      <c r="H52" s="144"/>
    </row>
    <row r="53" spans="2:11" x14ac:dyDescent="0.2">
      <c r="B53" s="145" t="s">
        <v>564</v>
      </c>
      <c r="C53" s="1677">
        <v>697.5</v>
      </c>
      <c r="D53" s="1677">
        <f t="shared" si="3"/>
        <v>381.75598631698972</v>
      </c>
      <c r="E53" s="155"/>
      <c r="F53" s="165">
        <f t="shared" si="4"/>
        <v>381.75598631698972</v>
      </c>
      <c r="G53" s="157"/>
      <c r="H53" s="146"/>
    </row>
    <row r="54" spans="2:11" x14ac:dyDescent="0.2">
      <c r="B54" s="145" t="s">
        <v>567</v>
      </c>
      <c r="C54" s="1677">
        <v>484.62</v>
      </c>
      <c r="D54" s="1677">
        <f t="shared" si="3"/>
        <v>265.24241733181299</v>
      </c>
      <c r="E54" s="155"/>
      <c r="F54" s="157"/>
      <c r="G54" s="157"/>
      <c r="H54" s="146">
        <f>D54</f>
        <v>265.24241733181299</v>
      </c>
    </row>
    <row r="55" spans="2:11" x14ac:dyDescent="0.2">
      <c r="B55" s="145" t="s">
        <v>570</v>
      </c>
      <c r="C55" s="1677">
        <v>739.43</v>
      </c>
      <c r="D55" s="1677">
        <f t="shared" si="3"/>
        <v>404.70513112884834</v>
      </c>
      <c r="E55" s="155"/>
      <c r="F55" s="156"/>
      <c r="G55" s="157"/>
      <c r="H55" s="146">
        <f>D55</f>
        <v>404.70513112884834</v>
      </c>
    </row>
    <row r="56" spans="2:11" x14ac:dyDescent="0.2">
      <c r="B56" s="145" t="s">
        <v>572</v>
      </c>
      <c r="C56" s="1677">
        <v>192.65</v>
      </c>
      <c r="D56" s="1677">
        <f t="shared" si="3"/>
        <v>105.44127708095782</v>
      </c>
      <c r="E56" s="155"/>
      <c r="F56" s="156"/>
      <c r="G56" s="157"/>
      <c r="H56" s="146">
        <f>D56</f>
        <v>105.44127708095782</v>
      </c>
    </row>
    <row r="57" spans="2:11" x14ac:dyDescent="0.2">
      <c r="B57" s="145" t="s">
        <v>576</v>
      </c>
      <c r="C57" s="1677">
        <v>1615.72</v>
      </c>
      <c r="D57" s="1677">
        <f t="shared" si="3"/>
        <v>884.3165336374002</v>
      </c>
      <c r="E57" s="155"/>
      <c r="F57" s="156"/>
      <c r="G57" s="157"/>
      <c r="H57" s="146">
        <f>D57</f>
        <v>884.3165336374002</v>
      </c>
    </row>
    <row r="58" spans="2:11" x14ac:dyDescent="0.2">
      <c r="B58" s="145" t="s">
        <v>579</v>
      </c>
      <c r="C58" s="1678">
        <v>822.67</v>
      </c>
      <c r="D58" s="1677">
        <f t="shared" si="3"/>
        <v>450.26408209806152</v>
      </c>
      <c r="E58" s="155"/>
      <c r="F58" s="156"/>
      <c r="G58" s="165">
        <f>D58</f>
        <v>450.26408209806152</v>
      </c>
      <c r="H58" s="146"/>
    </row>
    <row r="59" spans="2:11" x14ac:dyDescent="0.2">
      <c r="B59" s="1863" t="s">
        <v>518</v>
      </c>
      <c r="C59" s="1864">
        <f>SUM(C38:C58)</f>
        <v>11282.329999999998</v>
      </c>
      <c r="D59" s="1864">
        <f>SUM(D38:D58)</f>
        <v>6175.0494868871156</v>
      </c>
      <c r="E59" s="1864"/>
      <c r="F59" s="1864">
        <f>SUM(F38:F58)</f>
        <v>3014.4000000000005</v>
      </c>
      <c r="G59" s="1864">
        <f>SUM(G38:G58)</f>
        <v>1238.5477765108321</v>
      </c>
      <c r="H59" s="1865">
        <f>SUM(H38:H58)</f>
        <v>1922.1017103762829</v>
      </c>
    </row>
    <row r="60" spans="2:11" ht="17" thickBot="1" x14ac:dyDescent="0.25">
      <c r="B60" s="145" t="s">
        <v>525</v>
      </c>
      <c r="C60" s="153">
        <f>C59*0.86</f>
        <v>9702.8037999999979</v>
      </c>
      <c r="D60" s="153">
        <f>D59*0.86</f>
        <v>5310.5425587229192</v>
      </c>
      <c r="E60" s="153"/>
      <c r="F60" s="153">
        <f>F59*0.86</f>
        <v>2592.3840000000005</v>
      </c>
      <c r="G60" s="153">
        <f>G59*0.86</f>
        <v>1065.1510877993155</v>
      </c>
      <c r="H60" s="168">
        <f>H59*0.86</f>
        <v>1653.0074709236033</v>
      </c>
    </row>
    <row r="61" spans="2:11" ht="17" thickBot="1" x14ac:dyDescent="0.25">
      <c r="B61" s="1679" t="s">
        <v>612</v>
      </c>
      <c r="C61" s="149"/>
      <c r="D61" s="150">
        <f>(D60)*Z3</f>
        <v>223042.78746636261</v>
      </c>
      <c r="E61" s="1680"/>
      <c r="F61" s="1681">
        <f>(F60)*Z3</f>
        <v>108880.12800000003</v>
      </c>
      <c r="G61" s="1681">
        <f>(G60)*Z3</f>
        <v>44736.345687571251</v>
      </c>
      <c r="H61" s="1682">
        <f>(H60)*Z3</f>
        <v>69426.313778791344</v>
      </c>
    </row>
    <row r="62" spans="2:11" ht="17" thickBot="1" x14ac:dyDescent="0.25"/>
    <row r="63" spans="2:11" x14ac:dyDescent="0.2">
      <c r="B63" s="2059" t="s">
        <v>607</v>
      </c>
      <c r="C63" s="2060"/>
      <c r="D63" s="2060"/>
      <c r="E63" s="2060"/>
      <c r="F63" s="2060" t="s">
        <v>474</v>
      </c>
      <c r="G63" s="2060"/>
      <c r="H63" s="2061"/>
      <c r="J63" s="1671" t="s">
        <v>680</v>
      </c>
      <c r="K63" s="1672" t="s">
        <v>489</v>
      </c>
    </row>
    <row r="64" spans="2:11" ht="17" thickBot="1" x14ac:dyDescent="0.25">
      <c r="B64" s="1673" t="s">
        <v>479</v>
      </c>
      <c r="C64" s="1674" t="s">
        <v>480</v>
      </c>
      <c r="D64" s="1674" t="s">
        <v>481</v>
      </c>
      <c r="E64" s="1675" t="s">
        <v>127</v>
      </c>
      <c r="F64" s="1674" t="s">
        <v>203</v>
      </c>
      <c r="G64" s="1674" t="s">
        <v>482</v>
      </c>
      <c r="H64" s="1676" t="s">
        <v>483</v>
      </c>
      <c r="J64" s="160">
        <v>43.85</v>
      </c>
      <c r="K64" s="161">
        <v>30</v>
      </c>
    </row>
    <row r="65" spans="2:8" x14ac:dyDescent="0.2">
      <c r="B65" s="145" t="s">
        <v>487</v>
      </c>
      <c r="C65" s="1677">
        <v>479.42</v>
      </c>
      <c r="D65" s="1677">
        <f>C65*$K$64/$J$64</f>
        <v>327.99543899657925</v>
      </c>
      <c r="E65" s="155"/>
      <c r="F65" s="156"/>
      <c r="G65" s="156"/>
      <c r="H65" s="146">
        <f>D65</f>
        <v>327.99543899657925</v>
      </c>
    </row>
    <row r="66" spans="2:8" x14ac:dyDescent="0.2">
      <c r="B66" s="145" t="s">
        <v>494</v>
      </c>
      <c r="C66" s="1677">
        <v>333.84</v>
      </c>
      <c r="D66" s="1677">
        <f t="shared" ref="D66:D85" si="5">C66*$K$64/$J$64</f>
        <v>228.39680729760545</v>
      </c>
      <c r="E66" s="155"/>
      <c r="F66" s="156">
        <f>D66</f>
        <v>228.39680729760545</v>
      </c>
      <c r="G66" s="156"/>
      <c r="H66" s="147"/>
    </row>
    <row r="67" spans="2:8" x14ac:dyDescent="0.2">
      <c r="B67" s="145" t="s">
        <v>501</v>
      </c>
      <c r="C67" s="1677">
        <v>903.79</v>
      </c>
      <c r="D67" s="1677">
        <f t="shared" si="5"/>
        <v>618.32839224629413</v>
      </c>
      <c r="E67" s="155"/>
      <c r="F67" s="165">
        <f>D67</f>
        <v>618.32839224629413</v>
      </c>
      <c r="G67" s="156"/>
      <c r="H67" s="146"/>
    </row>
    <row r="68" spans="2:8" x14ac:dyDescent="0.2">
      <c r="B68" s="145" t="s">
        <v>507</v>
      </c>
      <c r="C68" s="1677">
        <v>291.31</v>
      </c>
      <c r="D68" s="1677">
        <f t="shared" si="5"/>
        <v>199.29988597491445</v>
      </c>
      <c r="E68" s="155"/>
      <c r="F68" s="165">
        <f>D68</f>
        <v>199.29988597491445</v>
      </c>
      <c r="G68" s="156"/>
      <c r="H68" s="146"/>
    </row>
    <row r="69" spans="2:8" x14ac:dyDescent="0.2">
      <c r="B69" s="145" t="s">
        <v>513</v>
      </c>
      <c r="C69" s="1677">
        <v>213</v>
      </c>
      <c r="D69" s="1677">
        <f t="shared" si="5"/>
        <v>145.72405929304446</v>
      </c>
      <c r="E69" s="155"/>
      <c r="F69" s="157"/>
      <c r="G69" s="156">
        <f>D69</f>
        <v>145.72405929304446</v>
      </c>
      <c r="H69" s="146"/>
    </row>
    <row r="70" spans="2:8" x14ac:dyDescent="0.2">
      <c r="B70" s="145" t="s">
        <v>520</v>
      </c>
      <c r="C70" s="1677">
        <v>139.5</v>
      </c>
      <c r="D70" s="1677">
        <f t="shared" si="5"/>
        <v>95.43899657924743</v>
      </c>
      <c r="E70" s="155"/>
      <c r="F70" s="156"/>
      <c r="G70" s="156">
        <f>D70</f>
        <v>95.43899657924743</v>
      </c>
      <c r="H70" s="147"/>
    </row>
    <row r="71" spans="2:8" x14ac:dyDescent="0.2">
      <c r="B71" s="145" t="s">
        <v>504</v>
      </c>
      <c r="C71" s="1677">
        <v>1087.76</v>
      </c>
      <c r="D71" s="1677">
        <f t="shared" si="5"/>
        <v>744.1915621436716</v>
      </c>
      <c r="E71" s="155"/>
      <c r="F71" s="156"/>
      <c r="G71" s="156">
        <f>D71</f>
        <v>744.1915621436716</v>
      </c>
      <c r="H71" s="147"/>
    </row>
    <row r="72" spans="2:8" x14ac:dyDescent="0.2">
      <c r="B72" s="145" t="s">
        <v>530</v>
      </c>
      <c r="C72" s="1677">
        <v>159.66999999999999</v>
      </c>
      <c r="D72" s="1677">
        <f t="shared" si="5"/>
        <v>109.2383124287343</v>
      </c>
      <c r="E72" s="155"/>
      <c r="F72" s="156">
        <f t="shared" ref="F72:F80" si="6">D72</f>
        <v>109.2383124287343</v>
      </c>
      <c r="G72" s="156"/>
      <c r="H72" s="147"/>
    </row>
    <row r="73" spans="2:8" x14ac:dyDescent="0.2">
      <c r="B73" s="145" t="s">
        <v>534</v>
      </c>
      <c r="C73" s="1677">
        <v>249</v>
      </c>
      <c r="D73" s="1677">
        <f t="shared" si="5"/>
        <v>170.35347776510832</v>
      </c>
      <c r="E73" s="155"/>
      <c r="F73" s="156">
        <f t="shared" si="6"/>
        <v>170.35347776510832</v>
      </c>
      <c r="G73" s="156"/>
      <c r="H73" s="147"/>
    </row>
    <row r="74" spans="2:8" x14ac:dyDescent="0.2">
      <c r="B74" s="145" t="s">
        <v>539</v>
      </c>
      <c r="C74" s="1677">
        <v>237</v>
      </c>
      <c r="D74" s="1677">
        <f t="shared" si="5"/>
        <v>162.1436716077537</v>
      </c>
      <c r="E74" s="155"/>
      <c r="F74" s="156">
        <f t="shared" si="6"/>
        <v>162.1436716077537</v>
      </c>
      <c r="G74" s="156"/>
      <c r="H74" s="147"/>
    </row>
    <row r="75" spans="2:8" x14ac:dyDescent="0.2">
      <c r="B75" s="145" t="s">
        <v>543</v>
      </c>
      <c r="C75" s="1677">
        <v>382</v>
      </c>
      <c r="D75" s="1677">
        <f t="shared" si="5"/>
        <v>261.34549600912197</v>
      </c>
      <c r="E75" s="155"/>
      <c r="F75" s="156">
        <f t="shared" si="6"/>
        <v>261.34549600912197</v>
      </c>
      <c r="G75" s="156"/>
      <c r="H75" s="147"/>
    </row>
    <row r="76" spans="2:8" x14ac:dyDescent="0.2">
      <c r="B76" s="145" t="s">
        <v>549</v>
      </c>
      <c r="C76" s="1677">
        <v>289.11</v>
      </c>
      <c r="D76" s="1677">
        <f t="shared" si="5"/>
        <v>197.79475484606616</v>
      </c>
      <c r="E76" s="155"/>
      <c r="F76" s="156">
        <f t="shared" si="6"/>
        <v>197.79475484606616</v>
      </c>
      <c r="G76" s="156"/>
      <c r="H76" s="147"/>
    </row>
    <row r="77" spans="2:8" x14ac:dyDescent="0.2">
      <c r="B77" s="145" t="s">
        <v>552</v>
      </c>
      <c r="C77" s="1677">
        <v>450.67</v>
      </c>
      <c r="D77" s="1677">
        <f t="shared" si="5"/>
        <v>308.32611174458378</v>
      </c>
      <c r="E77" s="155"/>
      <c r="F77" s="156">
        <f t="shared" si="6"/>
        <v>308.32611174458378</v>
      </c>
      <c r="G77" s="156"/>
      <c r="H77" s="147"/>
    </row>
    <row r="78" spans="2:8" x14ac:dyDescent="0.2">
      <c r="B78" s="145" t="s">
        <v>556</v>
      </c>
      <c r="C78" s="1677">
        <v>869</v>
      </c>
      <c r="D78" s="1677">
        <f t="shared" si="5"/>
        <v>594.52679589509694</v>
      </c>
      <c r="E78" s="155"/>
      <c r="F78" s="165">
        <f t="shared" si="6"/>
        <v>594.52679589509694</v>
      </c>
      <c r="G78" s="157"/>
      <c r="H78" s="146"/>
    </row>
    <row r="79" spans="2:8" x14ac:dyDescent="0.2">
      <c r="B79" s="145" t="s">
        <v>560</v>
      </c>
      <c r="C79" s="1677">
        <v>644.66999999999996</v>
      </c>
      <c r="D79" s="1677">
        <f t="shared" si="5"/>
        <v>441.05131128848342</v>
      </c>
      <c r="F79" s="165">
        <f t="shared" si="6"/>
        <v>441.05131128848342</v>
      </c>
      <c r="H79" s="144"/>
    </row>
    <row r="80" spans="2:8" x14ac:dyDescent="0.2">
      <c r="B80" s="145" t="s">
        <v>564</v>
      </c>
      <c r="C80" s="1677">
        <v>697.5</v>
      </c>
      <c r="D80" s="1677">
        <f t="shared" si="5"/>
        <v>477.19498289623715</v>
      </c>
      <c r="E80" s="155"/>
      <c r="F80" s="165">
        <f t="shared" si="6"/>
        <v>477.19498289623715</v>
      </c>
      <c r="G80" s="157"/>
      <c r="H80" s="146"/>
    </row>
    <row r="81" spans="2:11" x14ac:dyDescent="0.2">
      <c r="B81" s="145" t="s">
        <v>567</v>
      </c>
      <c r="C81" s="1677">
        <v>484.62</v>
      </c>
      <c r="D81" s="1677">
        <f t="shared" si="5"/>
        <v>331.55302166476622</v>
      </c>
      <c r="E81" s="155"/>
      <c r="F81" s="157"/>
      <c r="G81" s="157"/>
      <c r="H81" s="146">
        <f>D81</f>
        <v>331.55302166476622</v>
      </c>
    </row>
    <row r="82" spans="2:11" x14ac:dyDescent="0.2">
      <c r="B82" s="145" t="s">
        <v>570</v>
      </c>
      <c r="C82" s="1677">
        <v>739.43</v>
      </c>
      <c r="D82" s="1677">
        <f t="shared" si="5"/>
        <v>505.88141391106035</v>
      </c>
      <c r="E82" s="155"/>
      <c r="F82" s="156"/>
      <c r="G82" s="157"/>
      <c r="H82" s="146">
        <f>D82</f>
        <v>505.88141391106035</v>
      </c>
    </row>
    <row r="83" spans="2:11" x14ac:dyDescent="0.2">
      <c r="B83" s="145" t="s">
        <v>572</v>
      </c>
      <c r="C83" s="1677">
        <v>192.65</v>
      </c>
      <c r="D83" s="1677">
        <f t="shared" si="5"/>
        <v>131.80159635119725</v>
      </c>
      <c r="E83" s="155"/>
      <c r="F83" s="156"/>
      <c r="G83" s="157"/>
      <c r="H83" s="146">
        <f>D83</f>
        <v>131.80159635119725</v>
      </c>
    </row>
    <row r="84" spans="2:11" x14ac:dyDescent="0.2">
      <c r="B84" s="145" t="s">
        <v>576</v>
      </c>
      <c r="C84" s="1677">
        <v>1615.72</v>
      </c>
      <c r="D84" s="1677">
        <f t="shared" si="5"/>
        <v>1105.3956670467503</v>
      </c>
      <c r="E84" s="155"/>
      <c r="F84" s="156"/>
      <c r="G84" s="157"/>
      <c r="H84" s="146">
        <f>D84</f>
        <v>1105.3956670467503</v>
      </c>
    </row>
    <row r="85" spans="2:11" x14ac:dyDescent="0.2">
      <c r="B85" s="145" t="s">
        <v>579</v>
      </c>
      <c r="C85" s="1678">
        <v>822.67</v>
      </c>
      <c r="D85" s="1677">
        <f t="shared" si="5"/>
        <v>562.83010262257687</v>
      </c>
      <c r="E85" s="155"/>
      <c r="F85" s="156"/>
      <c r="G85" s="165">
        <f>D85</f>
        <v>562.83010262257687</v>
      </c>
      <c r="H85" s="146"/>
    </row>
    <row r="86" spans="2:11" x14ac:dyDescent="0.2">
      <c r="B86" s="1863" t="s">
        <v>518</v>
      </c>
      <c r="C86" s="1864">
        <f>SUM(C65:C85)</f>
        <v>11282.329999999998</v>
      </c>
      <c r="D86" s="1864">
        <f>SUM(D65:D85)</f>
        <v>7718.811858608894</v>
      </c>
      <c r="E86" s="1864"/>
      <c r="F86" s="1864">
        <f>SUM(F65:F85)</f>
        <v>3767.9999999999995</v>
      </c>
      <c r="G86" s="1864">
        <f>SUM(G65:G85)</f>
        <v>1548.1847206385405</v>
      </c>
      <c r="H86" s="1865">
        <f>SUM(H65:H85)</f>
        <v>2402.6271379703535</v>
      </c>
    </row>
    <row r="87" spans="2:11" ht="17" thickBot="1" x14ac:dyDescent="0.25">
      <c r="B87" s="145" t="s">
        <v>525</v>
      </c>
      <c r="C87" s="153">
        <f>C86*0.86</f>
        <v>9702.8037999999979</v>
      </c>
      <c r="D87" s="153">
        <f>D86*0.86</f>
        <v>6638.1781984036488</v>
      </c>
      <c r="E87" s="153"/>
      <c r="F87" s="153">
        <f>F86*0.86</f>
        <v>3240.4799999999996</v>
      </c>
      <c r="G87" s="153">
        <f>G86*0.86</f>
        <v>1331.4388597491447</v>
      </c>
      <c r="H87" s="168">
        <f>H86*0.86</f>
        <v>2066.2593386545041</v>
      </c>
    </row>
    <row r="88" spans="2:11" ht="17" thickBot="1" x14ac:dyDescent="0.25">
      <c r="B88" s="1679" t="s">
        <v>612</v>
      </c>
      <c r="C88" s="149"/>
      <c r="D88" s="150">
        <f>(D87)*Z4</f>
        <v>358461.62271379703</v>
      </c>
      <c r="E88" s="1680"/>
      <c r="F88" s="1681">
        <f>(F87)*Z4</f>
        <v>174985.91999999998</v>
      </c>
      <c r="G88" s="1681">
        <f>(G87)*Z4</f>
        <v>71897.698426453819</v>
      </c>
      <c r="H88" s="1682">
        <f>(H87)*Z4</f>
        <v>111578.00428734322</v>
      </c>
    </row>
    <row r="89" spans="2:11" ht="17" thickBot="1" x14ac:dyDescent="0.25"/>
    <row r="90" spans="2:11" x14ac:dyDescent="0.2">
      <c r="B90" s="2059" t="s">
        <v>610</v>
      </c>
      <c r="C90" s="2060"/>
      <c r="D90" s="2060"/>
      <c r="E90" s="2060"/>
      <c r="F90" s="2060" t="s">
        <v>474</v>
      </c>
      <c r="G90" s="2060"/>
      <c r="H90" s="2061"/>
      <c r="J90" s="1671" t="s">
        <v>680</v>
      </c>
      <c r="K90" s="1672" t="s">
        <v>489</v>
      </c>
    </row>
    <row r="91" spans="2:11" ht="17" thickBot="1" x14ac:dyDescent="0.25">
      <c r="B91" s="1673" t="s">
        <v>479</v>
      </c>
      <c r="C91" s="1674" t="s">
        <v>480</v>
      </c>
      <c r="D91" s="1674" t="s">
        <v>481</v>
      </c>
      <c r="E91" s="1675" t="s">
        <v>127</v>
      </c>
      <c r="F91" s="1674" t="s">
        <v>203</v>
      </c>
      <c r="G91" s="1674" t="s">
        <v>482</v>
      </c>
      <c r="H91" s="1676" t="s">
        <v>483</v>
      </c>
      <c r="J91" s="160">
        <v>43.85</v>
      </c>
      <c r="K91" s="161">
        <v>36</v>
      </c>
    </row>
    <row r="92" spans="2:11" x14ac:dyDescent="0.2">
      <c r="B92" s="145" t="s">
        <v>487</v>
      </c>
      <c r="C92" s="1677">
        <v>479.42</v>
      </c>
      <c r="D92" s="1677">
        <f>C92*$K$91/$J$91</f>
        <v>393.59452679589504</v>
      </c>
      <c r="E92" s="155"/>
      <c r="F92" s="156"/>
      <c r="G92" s="156"/>
      <c r="H92" s="146">
        <f>D92</f>
        <v>393.59452679589504</v>
      </c>
    </row>
    <row r="93" spans="2:11" x14ac:dyDescent="0.2">
      <c r="B93" s="145" t="s">
        <v>494</v>
      </c>
      <c r="C93" s="1677">
        <v>333.84</v>
      </c>
      <c r="D93" s="1677">
        <f t="shared" ref="D93:D112" si="7">C93*$K$91/$J$91</f>
        <v>274.07616875712654</v>
      </c>
      <c r="E93" s="155"/>
      <c r="F93" s="156">
        <f>D93</f>
        <v>274.07616875712654</v>
      </c>
      <c r="G93" s="156"/>
      <c r="H93" s="147"/>
    </row>
    <row r="94" spans="2:11" x14ac:dyDescent="0.2">
      <c r="B94" s="145" t="s">
        <v>501</v>
      </c>
      <c r="C94" s="1677">
        <v>903.79</v>
      </c>
      <c r="D94" s="1677">
        <f t="shared" si="7"/>
        <v>741.99407069555298</v>
      </c>
      <c r="E94" s="155"/>
      <c r="F94" s="165">
        <f>D94</f>
        <v>741.99407069555298</v>
      </c>
      <c r="G94" s="156"/>
      <c r="H94" s="146"/>
    </row>
    <row r="95" spans="2:11" x14ac:dyDescent="0.2">
      <c r="B95" s="145" t="s">
        <v>507</v>
      </c>
      <c r="C95" s="1677">
        <v>291.31</v>
      </c>
      <c r="D95" s="1677">
        <f t="shared" si="7"/>
        <v>239.15986316989736</v>
      </c>
      <c r="E95" s="155"/>
      <c r="F95" s="165">
        <f>D95</f>
        <v>239.15986316989736</v>
      </c>
      <c r="G95" s="156"/>
      <c r="H95" s="146"/>
    </row>
    <row r="96" spans="2:11" x14ac:dyDescent="0.2">
      <c r="B96" s="145" t="s">
        <v>513</v>
      </c>
      <c r="C96" s="1677">
        <v>213</v>
      </c>
      <c r="D96" s="1677">
        <f t="shared" si="7"/>
        <v>174.86887115165337</v>
      </c>
      <c r="E96" s="155"/>
      <c r="F96" s="157"/>
      <c r="G96" s="156">
        <f>D96</f>
        <v>174.86887115165337</v>
      </c>
      <c r="H96" s="146"/>
    </row>
    <row r="97" spans="2:8" x14ac:dyDescent="0.2">
      <c r="B97" s="145" t="s">
        <v>520</v>
      </c>
      <c r="C97" s="1677">
        <v>139.5</v>
      </c>
      <c r="D97" s="1677">
        <f t="shared" si="7"/>
        <v>114.52679589509692</v>
      </c>
      <c r="E97" s="155"/>
      <c r="F97" s="156"/>
      <c r="G97" s="156">
        <f>D97</f>
        <v>114.52679589509692</v>
      </c>
      <c r="H97" s="147"/>
    </row>
    <row r="98" spans="2:8" x14ac:dyDescent="0.2">
      <c r="B98" s="145" t="s">
        <v>504</v>
      </c>
      <c r="C98" s="1677">
        <v>1087.76</v>
      </c>
      <c r="D98" s="1677">
        <f t="shared" si="7"/>
        <v>893.0298745724059</v>
      </c>
      <c r="E98" s="155"/>
      <c r="F98" s="156"/>
      <c r="G98" s="156">
        <f>D98</f>
        <v>893.0298745724059</v>
      </c>
      <c r="H98" s="147"/>
    </row>
    <row r="99" spans="2:8" x14ac:dyDescent="0.2">
      <c r="B99" s="145" t="s">
        <v>530</v>
      </c>
      <c r="C99" s="1677">
        <v>159.66999999999999</v>
      </c>
      <c r="D99" s="1677">
        <f t="shared" si="7"/>
        <v>131.08597491448117</v>
      </c>
      <c r="E99" s="155"/>
      <c r="F99" s="156">
        <f t="shared" ref="F99:F107" si="8">D99</f>
        <v>131.08597491448117</v>
      </c>
      <c r="G99" s="156"/>
      <c r="H99" s="147"/>
    </row>
    <row r="100" spans="2:8" x14ac:dyDescent="0.2">
      <c r="B100" s="145" t="s">
        <v>534</v>
      </c>
      <c r="C100" s="1677">
        <v>249</v>
      </c>
      <c r="D100" s="1677">
        <f t="shared" si="7"/>
        <v>204.42417331812999</v>
      </c>
      <c r="E100" s="155"/>
      <c r="F100" s="156">
        <f t="shared" si="8"/>
        <v>204.42417331812999</v>
      </c>
      <c r="G100" s="156"/>
      <c r="H100" s="147"/>
    </row>
    <row r="101" spans="2:8" x14ac:dyDescent="0.2">
      <c r="B101" s="145" t="s">
        <v>539</v>
      </c>
      <c r="C101" s="1677">
        <v>237</v>
      </c>
      <c r="D101" s="1677">
        <f t="shared" si="7"/>
        <v>194.57240592930444</v>
      </c>
      <c r="E101" s="155"/>
      <c r="F101" s="156">
        <f t="shared" si="8"/>
        <v>194.57240592930444</v>
      </c>
      <c r="G101" s="156"/>
      <c r="H101" s="147"/>
    </row>
    <row r="102" spans="2:8" x14ac:dyDescent="0.2">
      <c r="B102" s="145" t="s">
        <v>543</v>
      </c>
      <c r="C102" s="1677">
        <v>382</v>
      </c>
      <c r="D102" s="1677">
        <f t="shared" si="7"/>
        <v>313.61459521094639</v>
      </c>
      <c r="E102" s="155"/>
      <c r="F102" s="156">
        <f t="shared" si="8"/>
        <v>313.61459521094639</v>
      </c>
      <c r="G102" s="156"/>
      <c r="H102" s="147"/>
    </row>
    <row r="103" spans="2:8" x14ac:dyDescent="0.2">
      <c r="B103" s="145" t="s">
        <v>549</v>
      </c>
      <c r="C103" s="1677">
        <v>289.11</v>
      </c>
      <c r="D103" s="1677">
        <f t="shared" si="7"/>
        <v>237.35370581527937</v>
      </c>
      <c r="E103" s="155"/>
      <c r="F103" s="156">
        <f t="shared" si="8"/>
        <v>237.35370581527937</v>
      </c>
      <c r="G103" s="156"/>
      <c r="H103" s="147"/>
    </row>
    <row r="104" spans="2:8" x14ac:dyDescent="0.2">
      <c r="B104" s="145" t="s">
        <v>552</v>
      </c>
      <c r="C104" s="1677">
        <v>450.67</v>
      </c>
      <c r="D104" s="1677">
        <f t="shared" si="7"/>
        <v>369.9913340935006</v>
      </c>
      <c r="E104" s="155"/>
      <c r="F104" s="156">
        <f t="shared" si="8"/>
        <v>369.9913340935006</v>
      </c>
      <c r="G104" s="156"/>
      <c r="H104" s="147"/>
    </row>
    <row r="105" spans="2:8" x14ac:dyDescent="0.2">
      <c r="B105" s="145" t="s">
        <v>556</v>
      </c>
      <c r="C105" s="1677">
        <v>869</v>
      </c>
      <c r="D105" s="1677">
        <f t="shared" si="7"/>
        <v>713.43215507411628</v>
      </c>
      <c r="E105" s="155"/>
      <c r="F105" s="165">
        <f t="shared" si="8"/>
        <v>713.43215507411628</v>
      </c>
      <c r="G105" s="157"/>
      <c r="H105" s="146"/>
    </row>
    <row r="106" spans="2:8" x14ac:dyDescent="0.2">
      <c r="B106" s="145" t="s">
        <v>560</v>
      </c>
      <c r="C106" s="1677">
        <v>644.66999999999996</v>
      </c>
      <c r="D106" s="1677">
        <f t="shared" si="7"/>
        <v>529.2615735461801</v>
      </c>
      <c r="F106" s="165">
        <f t="shared" si="8"/>
        <v>529.2615735461801</v>
      </c>
      <c r="H106" s="144"/>
    </row>
    <row r="107" spans="2:8" x14ac:dyDescent="0.2">
      <c r="B107" s="145" t="s">
        <v>564</v>
      </c>
      <c r="C107" s="1677">
        <v>697.5</v>
      </c>
      <c r="D107" s="1677">
        <f t="shared" si="7"/>
        <v>572.63397947548458</v>
      </c>
      <c r="E107" s="155"/>
      <c r="F107" s="165">
        <f t="shared" si="8"/>
        <v>572.63397947548458</v>
      </c>
      <c r="G107" s="157"/>
      <c r="H107" s="146"/>
    </row>
    <row r="108" spans="2:8" x14ac:dyDescent="0.2">
      <c r="B108" s="145" t="s">
        <v>567</v>
      </c>
      <c r="C108" s="1677">
        <v>484.62</v>
      </c>
      <c r="D108" s="1677">
        <f t="shared" si="7"/>
        <v>397.86362599771945</v>
      </c>
      <c r="E108" s="155"/>
      <c r="F108" s="157"/>
      <c r="G108" s="157"/>
      <c r="H108" s="146">
        <f>D108</f>
        <v>397.86362599771945</v>
      </c>
    </row>
    <row r="109" spans="2:8" x14ac:dyDescent="0.2">
      <c r="B109" s="145" t="s">
        <v>570</v>
      </c>
      <c r="C109" s="1677">
        <v>739.43</v>
      </c>
      <c r="D109" s="1677">
        <f t="shared" si="7"/>
        <v>607.05769669327253</v>
      </c>
      <c r="E109" s="155"/>
      <c r="F109" s="156"/>
      <c r="G109" s="157"/>
      <c r="H109" s="146">
        <f>D109</f>
        <v>607.05769669327253</v>
      </c>
    </row>
    <row r="110" spans="2:8" x14ac:dyDescent="0.2">
      <c r="B110" s="145" t="s">
        <v>572</v>
      </c>
      <c r="C110" s="1677">
        <v>192.65</v>
      </c>
      <c r="D110" s="1677">
        <f t="shared" si="7"/>
        <v>158.16191562143672</v>
      </c>
      <c r="E110" s="155"/>
      <c r="F110" s="156"/>
      <c r="G110" s="157"/>
      <c r="H110" s="146">
        <f>D110</f>
        <v>158.16191562143672</v>
      </c>
    </row>
    <row r="111" spans="2:8" x14ac:dyDescent="0.2">
      <c r="B111" s="145" t="s">
        <v>576</v>
      </c>
      <c r="C111" s="1677">
        <v>1615.72</v>
      </c>
      <c r="D111" s="1677">
        <f t="shared" si="7"/>
        <v>1326.4748004561002</v>
      </c>
      <c r="E111" s="155"/>
      <c r="F111" s="156"/>
      <c r="G111" s="157"/>
      <c r="H111" s="146">
        <f>D111</f>
        <v>1326.4748004561002</v>
      </c>
    </row>
    <row r="112" spans="2:8" x14ac:dyDescent="0.2">
      <c r="B112" s="145" t="s">
        <v>579</v>
      </c>
      <c r="C112" s="1678">
        <v>822.67</v>
      </c>
      <c r="D112" s="1677">
        <f t="shared" si="7"/>
        <v>675.39612314709234</v>
      </c>
      <c r="E112" s="155"/>
      <c r="F112" s="156"/>
      <c r="G112" s="165">
        <f>D112</f>
        <v>675.39612314709234</v>
      </c>
      <c r="H112" s="146"/>
    </row>
    <row r="113" spans="2:11" x14ac:dyDescent="0.2">
      <c r="B113" s="1863" t="s">
        <v>518</v>
      </c>
      <c r="C113" s="1864">
        <f>SUM(C92:C112)</f>
        <v>11282.329999999998</v>
      </c>
      <c r="D113" s="1864">
        <f>SUM(D92:D112)</f>
        <v>9262.5742303306724</v>
      </c>
      <c r="E113" s="1864"/>
      <c r="F113" s="1864">
        <f>SUM(F92:F112)</f>
        <v>4521.5999999999995</v>
      </c>
      <c r="G113" s="1864">
        <f>SUM(G92:G112)</f>
        <v>1857.8216647662487</v>
      </c>
      <c r="H113" s="1865">
        <f>SUM(H92:H112)</f>
        <v>2883.1525655644236</v>
      </c>
    </row>
    <row r="114" spans="2:11" ht="17" thickBot="1" x14ac:dyDescent="0.25">
      <c r="B114" s="145" t="s">
        <v>525</v>
      </c>
      <c r="C114" s="153">
        <f>C113*0.86</f>
        <v>9702.8037999999979</v>
      </c>
      <c r="D114" s="153">
        <f>D113*0.86</f>
        <v>7965.8138380843784</v>
      </c>
      <c r="E114" s="153"/>
      <c r="F114" s="153">
        <f>F113*0.86</f>
        <v>3888.5759999999996</v>
      </c>
      <c r="G114" s="153">
        <f>G113*0.86</f>
        <v>1597.7266316989737</v>
      </c>
      <c r="H114" s="168">
        <f>H113*0.86</f>
        <v>2479.5112063854044</v>
      </c>
    </row>
    <row r="115" spans="2:11" ht="17" thickBot="1" x14ac:dyDescent="0.25">
      <c r="B115" s="1679" t="s">
        <v>612</v>
      </c>
      <c r="C115" s="149"/>
      <c r="D115" s="150">
        <f>(D114)*Z5</f>
        <v>151350.46292360319</v>
      </c>
      <c r="E115" s="1680"/>
      <c r="F115" s="1681">
        <f>(F114)*Z5</f>
        <v>73882.943999999989</v>
      </c>
      <c r="G115" s="1681">
        <f>(G114)*Z5</f>
        <v>30356.8060022805</v>
      </c>
      <c r="H115" s="1682">
        <f>(H114)*Z5</f>
        <v>47110.712921322687</v>
      </c>
    </row>
    <row r="116" spans="2:11" ht="17" thickBot="1" x14ac:dyDescent="0.25"/>
    <row r="117" spans="2:11" x14ac:dyDescent="0.2">
      <c r="B117" s="2059" t="s">
        <v>613</v>
      </c>
      <c r="C117" s="2060"/>
      <c r="D117" s="2060"/>
      <c r="E117" s="2060"/>
      <c r="F117" s="2060" t="s">
        <v>474</v>
      </c>
      <c r="G117" s="2060"/>
      <c r="H117" s="2061"/>
      <c r="J117" s="1671" t="s">
        <v>680</v>
      </c>
      <c r="K117" s="1672" t="s">
        <v>489</v>
      </c>
    </row>
    <row r="118" spans="2:11" ht="17" thickBot="1" x14ac:dyDescent="0.25">
      <c r="B118" s="1673" t="s">
        <v>479</v>
      </c>
      <c r="C118" s="1674" t="s">
        <v>480</v>
      </c>
      <c r="D118" s="1674" t="s">
        <v>481</v>
      </c>
      <c r="E118" s="1675" t="s">
        <v>127</v>
      </c>
      <c r="F118" s="1674" t="s">
        <v>203</v>
      </c>
      <c r="G118" s="1674" t="s">
        <v>482</v>
      </c>
      <c r="H118" s="1676" t="s">
        <v>483</v>
      </c>
      <c r="J118" s="160">
        <v>43.85</v>
      </c>
      <c r="K118" s="161">
        <v>48</v>
      </c>
    </row>
    <row r="119" spans="2:11" x14ac:dyDescent="0.2">
      <c r="B119" s="145" t="s">
        <v>487</v>
      </c>
      <c r="C119" s="1677">
        <v>479.42</v>
      </c>
      <c r="D119" s="1677">
        <f>C119*$K$118/$J$118</f>
        <v>524.79270239452683</v>
      </c>
      <c r="E119" s="155"/>
      <c r="F119" s="156"/>
      <c r="G119" s="156"/>
      <c r="H119" s="146">
        <f>D119</f>
        <v>524.79270239452683</v>
      </c>
    </row>
    <row r="120" spans="2:11" x14ac:dyDescent="0.2">
      <c r="B120" s="145" t="s">
        <v>494</v>
      </c>
      <c r="C120" s="1677">
        <v>333.84</v>
      </c>
      <c r="D120" s="1677">
        <f t="shared" ref="D120:D139" si="9">C120*$K$118/$J$118</f>
        <v>365.43489167616872</v>
      </c>
      <c r="E120" s="155"/>
      <c r="F120" s="156">
        <f>D120</f>
        <v>365.43489167616872</v>
      </c>
      <c r="G120" s="156"/>
      <c r="H120" s="147"/>
    </row>
    <row r="121" spans="2:11" x14ac:dyDescent="0.2">
      <c r="B121" s="145" t="s">
        <v>501</v>
      </c>
      <c r="C121" s="1677">
        <v>903.79</v>
      </c>
      <c r="D121" s="1677">
        <f t="shared" si="9"/>
        <v>989.32542759407067</v>
      </c>
      <c r="E121" s="155"/>
      <c r="F121" s="165">
        <f>D121</f>
        <v>989.32542759407067</v>
      </c>
      <c r="G121" s="156"/>
      <c r="H121" s="146"/>
    </row>
    <row r="122" spans="2:11" x14ac:dyDescent="0.2">
      <c r="B122" s="145" t="s">
        <v>507</v>
      </c>
      <c r="C122" s="1677">
        <v>291.31</v>
      </c>
      <c r="D122" s="1677">
        <f t="shared" si="9"/>
        <v>318.87981755986317</v>
      </c>
      <c r="E122" s="155"/>
      <c r="F122" s="165">
        <f>D122</f>
        <v>318.87981755986317</v>
      </c>
      <c r="G122" s="156"/>
      <c r="H122" s="146"/>
    </row>
    <row r="123" spans="2:11" x14ac:dyDescent="0.2">
      <c r="B123" s="145" t="s">
        <v>513</v>
      </c>
      <c r="C123" s="1677">
        <v>213</v>
      </c>
      <c r="D123" s="1677">
        <f t="shared" si="9"/>
        <v>233.15849486887114</v>
      </c>
      <c r="E123" s="155"/>
      <c r="F123" s="157"/>
      <c r="G123" s="156">
        <f>D123</f>
        <v>233.15849486887114</v>
      </c>
      <c r="H123" s="146"/>
    </row>
    <row r="124" spans="2:11" x14ac:dyDescent="0.2">
      <c r="B124" s="145" t="s">
        <v>520</v>
      </c>
      <c r="C124" s="1677">
        <v>139.5</v>
      </c>
      <c r="D124" s="1677">
        <f t="shared" si="9"/>
        <v>152.7023945267959</v>
      </c>
      <c r="E124" s="155"/>
      <c r="F124" s="156"/>
      <c r="G124" s="156">
        <f>D124</f>
        <v>152.7023945267959</v>
      </c>
      <c r="H124" s="147"/>
    </row>
    <row r="125" spans="2:11" x14ac:dyDescent="0.2">
      <c r="B125" s="145" t="s">
        <v>504</v>
      </c>
      <c r="C125" s="1677">
        <v>1087.76</v>
      </c>
      <c r="D125" s="1677">
        <f t="shared" si="9"/>
        <v>1190.7064994298744</v>
      </c>
      <c r="E125" s="155"/>
      <c r="F125" s="156"/>
      <c r="G125" s="156">
        <f>D125</f>
        <v>1190.7064994298744</v>
      </c>
      <c r="H125" s="147"/>
    </row>
    <row r="126" spans="2:11" x14ac:dyDescent="0.2">
      <c r="B126" s="145" t="s">
        <v>530</v>
      </c>
      <c r="C126" s="1677">
        <v>159.66999999999999</v>
      </c>
      <c r="D126" s="1677">
        <f t="shared" si="9"/>
        <v>174.7812998859749</v>
      </c>
      <c r="E126" s="155"/>
      <c r="F126" s="156">
        <f t="shared" ref="F126:F134" si="10">D126</f>
        <v>174.7812998859749</v>
      </c>
      <c r="G126" s="156"/>
      <c r="H126" s="147"/>
    </row>
    <row r="127" spans="2:11" x14ac:dyDescent="0.2">
      <c r="B127" s="145" t="s">
        <v>534</v>
      </c>
      <c r="C127" s="1677">
        <v>249</v>
      </c>
      <c r="D127" s="1677">
        <f t="shared" si="9"/>
        <v>272.56556442417332</v>
      </c>
      <c r="E127" s="155"/>
      <c r="F127" s="156">
        <f t="shared" si="10"/>
        <v>272.56556442417332</v>
      </c>
      <c r="G127" s="156"/>
      <c r="H127" s="147"/>
    </row>
    <row r="128" spans="2:11" x14ac:dyDescent="0.2">
      <c r="B128" s="145" t="s">
        <v>539</v>
      </c>
      <c r="C128" s="1677">
        <v>237</v>
      </c>
      <c r="D128" s="1677">
        <f t="shared" si="9"/>
        <v>259.42987457240594</v>
      </c>
      <c r="E128" s="155"/>
      <c r="F128" s="156">
        <f t="shared" si="10"/>
        <v>259.42987457240594</v>
      </c>
      <c r="G128" s="156"/>
      <c r="H128" s="147"/>
    </row>
    <row r="129" spans="2:11" x14ac:dyDescent="0.2">
      <c r="B129" s="145" t="s">
        <v>543</v>
      </c>
      <c r="C129" s="1677">
        <v>382</v>
      </c>
      <c r="D129" s="1677">
        <f t="shared" si="9"/>
        <v>418.15279361459523</v>
      </c>
      <c r="E129" s="155"/>
      <c r="F129" s="156">
        <f t="shared" si="10"/>
        <v>418.15279361459523</v>
      </c>
      <c r="G129" s="156"/>
      <c r="H129" s="147"/>
    </row>
    <row r="130" spans="2:11" x14ac:dyDescent="0.2">
      <c r="B130" s="145" t="s">
        <v>549</v>
      </c>
      <c r="C130" s="1677">
        <v>289.11</v>
      </c>
      <c r="D130" s="1677">
        <f t="shared" si="9"/>
        <v>316.47160775370583</v>
      </c>
      <c r="E130" s="155"/>
      <c r="F130" s="156">
        <f t="shared" si="10"/>
        <v>316.47160775370583</v>
      </c>
      <c r="G130" s="156"/>
      <c r="H130" s="147"/>
    </row>
    <row r="131" spans="2:11" x14ac:dyDescent="0.2">
      <c r="B131" s="145" t="s">
        <v>552</v>
      </c>
      <c r="C131" s="1677">
        <v>450.67</v>
      </c>
      <c r="D131" s="1677">
        <f t="shared" si="9"/>
        <v>493.32177879133405</v>
      </c>
      <c r="E131" s="155"/>
      <c r="F131" s="156">
        <f t="shared" si="10"/>
        <v>493.32177879133405</v>
      </c>
      <c r="G131" s="156"/>
      <c r="H131" s="147"/>
    </row>
    <row r="132" spans="2:11" x14ac:dyDescent="0.2">
      <c r="B132" s="145" t="s">
        <v>556</v>
      </c>
      <c r="C132" s="1677">
        <v>869</v>
      </c>
      <c r="D132" s="1677">
        <f t="shared" si="9"/>
        <v>951.24287343215508</v>
      </c>
      <c r="E132" s="155"/>
      <c r="F132" s="165">
        <f t="shared" si="10"/>
        <v>951.24287343215508</v>
      </c>
      <c r="G132" s="157"/>
      <c r="H132" s="146"/>
    </row>
    <row r="133" spans="2:11" x14ac:dyDescent="0.2">
      <c r="B133" s="145" t="s">
        <v>560</v>
      </c>
      <c r="C133" s="1677">
        <v>644.66999999999996</v>
      </c>
      <c r="D133" s="1677">
        <f t="shared" si="9"/>
        <v>705.68209806157347</v>
      </c>
      <c r="F133" s="165">
        <f t="shared" si="10"/>
        <v>705.68209806157347</v>
      </c>
      <c r="H133" s="144"/>
    </row>
    <row r="134" spans="2:11" x14ac:dyDescent="0.2">
      <c r="B134" s="145" t="s">
        <v>564</v>
      </c>
      <c r="C134" s="1677">
        <v>697.5</v>
      </c>
      <c r="D134" s="1677">
        <f t="shared" si="9"/>
        <v>763.51197263397944</v>
      </c>
      <c r="E134" s="155"/>
      <c r="F134" s="165">
        <f t="shared" si="10"/>
        <v>763.51197263397944</v>
      </c>
      <c r="G134" s="157"/>
      <c r="H134" s="146"/>
    </row>
    <row r="135" spans="2:11" x14ac:dyDescent="0.2">
      <c r="B135" s="145" t="s">
        <v>567</v>
      </c>
      <c r="C135" s="1677">
        <v>484.62</v>
      </c>
      <c r="D135" s="1677">
        <f t="shared" si="9"/>
        <v>530.48483466362597</v>
      </c>
      <c r="E135" s="155"/>
      <c r="F135" s="157"/>
      <c r="G135" s="157"/>
      <c r="H135" s="146">
        <f>D135</f>
        <v>530.48483466362597</v>
      </c>
    </row>
    <row r="136" spans="2:11" x14ac:dyDescent="0.2">
      <c r="B136" s="145" t="s">
        <v>570</v>
      </c>
      <c r="C136" s="1677">
        <v>739.43</v>
      </c>
      <c r="D136" s="1677">
        <f t="shared" si="9"/>
        <v>809.41026225769667</v>
      </c>
      <c r="E136" s="155"/>
      <c r="F136" s="156"/>
      <c r="G136" s="157"/>
      <c r="H136" s="146">
        <f>D136</f>
        <v>809.41026225769667</v>
      </c>
    </row>
    <row r="137" spans="2:11" x14ac:dyDescent="0.2">
      <c r="B137" s="145" t="s">
        <v>572</v>
      </c>
      <c r="C137" s="1677">
        <v>192.65</v>
      </c>
      <c r="D137" s="1677">
        <f t="shared" si="9"/>
        <v>210.88255416191564</v>
      </c>
      <c r="E137" s="155"/>
      <c r="F137" s="156"/>
      <c r="G137" s="157"/>
      <c r="H137" s="146">
        <f>D137</f>
        <v>210.88255416191564</v>
      </c>
    </row>
    <row r="138" spans="2:11" x14ac:dyDescent="0.2">
      <c r="B138" s="145" t="s">
        <v>576</v>
      </c>
      <c r="C138" s="1677">
        <v>1615.72</v>
      </c>
      <c r="D138" s="1677">
        <f t="shared" si="9"/>
        <v>1768.6330672748004</v>
      </c>
      <c r="E138" s="155"/>
      <c r="F138" s="156"/>
      <c r="G138" s="157"/>
      <c r="H138" s="146">
        <f>D138</f>
        <v>1768.6330672748004</v>
      </c>
    </row>
    <row r="139" spans="2:11" x14ac:dyDescent="0.2">
      <c r="B139" s="145" t="s">
        <v>579</v>
      </c>
      <c r="C139" s="1678">
        <v>822.67</v>
      </c>
      <c r="D139" s="1677">
        <f t="shared" si="9"/>
        <v>900.52816419612304</v>
      </c>
      <c r="E139" s="155"/>
      <c r="F139" s="156"/>
      <c r="G139" s="165">
        <f>D139</f>
        <v>900.52816419612304</v>
      </c>
      <c r="H139" s="146"/>
    </row>
    <row r="140" spans="2:11" x14ac:dyDescent="0.2">
      <c r="B140" s="1863" t="s">
        <v>518</v>
      </c>
      <c r="C140" s="1864">
        <f>SUM(C119:C139)</f>
        <v>11282.329999999998</v>
      </c>
      <c r="D140" s="1864">
        <f>SUM(D119:D139)</f>
        <v>12350.098973774231</v>
      </c>
      <c r="E140" s="1864"/>
      <c r="F140" s="1864">
        <f>SUM(F119:F139)</f>
        <v>6028.8000000000011</v>
      </c>
      <c r="G140" s="1864">
        <f>SUM(G119:G139)</f>
        <v>2477.0955530216643</v>
      </c>
      <c r="H140" s="1865">
        <f>SUM(H119:H139)</f>
        <v>3844.2034207525658</v>
      </c>
    </row>
    <row r="141" spans="2:11" ht="17" thickBot="1" x14ac:dyDescent="0.25">
      <c r="B141" s="145" t="s">
        <v>525</v>
      </c>
      <c r="C141" s="153">
        <f>C140*0.86</f>
        <v>9702.8037999999979</v>
      </c>
      <c r="D141" s="153">
        <f>D140*0.86</f>
        <v>10621.085117445838</v>
      </c>
      <c r="E141" s="153"/>
      <c r="F141" s="153">
        <f>F140*0.86</f>
        <v>5184.7680000000009</v>
      </c>
      <c r="G141" s="153">
        <f>G140*0.86</f>
        <v>2130.302175598631</v>
      </c>
      <c r="H141" s="168">
        <f>H140*0.86</f>
        <v>3306.0149418472065</v>
      </c>
    </row>
    <row r="142" spans="2:11" ht="17" thickBot="1" x14ac:dyDescent="0.25">
      <c r="B142" s="1679" t="s">
        <v>612</v>
      </c>
      <c r="C142" s="149"/>
      <c r="D142" s="150">
        <f>(D141)*Z6</f>
        <v>95589.766057012544</v>
      </c>
      <c r="E142" s="1680"/>
      <c r="F142" s="1681">
        <f>(F141)*Z6</f>
        <v>46662.912000000011</v>
      </c>
      <c r="G142" s="1681">
        <f>(G141)*Z6</f>
        <v>19172.719580387678</v>
      </c>
      <c r="H142" s="1682">
        <f>(H141)*Z6</f>
        <v>29754.134476624859</v>
      </c>
    </row>
    <row r="143" spans="2:11" ht="17" thickBot="1" x14ac:dyDescent="0.25"/>
    <row r="144" spans="2:11" x14ac:dyDescent="0.2">
      <c r="B144" s="2059" t="s">
        <v>615</v>
      </c>
      <c r="C144" s="2060"/>
      <c r="D144" s="2060"/>
      <c r="E144" s="2060"/>
      <c r="F144" s="2060" t="s">
        <v>474</v>
      </c>
      <c r="G144" s="2060"/>
      <c r="H144" s="2061"/>
      <c r="J144" s="1671" t="s">
        <v>680</v>
      </c>
      <c r="K144" s="1672" t="s">
        <v>489</v>
      </c>
    </row>
    <row r="145" spans="2:11" ht="17" thickBot="1" x14ac:dyDescent="0.25">
      <c r="B145" s="1673" t="s">
        <v>479</v>
      </c>
      <c r="C145" s="1674" t="s">
        <v>480</v>
      </c>
      <c r="D145" s="1674" t="s">
        <v>481</v>
      </c>
      <c r="E145" s="1675" t="s">
        <v>127</v>
      </c>
      <c r="F145" s="1674" t="s">
        <v>203</v>
      </c>
      <c r="G145" s="1674" t="s">
        <v>482</v>
      </c>
      <c r="H145" s="1676" t="s">
        <v>483</v>
      </c>
      <c r="J145" s="160">
        <v>43.85</v>
      </c>
      <c r="K145" s="161">
        <v>68</v>
      </c>
    </row>
    <row r="146" spans="2:11" x14ac:dyDescent="0.2">
      <c r="B146" s="145" t="s">
        <v>487</v>
      </c>
      <c r="C146" s="1677">
        <v>479.42</v>
      </c>
      <c r="D146" s="1677">
        <f>C146*$K$145/$J$145</f>
        <v>743.45632839224629</v>
      </c>
      <c r="E146" s="155"/>
      <c r="F146" s="156"/>
      <c r="G146" s="156"/>
      <c r="H146" s="146">
        <f>D146</f>
        <v>743.45632839224629</v>
      </c>
    </row>
    <row r="147" spans="2:11" x14ac:dyDescent="0.2">
      <c r="B147" s="145" t="s">
        <v>494</v>
      </c>
      <c r="C147" s="1677">
        <v>333.84</v>
      </c>
      <c r="D147" s="1677">
        <f t="shared" ref="D147:D166" si="11">C147*$K$145/$J$145</f>
        <v>517.69942987457239</v>
      </c>
      <c r="E147" s="155"/>
      <c r="F147" s="156">
        <f>D147</f>
        <v>517.69942987457239</v>
      </c>
      <c r="G147" s="156"/>
      <c r="H147" s="147"/>
    </row>
    <row r="148" spans="2:11" x14ac:dyDescent="0.2">
      <c r="B148" s="145" t="s">
        <v>501</v>
      </c>
      <c r="C148" s="1677">
        <v>903.79</v>
      </c>
      <c r="D148" s="1677">
        <f t="shared" si="11"/>
        <v>1401.5443557582669</v>
      </c>
      <c r="E148" s="155"/>
      <c r="F148" s="165">
        <f>D148</f>
        <v>1401.5443557582669</v>
      </c>
      <c r="G148" s="156"/>
      <c r="H148" s="146"/>
    </row>
    <row r="149" spans="2:11" x14ac:dyDescent="0.2">
      <c r="B149" s="145" t="s">
        <v>507</v>
      </c>
      <c r="C149" s="1677">
        <v>291.31</v>
      </c>
      <c r="D149" s="1677">
        <f t="shared" si="11"/>
        <v>451.74640820980619</v>
      </c>
      <c r="E149" s="155"/>
      <c r="F149" s="165">
        <f>D149</f>
        <v>451.74640820980619</v>
      </c>
      <c r="G149" s="156"/>
      <c r="H149" s="146"/>
    </row>
    <row r="150" spans="2:11" x14ac:dyDescent="0.2">
      <c r="B150" s="145" t="s">
        <v>513</v>
      </c>
      <c r="C150" s="1677">
        <v>213</v>
      </c>
      <c r="D150" s="1677">
        <f t="shared" si="11"/>
        <v>330.3078677309008</v>
      </c>
      <c r="E150" s="155"/>
      <c r="F150" s="157"/>
      <c r="G150" s="156">
        <f>D150</f>
        <v>330.3078677309008</v>
      </c>
      <c r="H150" s="146"/>
    </row>
    <row r="151" spans="2:11" x14ac:dyDescent="0.2">
      <c r="B151" s="145" t="s">
        <v>520</v>
      </c>
      <c r="C151" s="1677">
        <v>139.5</v>
      </c>
      <c r="D151" s="1677">
        <f t="shared" si="11"/>
        <v>216.32839224629419</v>
      </c>
      <c r="E151" s="155"/>
      <c r="F151" s="156"/>
      <c r="G151" s="156">
        <f>D151</f>
        <v>216.32839224629419</v>
      </c>
      <c r="H151" s="147"/>
    </row>
    <row r="152" spans="2:11" x14ac:dyDescent="0.2">
      <c r="B152" s="145" t="s">
        <v>504</v>
      </c>
      <c r="C152" s="1677">
        <v>1087.76</v>
      </c>
      <c r="D152" s="1677">
        <f t="shared" si="11"/>
        <v>1686.8342075256555</v>
      </c>
      <c r="E152" s="155"/>
      <c r="F152" s="156"/>
      <c r="G152" s="156">
        <f>D152</f>
        <v>1686.8342075256555</v>
      </c>
      <c r="H152" s="147"/>
    </row>
    <row r="153" spans="2:11" x14ac:dyDescent="0.2">
      <c r="B153" s="145" t="s">
        <v>530</v>
      </c>
      <c r="C153" s="1677">
        <v>159.66999999999999</v>
      </c>
      <c r="D153" s="1677">
        <f t="shared" si="11"/>
        <v>247.60684150513111</v>
      </c>
      <c r="E153" s="155"/>
      <c r="F153" s="156">
        <f t="shared" ref="F153:F161" si="12">D153</f>
        <v>247.60684150513111</v>
      </c>
      <c r="G153" s="156"/>
      <c r="H153" s="147"/>
    </row>
    <row r="154" spans="2:11" x14ac:dyDescent="0.2">
      <c r="B154" s="145" t="s">
        <v>534</v>
      </c>
      <c r="C154" s="1677">
        <v>249</v>
      </c>
      <c r="D154" s="1677">
        <f t="shared" si="11"/>
        <v>386.13454960091218</v>
      </c>
      <c r="E154" s="155"/>
      <c r="F154" s="156">
        <f t="shared" si="12"/>
        <v>386.13454960091218</v>
      </c>
      <c r="G154" s="156"/>
      <c r="H154" s="147"/>
    </row>
    <row r="155" spans="2:11" x14ac:dyDescent="0.2">
      <c r="B155" s="145" t="s">
        <v>539</v>
      </c>
      <c r="C155" s="1677">
        <v>237</v>
      </c>
      <c r="D155" s="1677">
        <f t="shared" si="11"/>
        <v>367.52565564424174</v>
      </c>
      <c r="E155" s="155"/>
      <c r="F155" s="156">
        <f t="shared" si="12"/>
        <v>367.52565564424174</v>
      </c>
      <c r="G155" s="156"/>
      <c r="H155" s="147"/>
    </row>
    <row r="156" spans="2:11" x14ac:dyDescent="0.2">
      <c r="B156" s="145" t="s">
        <v>543</v>
      </c>
      <c r="C156" s="1677">
        <v>382</v>
      </c>
      <c r="D156" s="1677">
        <f t="shared" si="11"/>
        <v>592.38312428734321</v>
      </c>
      <c r="E156" s="155"/>
      <c r="F156" s="156">
        <f t="shared" si="12"/>
        <v>592.38312428734321</v>
      </c>
      <c r="G156" s="156"/>
      <c r="H156" s="147"/>
    </row>
    <row r="157" spans="2:11" x14ac:dyDescent="0.2">
      <c r="B157" s="145" t="s">
        <v>549</v>
      </c>
      <c r="C157" s="1677">
        <v>289.11</v>
      </c>
      <c r="D157" s="1677">
        <f t="shared" si="11"/>
        <v>448.33477765108319</v>
      </c>
      <c r="E157" s="155"/>
      <c r="F157" s="156">
        <f t="shared" si="12"/>
        <v>448.33477765108319</v>
      </c>
      <c r="G157" s="156"/>
      <c r="H157" s="147"/>
    </row>
    <row r="158" spans="2:11" x14ac:dyDescent="0.2">
      <c r="B158" s="145" t="s">
        <v>552</v>
      </c>
      <c r="C158" s="1677">
        <v>450.67</v>
      </c>
      <c r="D158" s="1677">
        <f t="shared" si="11"/>
        <v>698.87251995438999</v>
      </c>
      <c r="E158" s="155"/>
      <c r="F158" s="156">
        <f t="shared" si="12"/>
        <v>698.87251995438999</v>
      </c>
      <c r="G158" s="156"/>
      <c r="H158" s="147"/>
    </row>
    <row r="159" spans="2:11" x14ac:dyDescent="0.2">
      <c r="B159" s="145" t="s">
        <v>556</v>
      </c>
      <c r="C159" s="1677">
        <v>869</v>
      </c>
      <c r="D159" s="1677">
        <f t="shared" si="11"/>
        <v>1347.594070695553</v>
      </c>
      <c r="E159" s="155"/>
      <c r="F159" s="165">
        <f t="shared" si="12"/>
        <v>1347.594070695553</v>
      </c>
      <c r="G159" s="157"/>
      <c r="H159" s="146"/>
    </row>
    <row r="160" spans="2:11" x14ac:dyDescent="0.2">
      <c r="B160" s="145" t="s">
        <v>560</v>
      </c>
      <c r="C160" s="1677">
        <v>644.66999999999996</v>
      </c>
      <c r="D160" s="1677">
        <f t="shared" si="11"/>
        <v>999.71630558722916</v>
      </c>
      <c r="F160" s="165">
        <f t="shared" si="12"/>
        <v>999.71630558722916</v>
      </c>
      <c r="H160" s="144"/>
    </row>
    <row r="161" spans="2:11" x14ac:dyDescent="0.2">
      <c r="B161" s="145" t="s">
        <v>564</v>
      </c>
      <c r="C161" s="1677">
        <v>697.5</v>
      </c>
      <c r="D161" s="1677">
        <f t="shared" si="11"/>
        <v>1081.641961231471</v>
      </c>
      <c r="E161" s="155"/>
      <c r="F161" s="165">
        <f t="shared" si="12"/>
        <v>1081.641961231471</v>
      </c>
      <c r="G161" s="157"/>
      <c r="H161" s="146"/>
    </row>
    <row r="162" spans="2:11" x14ac:dyDescent="0.2">
      <c r="B162" s="145" t="s">
        <v>567</v>
      </c>
      <c r="C162" s="1677">
        <v>484.62</v>
      </c>
      <c r="D162" s="1677">
        <f t="shared" si="11"/>
        <v>751.52018244013686</v>
      </c>
      <c r="E162" s="155"/>
      <c r="F162" s="157"/>
      <c r="G162" s="157"/>
      <c r="H162" s="146">
        <f>D162</f>
        <v>751.52018244013686</v>
      </c>
    </row>
    <row r="163" spans="2:11" x14ac:dyDescent="0.2">
      <c r="B163" s="145" t="s">
        <v>570</v>
      </c>
      <c r="C163" s="1677">
        <v>739.43</v>
      </c>
      <c r="D163" s="1677">
        <f t="shared" si="11"/>
        <v>1146.6645381984035</v>
      </c>
      <c r="E163" s="155"/>
      <c r="F163" s="156"/>
      <c r="G163" s="157"/>
      <c r="H163" s="146">
        <f>D163</f>
        <v>1146.6645381984035</v>
      </c>
    </row>
    <row r="164" spans="2:11" x14ac:dyDescent="0.2">
      <c r="B164" s="145" t="s">
        <v>572</v>
      </c>
      <c r="C164" s="1677">
        <v>192.65</v>
      </c>
      <c r="D164" s="1677">
        <f t="shared" si="11"/>
        <v>298.75028506271383</v>
      </c>
      <c r="E164" s="155"/>
      <c r="F164" s="156"/>
      <c r="G164" s="157"/>
      <c r="H164" s="146">
        <f>D164</f>
        <v>298.75028506271383</v>
      </c>
    </row>
    <row r="165" spans="2:11" x14ac:dyDescent="0.2">
      <c r="B165" s="145" t="s">
        <v>576</v>
      </c>
      <c r="C165" s="1677">
        <v>1615.72</v>
      </c>
      <c r="D165" s="1677">
        <f t="shared" si="11"/>
        <v>2505.5635119726339</v>
      </c>
      <c r="E165" s="155"/>
      <c r="F165" s="156"/>
      <c r="G165" s="157"/>
      <c r="H165" s="146">
        <f>D165</f>
        <v>2505.5635119726339</v>
      </c>
    </row>
    <row r="166" spans="2:11" x14ac:dyDescent="0.2">
      <c r="B166" s="145" t="s">
        <v>579</v>
      </c>
      <c r="C166" s="1678">
        <v>822.67</v>
      </c>
      <c r="D166" s="1677">
        <f t="shared" si="11"/>
        <v>1275.7482326111744</v>
      </c>
      <c r="E166" s="155"/>
      <c r="F166" s="156"/>
      <c r="G166" s="165">
        <f>D166</f>
        <v>1275.7482326111744</v>
      </c>
      <c r="H166" s="146"/>
    </row>
    <row r="167" spans="2:11" x14ac:dyDescent="0.2">
      <c r="B167" s="1863" t="s">
        <v>518</v>
      </c>
      <c r="C167" s="1864">
        <f>SUM(C146:C166)</f>
        <v>11282.329999999998</v>
      </c>
      <c r="D167" s="1864">
        <f>SUM(D146:D166)</f>
        <v>17495.973546180161</v>
      </c>
      <c r="E167" s="1864"/>
      <c r="F167" s="1864">
        <f>SUM(F146:F166)</f>
        <v>8540.7999999999993</v>
      </c>
      <c r="G167" s="1864">
        <f>SUM(G146:G166)</f>
        <v>3509.2187001140251</v>
      </c>
      <c r="H167" s="1865">
        <f>SUM(H146:H166)</f>
        <v>5445.9548460661345</v>
      </c>
    </row>
    <row r="168" spans="2:11" ht="17" thickBot="1" x14ac:dyDescent="0.25">
      <c r="B168" s="145" t="s">
        <v>525</v>
      </c>
      <c r="C168" s="153">
        <f>C167*0.86</f>
        <v>9702.8037999999979</v>
      </c>
      <c r="D168" s="153">
        <f>D167*0.86</f>
        <v>15046.537249714938</v>
      </c>
      <c r="E168" s="153"/>
      <c r="F168" s="153">
        <f>F167*0.86</f>
        <v>7345.0879999999988</v>
      </c>
      <c r="G168" s="153">
        <f>G167*0.86</f>
        <v>3017.9280820980616</v>
      </c>
      <c r="H168" s="168">
        <f>H167*0.86</f>
        <v>4683.5211676168756</v>
      </c>
    </row>
    <row r="169" spans="2:11" ht="17" thickBot="1" x14ac:dyDescent="0.25">
      <c r="B169" s="1679" t="s">
        <v>612</v>
      </c>
      <c r="C169" s="149"/>
      <c r="D169" s="150">
        <f>(D168)*Z7</f>
        <v>30093.074499429877</v>
      </c>
      <c r="E169" s="1680"/>
      <c r="F169" s="1681">
        <f>(F168)*Z7</f>
        <v>14690.175999999998</v>
      </c>
      <c r="G169" s="1681">
        <f>(G168)*Z7</f>
        <v>6035.8561641961232</v>
      </c>
      <c r="H169" s="1682">
        <f>(H168)*Z7</f>
        <v>9367.0423352337511</v>
      </c>
    </row>
    <row r="170" spans="2:11" ht="17" thickBot="1" x14ac:dyDescent="0.25"/>
    <row r="171" spans="2:11" x14ac:dyDescent="0.2">
      <c r="B171" s="2059" t="s">
        <v>684</v>
      </c>
      <c r="C171" s="2060"/>
      <c r="D171" s="2060"/>
      <c r="E171" s="2060"/>
      <c r="F171" s="2060" t="s">
        <v>474</v>
      </c>
      <c r="G171" s="2060"/>
      <c r="H171" s="2061"/>
      <c r="J171" s="1671" t="s">
        <v>680</v>
      </c>
      <c r="K171" s="1672" t="s">
        <v>489</v>
      </c>
    </row>
    <row r="172" spans="2:11" ht="17" thickBot="1" x14ac:dyDescent="0.25">
      <c r="B172" s="1673" t="s">
        <v>479</v>
      </c>
      <c r="C172" s="1674" t="s">
        <v>480</v>
      </c>
      <c r="D172" s="1674" t="s">
        <v>481</v>
      </c>
      <c r="E172" s="1675" t="s">
        <v>127</v>
      </c>
      <c r="F172" s="1674" t="s">
        <v>203</v>
      </c>
      <c r="G172" s="1674" t="s">
        <v>482</v>
      </c>
      <c r="H172" s="1676" t="s">
        <v>483</v>
      </c>
      <c r="J172" s="160">
        <v>43.85</v>
      </c>
      <c r="K172" s="161">
        <v>90</v>
      </c>
    </row>
    <row r="173" spans="2:11" x14ac:dyDescent="0.2">
      <c r="B173" s="145" t="s">
        <v>487</v>
      </c>
      <c r="C173" s="1677">
        <v>479.42</v>
      </c>
      <c r="D173" s="1677">
        <f>C173*$K$172/$J$172</f>
        <v>983.98631698973782</v>
      </c>
      <c r="E173" s="155"/>
      <c r="F173" s="156"/>
      <c r="G173" s="156"/>
      <c r="H173" s="146">
        <f>D173</f>
        <v>983.98631698973782</v>
      </c>
    </row>
    <row r="174" spans="2:11" x14ac:dyDescent="0.2">
      <c r="B174" s="145" t="s">
        <v>494</v>
      </c>
      <c r="C174" s="1677">
        <v>333.84</v>
      </c>
      <c r="D174" s="1677">
        <f t="shared" ref="D174:D210" si="13">C174*$K$172/$J$172</f>
        <v>685.1904218928164</v>
      </c>
      <c r="E174" s="155"/>
      <c r="F174" s="156">
        <f>D174</f>
        <v>685.1904218928164</v>
      </c>
      <c r="G174" s="156"/>
      <c r="H174" s="147"/>
    </row>
    <row r="175" spans="2:11" x14ac:dyDescent="0.2">
      <c r="B175" s="145" t="s">
        <v>501</v>
      </c>
      <c r="C175" s="1677">
        <v>903.79</v>
      </c>
      <c r="D175" s="1677">
        <f t="shared" si="13"/>
        <v>1854.9851767388823</v>
      </c>
      <c r="E175" s="155"/>
      <c r="F175" s="165">
        <f>D175</f>
        <v>1854.9851767388823</v>
      </c>
      <c r="G175" s="156"/>
      <c r="H175" s="146"/>
    </row>
    <row r="176" spans="2:11" x14ac:dyDescent="0.2">
      <c r="B176" s="145" t="s">
        <v>507</v>
      </c>
      <c r="C176" s="1677">
        <v>291.31</v>
      </c>
      <c r="D176" s="1677">
        <f t="shared" si="13"/>
        <v>597.89965792474345</v>
      </c>
      <c r="E176" s="155"/>
      <c r="F176" s="165">
        <f>D176</f>
        <v>597.89965792474345</v>
      </c>
      <c r="G176" s="156"/>
      <c r="H176" s="146"/>
    </row>
    <row r="177" spans="2:8" x14ac:dyDescent="0.2">
      <c r="B177" s="145" t="s">
        <v>513</v>
      </c>
      <c r="C177" s="1677">
        <v>213</v>
      </c>
      <c r="D177" s="1677">
        <f t="shared" si="13"/>
        <v>437.17217787913341</v>
      </c>
      <c r="E177" s="155"/>
      <c r="F177" s="157"/>
      <c r="G177" s="156">
        <f>D177</f>
        <v>437.17217787913341</v>
      </c>
      <c r="H177" s="146"/>
    </row>
    <row r="178" spans="2:8" x14ac:dyDescent="0.2">
      <c r="B178" s="145" t="s">
        <v>520</v>
      </c>
      <c r="C178" s="1677">
        <v>139.5</v>
      </c>
      <c r="D178" s="1677">
        <f t="shared" si="13"/>
        <v>286.31698973774229</v>
      </c>
      <c r="E178" s="155"/>
      <c r="F178" s="156"/>
      <c r="G178" s="156">
        <f>D178</f>
        <v>286.31698973774229</v>
      </c>
      <c r="H178" s="147"/>
    </row>
    <row r="179" spans="2:8" x14ac:dyDescent="0.2">
      <c r="B179" s="145" t="s">
        <v>504</v>
      </c>
      <c r="C179" s="1677">
        <v>1087.76</v>
      </c>
      <c r="D179" s="1677">
        <f t="shared" si="13"/>
        <v>2232.5746864310145</v>
      </c>
      <c r="E179" s="155"/>
      <c r="F179" s="156"/>
      <c r="G179" s="156">
        <f>D179</f>
        <v>2232.5746864310145</v>
      </c>
      <c r="H179" s="147"/>
    </row>
    <row r="180" spans="2:8" x14ac:dyDescent="0.2">
      <c r="B180" s="145" t="s">
        <v>530</v>
      </c>
      <c r="C180" s="1677">
        <v>159.66999999999999</v>
      </c>
      <c r="D180" s="1677">
        <f t="shared" si="13"/>
        <v>327.71493728620294</v>
      </c>
      <c r="E180" s="155"/>
      <c r="F180" s="156">
        <f t="shared" ref="F180:F188" si="14">D180</f>
        <v>327.71493728620294</v>
      </c>
      <c r="G180" s="156"/>
      <c r="H180" s="147"/>
    </row>
    <row r="181" spans="2:8" x14ac:dyDescent="0.2">
      <c r="B181" s="145" t="s">
        <v>534</v>
      </c>
      <c r="C181" s="1677">
        <v>249</v>
      </c>
      <c r="D181" s="1677">
        <f t="shared" si="13"/>
        <v>511.06043329532497</v>
      </c>
      <c r="E181" s="155"/>
      <c r="F181" s="156">
        <f t="shared" si="14"/>
        <v>511.06043329532497</v>
      </c>
      <c r="G181" s="156"/>
      <c r="H181" s="147"/>
    </row>
    <row r="182" spans="2:8" x14ac:dyDescent="0.2">
      <c r="B182" s="145" t="s">
        <v>539</v>
      </c>
      <c r="C182" s="1677">
        <v>237</v>
      </c>
      <c r="D182" s="1677">
        <f t="shared" si="13"/>
        <v>486.43101482326108</v>
      </c>
      <c r="E182" s="155"/>
      <c r="F182" s="156">
        <f t="shared" si="14"/>
        <v>486.43101482326108</v>
      </c>
      <c r="G182" s="156"/>
      <c r="H182" s="147"/>
    </row>
    <row r="183" spans="2:8" x14ac:dyDescent="0.2">
      <c r="B183" s="145" t="s">
        <v>543</v>
      </c>
      <c r="C183" s="1677">
        <v>382</v>
      </c>
      <c r="D183" s="1677">
        <f t="shared" si="13"/>
        <v>784.03648802736598</v>
      </c>
      <c r="E183" s="155"/>
      <c r="F183" s="156">
        <f t="shared" si="14"/>
        <v>784.03648802736598</v>
      </c>
      <c r="G183" s="156"/>
      <c r="H183" s="147"/>
    </row>
    <row r="184" spans="2:8" x14ac:dyDescent="0.2">
      <c r="B184" s="145" t="s">
        <v>549</v>
      </c>
      <c r="C184" s="1677">
        <v>289.11</v>
      </c>
      <c r="D184" s="1677">
        <f t="shared" si="13"/>
        <v>593.38426453819841</v>
      </c>
      <c r="E184" s="155"/>
      <c r="F184" s="156">
        <f t="shared" si="14"/>
        <v>593.38426453819841</v>
      </c>
      <c r="G184" s="156"/>
      <c r="H184" s="147"/>
    </row>
    <row r="185" spans="2:8" x14ac:dyDescent="0.2">
      <c r="B185" s="145" t="s">
        <v>552</v>
      </c>
      <c r="C185" s="1677">
        <v>450.67</v>
      </c>
      <c r="D185" s="1677">
        <f t="shared" si="13"/>
        <v>924.97833523375141</v>
      </c>
      <c r="E185" s="155"/>
      <c r="F185" s="156">
        <f t="shared" si="14"/>
        <v>924.97833523375141</v>
      </c>
      <c r="G185" s="156"/>
      <c r="H185" s="147"/>
    </row>
    <row r="186" spans="2:8" x14ac:dyDescent="0.2">
      <c r="B186" s="145" t="s">
        <v>556</v>
      </c>
      <c r="C186" s="1677">
        <v>869</v>
      </c>
      <c r="D186" s="1677">
        <f t="shared" si="13"/>
        <v>1783.5803876852908</v>
      </c>
      <c r="E186" s="155"/>
      <c r="F186" s="165">
        <f t="shared" si="14"/>
        <v>1783.5803876852908</v>
      </c>
      <c r="G186" s="157"/>
      <c r="H186" s="146"/>
    </row>
    <row r="187" spans="2:8" x14ac:dyDescent="0.2">
      <c r="B187" s="145" t="s">
        <v>560</v>
      </c>
      <c r="C187" s="1677">
        <v>644.66999999999996</v>
      </c>
      <c r="D187" s="1677">
        <f t="shared" si="13"/>
        <v>1323.1539338654502</v>
      </c>
      <c r="F187" s="165">
        <f t="shared" si="14"/>
        <v>1323.1539338654502</v>
      </c>
      <c r="H187" s="144"/>
    </row>
    <row r="188" spans="2:8" x14ac:dyDescent="0.2">
      <c r="B188" s="145" t="s">
        <v>564</v>
      </c>
      <c r="C188" s="1677">
        <v>697.5</v>
      </c>
      <c r="D188" s="1677">
        <f t="shared" si="13"/>
        <v>1431.5849486887114</v>
      </c>
      <c r="E188" s="155"/>
      <c r="F188" s="165">
        <f t="shared" si="14"/>
        <v>1431.5849486887114</v>
      </c>
      <c r="G188" s="157"/>
      <c r="H188" s="146"/>
    </row>
    <row r="189" spans="2:8" x14ac:dyDescent="0.2">
      <c r="B189" s="145" t="s">
        <v>567</v>
      </c>
      <c r="C189" s="1677">
        <v>484.62</v>
      </c>
      <c r="D189" s="1677">
        <f t="shared" si="13"/>
        <v>994.65906499429877</v>
      </c>
      <c r="E189" s="155"/>
      <c r="F189" s="157"/>
      <c r="G189" s="157"/>
      <c r="H189" s="146">
        <f>D189</f>
        <v>994.65906499429877</v>
      </c>
    </row>
    <row r="190" spans="2:8" x14ac:dyDescent="0.2">
      <c r="B190" s="145" t="s">
        <v>570</v>
      </c>
      <c r="C190" s="1677">
        <v>739.43</v>
      </c>
      <c r="D190" s="1677">
        <f t="shared" si="13"/>
        <v>1517.6442417331812</v>
      </c>
      <c r="E190" s="155"/>
      <c r="F190" s="156"/>
      <c r="G190" s="157"/>
      <c r="H190" s="146">
        <f>D190</f>
        <v>1517.6442417331812</v>
      </c>
    </row>
    <row r="191" spans="2:8" x14ac:dyDescent="0.2">
      <c r="B191" s="145" t="s">
        <v>572</v>
      </c>
      <c r="C191" s="1677">
        <v>192.65</v>
      </c>
      <c r="D191" s="1677">
        <f t="shared" si="13"/>
        <v>395.4047890535918</v>
      </c>
      <c r="E191" s="155"/>
      <c r="F191" s="156"/>
      <c r="G191" s="157"/>
      <c r="H191" s="146">
        <f>D191</f>
        <v>395.4047890535918</v>
      </c>
    </row>
    <row r="192" spans="2:8" x14ac:dyDescent="0.2">
      <c r="B192" s="145" t="s">
        <v>576</v>
      </c>
      <c r="C192" s="1677">
        <v>1615.72</v>
      </c>
      <c r="D192" s="1677">
        <f t="shared" si="13"/>
        <v>3316.1870011402507</v>
      </c>
      <c r="E192" s="155"/>
      <c r="F192" s="156"/>
      <c r="G192" s="157"/>
      <c r="H192" s="146">
        <f>D192</f>
        <v>3316.1870011402507</v>
      </c>
    </row>
    <row r="193" spans="2:8" x14ac:dyDescent="0.2">
      <c r="B193" s="145" t="s">
        <v>579</v>
      </c>
      <c r="C193" s="1678">
        <v>822.67</v>
      </c>
      <c r="D193" s="1677">
        <f t="shared" si="13"/>
        <v>1688.490307867731</v>
      </c>
      <c r="E193" s="155"/>
      <c r="F193" s="156"/>
      <c r="G193" s="165">
        <f>D193</f>
        <v>1688.490307867731</v>
      </c>
      <c r="H193" s="146"/>
    </row>
    <row r="194" spans="2:8" x14ac:dyDescent="0.2">
      <c r="B194" s="145" t="s">
        <v>551</v>
      </c>
      <c r="C194" s="1677">
        <v>121.46</v>
      </c>
      <c r="D194" s="1677">
        <f t="shared" si="13"/>
        <v>249.29076396807295</v>
      </c>
      <c r="H194" s="166">
        <f>D194</f>
        <v>249.29076396807295</v>
      </c>
    </row>
    <row r="195" spans="2:8" x14ac:dyDescent="0.2">
      <c r="B195" s="145" t="s">
        <v>628</v>
      </c>
      <c r="C195" s="1677">
        <v>1136.82</v>
      </c>
      <c r="D195" s="1677">
        <f t="shared" si="13"/>
        <v>2333.2679589509689</v>
      </c>
      <c r="F195" s="167">
        <f t="shared" ref="F195:F205" si="15">D195</f>
        <v>2333.2679589509689</v>
      </c>
      <c r="H195" s="144"/>
    </row>
    <row r="196" spans="2:8" x14ac:dyDescent="0.2">
      <c r="B196" s="145" t="s">
        <v>630</v>
      </c>
      <c r="C196" s="1677">
        <v>1131</v>
      </c>
      <c r="D196" s="1677">
        <f t="shared" si="13"/>
        <v>2321.3226909920181</v>
      </c>
      <c r="F196" s="167">
        <f t="shared" si="15"/>
        <v>2321.3226909920181</v>
      </c>
      <c r="H196" s="144"/>
    </row>
    <row r="197" spans="2:8" x14ac:dyDescent="0.2">
      <c r="B197" s="145" t="s">
        <v>632</v>
      </c>
      <c r="C197" s="1677">
        <v>1548</v>
      </c>
      <c r="D197" s="1677">
        <f t="shared" si="13"/>
        <v>3177.194982896237</v>
      </c>
      <c r="F197" s="167">
        <f t="shared" si="15"/>
        <v>3177.194982896237</v>
      </c>
      <c r="H197" s="144"/>
    </row>
    <row r="198" spans="2:8" x14ac:dyDescent="0.2">
      <c r="B198" s="145" t="s">
        <v>634</v>
      </c>
      <c r="C198" s="1677">
        <v>652</v>
      </c>
      <c r="D198" s="1677">
        <f t="shared" si="13"/>
        <v>1338.1984036488027</v>
      </c>
      <c r="F198" s="167">
        <f t="shared" si="15"/>
        <v>1338.1984036488027</v>
      </c>
      <c r="H198" s="144"/>
    </row>
    <row r="199" spans="2:8" x14ac:dyDescent="0.2">
      <c r="B199" s="145" t="s">
        <v>635</v>
      </c>
      <c r="C199" s="1677">
        <v>1893.33</v>
      </c>
      <c r="D199" s="1677">
        <f t="shared" si="13"/>
        <v>3885.9680729760544</v>
      </c>
      <c r="F199" s="167">
        <f t="shared" si="15"/>
        <v>3885.9680729760544</v>
      </c>
      <c r="H199" s="144"/>
    </row>
    <row r="200" spans="2:8" x14ac:dyDescent="0.2">
      <c r="B200" s="145" t="s">
        <v>636</v>
      </c>
      <c r="C200" s="1677">
        <v>645</v>
      </c>
      <c r="D200" s="1677">
        <f t="shared" si="13"/>
        <v>1323.8312428734321</v>
      </c>
      <c r="F200" s="167">
        <f t="shared" si="15"/>
        <v>1323.8312428734321</v>
      </c>
      <c r="H200" s="144"/>
    </row>
    <row r="201" spans="2:8" x14ac:dyDescent="0.2">
      <c r="B201" s="145" t="s">
        <v>637</v>
      </c>
      <c r="C201" s="1677">
        <v>378.67</v>
      </c>
      <c r="D201" s="1677">
        <f t="shared" si="13"/>
        <v>777.2018244013683</v>
      </c>
      <c r="F201" s="167">
        <f t="shared" si="15"/>
        <v>777.2018244013683</v>
      </c>
      <c r="H201" s="144"/>
    </row>
    <row r="202" spans="2:8" x14ac:dyDescent="0.2">
      <c r="B202" s="145" t="s">
        <v>638</v>
      </c>
      <c r="C202" s="1677">
        <v>283.17</v>
      </c>
      <c r="D202" s="1677">
        <f t="shared" si="13"/>
        <v>581.1927023945268</v>
      </c>
      <c r="F202" s="167">
        <f t="shared" si="15"/>
        <v>581.1927023945268</v>
      </c>
      <c r="H202" s="144"/>
    </row>
    <row r="203" spans="2:8" x14ac:dyDescent="0.2">
      <c r="B203" s="145" t="s">
        <v>639</v>
      </c>
      <c r="C203" s="1677">
        <v>2198.27</v>
      </c>
      <c r="D203" s="1677">
        <f t="shared" si="13"/>
        <v>4511.8426453819839</v>
      </c>
      <c r="F203" s="167">
        <f t="shared" si="15"/>
        <v>4511.8426453819839</v>
      </c>
      <c r="H203" s="144"/>
    </row>
    <row r="204" spans="2:8" x14ac:dyDescent="0.2">
      <c r="B204" s="145" t="s">
        <v>640</v>
      </c>
      <c r="C204" s="1677">
        <v>608.54</v>
      </c>
      <c r="D204" s="1677">
        <f t="shared" si="13"/>
        <v>1248.9988597491447</v>
      </c>
      <c r="F204" s="167">
        <f t="shared" si="15"/>
        <v>1248.9988597491447</v>
      </c>
      <c r="H204" s="144"/>
    </row>
    <row r="205" spans="2:8" x14ac:dyDescent="0.2">
      <c r="B205" s="145" t="s">
        <v>641</v>
      </c>
      <c r="C205" s="1677">
        <v>228</v>
      </c>
      <c r="D205" s="1677">
        <f t="shared" si="13"/>
        <v>467.95895096921322</v>
      </c>
      <c r="F205" s="167">
        <f t="shared" si="15"/>
        <v>467.95895096921322</v>
      </c>
      <c r="H205" s="144"/>
    </row>
    <row r="206" spans="2:8" x14ac:dyDescent="0.2">
      <c r="B206" s="145" t="s">
        <v>642</v>
      </c>
      <c r="C206" s="1677">
        <v>1102.3499999999999</v>
      </c>
      <c r="D206" s="1677">
        <f t="shared" si="13"/>
        <v>2262.5199543899653</v>
      </c>
      <c r="H206" s="166">
        <f>D206</f>
        <v>2262.5199543899653</v>
      </c>
    </row>
    <row r="207" spans="2:8" x14ac:dyDescent="0.2">
      <c r="B207" s="145" t="s">
        <v>643</v>
      </c>
      <c r="C207" s="1677">
        <v>307.23</v>
      </c>
      <c r="D207" s="1677">
        <f t="shared" si="13"/>
        <v>630.57468643101481</v>
      </c>
      <c r="H207" s="166">
        <f>D207</f>
        <v>630.57468643101481</v>
      </c>
    </row>
    <row r="208" spans="2:8" x14ac:dyDescent="0.2">
      <c r="B208" s="145" t="s">
        <v>644</v>
      </c>
      <c r="C208" s="1677">
        <v>1120.8800000000001</v>
      </c>
      <c r="D208" s="1677">
        <f t="shared" si="13"/>
        <v>2300.5518814139114</v>
      </c>
      <c r="H208" s="166">
        <f>D208</f>
        <v>2300.5518814139114</v>
      </c>
    </row>
    <row r="209" spans="2:8" x14ac:dyDescent="0.2">
      <c r="B209" s="145" t="s">
        <v>645</v>
      </c>
      <c r="C209" s="1677">
        <v>1009.84</v>
      </c>
      <c r="D209" s="1677">
        <f t="shared" si="13"/>
        <v>2072.6476624857469</v>
      </c>
      <c r="H209" s="166">
        <f>D209</f>
        <v>2072.6476624857469</v>
      </c>
    </row>
    <row r="210" spans="2:8" x14ac:dyDescent="0.2">
      <c r="B210" s="145" t="s">
        <v>646</v>
      </c>
      <c r="C210" s="1677">
        <v>1231.72</v>
      </c>
      <c r="D210" s="1677">
        <f t="shared" si="13"/>
        <v>2528.0456100342076</v>
      </c>
      <c r="F210" s="167">
        <f>D210</f>
        <v>2528.0456100342076</v>
      </c>
      <c r="H210" s="144"/>
    </row>
    <row r="211" spans="2:8" x14ac:dyDescent="0.2">
      <c r="B211" s="1863" t="s">
        <v>518</v>
      </c>
      <c r="C211" s="1864">
        <f>SUM(C173:C210)</f>
        <v>26878.609999999993</v>
      </c>
      <c r="D211" s="1864">
        <f>SUM(D173:D210)</f>
        <v>55167.044469783352</v>
      </c>
      <c r="E211" s="1864"/>
      <c r="F211" s="1864">
        <f>SUM(F192:F210)</f>
        <v>24495.02394526796</v>
      </c>
      <c r="G211" s="1864">
        <f>SUM(G192:G210)</f>
        <v>1688.490307867731</v>
      </c>
      <c r="H211" s="1865">
        <f>SUM(H192:H210)</f>
        <v>10831.771949828963</v>
      </c>
    </row>
    <row r="212" spans="2:8" ht="17" thickBot="1" x14ac:dyDescent="0.25">
      <c r="B212" s="184" t="s">
        <v>525</v>
      </c>
      <c r="C212" s="185">
        <f>C211*0.86</f>
        <v>23115.604599999995</v>
      </c>
      <c r="D212" s="185">
        <f>D211*0.86</f>
        <v>47443.658244013684</v>
      </c>
      <c r="E212" s="185"/>
      <c r="F212" s="185">
        <f>F211*0.86</f>
        <v>21065.720592930444</v>
      </c>
      <c r="G212" s="185">
        <f>G211*0.86</f>
        <v>1452.1016647662486</v>
      </c>
      <c r="H212" s="172">
        <f>H211*0.86</f>
        <v>9315.3238768529081</v>
      </c>
    </row>
    <row r="213" spans="2:8" ht="17" thickBot="1" x14ac:dyDescent="0.25">
      <c r="B213" s="1679" t="s">
        <v>612</v>
      </c>
      <c r="C213" s="149"/>
      <c r="D213" s="150">
        <f>(D212)*Z8</f>
        <v>47443.658244013684</v>
      </c>
      <c r="E213" s="1680"/>
      <c r="F213" s="1681">
        <f>(F212)*Z8</f>
        <v>21065.720592930444</v>
      </c>
      <c r="G213" s="1681">
        <f>(G212)*Z8</f>
        <v>1452.1016647662486</v>
      </c>
      <c r="H213" s="1682">
        <f>(H212)*Z8</f>
        <v>9315.3238768529081</v>
      </c>
    </row>
    <row r="269" spans="3:3" x14ac:dyDescent="0.2">
      <c r="C269" s="158"/>
    </row>
  </sheetData>
  <mergeCells count="15">
    <mergeCell ref="B171:E171"/>
    <mergeCell ref="F171:H171"/>
    <mergeCell ref="B90:E90"/>
    <mergeCell ref="F90:H90"/>
    <mergeCell ref="B117:E117"/>
    <mergeCell ref="F117:H117"/>
    <mergeCell ref="B144:E144"/>
    <mergeCell ref="F144:H144"/>
    <mergeCell ref="B63:E63"/>
    <mergeCell ref="F63:H63"/>
    <mergeCell ref="B6:H6"/>
    <mergeCell ref="B9:E9"/>
    <mergeCell ref="F9:H9"/>
    <mergeCell ref="B36:E36"/>
    <mergeCell ref="F36:H3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A146-39C5-F046-A769-2904184315A3}">
  <dimension ref="A1:BQ57"/>
  <sheetViews>
    <sheetView zoomScale="60" workbookViewId="0">
      <selection activeCell="S29" sqref="S29"/>
    </sheetView>
  </sheetViews>
  <sheetFormatPr baseColWidth="10" defaultColWidth="11.1640625" defaultRowHeight="16" x14ac:dyDescent="0.2"/>
  <cols>
    <col min="2" max="2" width="18.33203125" customWidth="1"/>
    <col min="3" max="3" width="13.33203125" customWidth="1"/>
    <col min="4" max="4" width="11.5" customWidth="1"/>
    <col min="5" max="5" width="12.1640625" customWidth="1"/>
    <col min="6" max="6" width="27.83203125" customWidth="1"/>
    <col min="7" max="7" width="12.83203125" customWidth="1"/>
    <col min="8" max="8" width="18.33203125" customWidth="1"/>
    <col min="9" max="9" width="21.33203125" bestFit="1" customWidth="1"/>
    <col min="10" max="10" width="19" bestFit="1" customWidth="1"/>
    <col min="11" max="11" width="20.1640625" bestFit="1" customWidth="1"/>
    <col min="12" max="12" width="21.33203125" bestFit="1" customWidth="1"/>
  </cols>
  <sheetData>
    <row r="1" spans="1:19" ht="18" thickTop="1" thickBot="1" x14ac:dyDescent="0.25">
      <c r="C1" s="176">
        <v>2020</v>
      </c>
      <c r="D1" s="176">
        <v>2021</v>
      </c>
      <c r="E1" s="176">
        <v>2022</v>
      </c>
      <c r="F1" s="178">
        <v>2023</v>
      </c>
      <c r="G1" s="178">
        <v>2024</v>
      </c>
      <c r="H1" s="1683">
        <v>2025</v>
      </c>
      <c r="I1" s="1683">
        <v>2026</v>
      </c>
      <c r="J1" s="1683">
        <v>2027</v>
      </c>
      <c r="K1" s="1683">
        <v>2028</v>
      </c>
      <c r="L1" s="1683">
        <v>2029</v>
      </c>
      <c r="M1" s="1683">
        <v>2030</v>
      </c>
      <c r="N1" s="1683">
        <v>2031</v>
      </c>
      <c r="O1" s="1683">
        <v>2032</v>
      </c>
      <c r="P1" s="1683">
        <v>2033</v>
      </c>
      <c r="Q1" s="1683">
        <v>2034</v>
      </c>
      <c r="R1" s="1683">
        <v>2035</v>
      </c>
    </row>
    <row r="2" spans="1:19" ht="18" thickTop="1" thickBot="1" x14ac:dyDescent="0.25">
      <c r="C2" s="1684"/>
      <c r="D2" s="1684"/>
      <c r="E2" s="1684"/>
      <c r="F2" s="1685"/>
      <c r="G2" s="1685"/>
      <c r="H2" s="1683"/>
      <c r="I2" s="173"/>
      <c r="J2" s="173"/>
      <c r="K2" s="173"/>
      <c r="L2" s="173"/>
      <c r="M2" s="173"/>
      <c r="N2" s="173"/>
      <c r="O2" s="173"/>
      <c r="P2" s="173"/>
      <c r="Q2" s="173"/>
      <c r="R2" s="173"/>
    </row>
    <row r="3" spans="1:19" ht="17" thickTop="1" x14ac:dyDescent="0.2">
      <c r="A3" s="174"/>
      <c r="B3" s="174"/>
      <c r="C3" s="177"/>
      <c r="D3" s="177"/>
      <c r="E3" s="177"/>
      <c r="F3" s="175"/>
      <c r="G3" s="175"/>
      <c r="H3" s="175"/>
      <c r="I3" s="175"/>
      <c r="J3" s="175"/>
      <c r="K3" s="175"/>
      <c r="L3" s="175"/>
      <c r="M3" s="175"/>
      <c r="N3" s="175"/>
      <c r="O3" s="175"/>
      <c r="P3" s="175"/>
      <c r="Q3" s="175"/>
      <c r="R3" s="175"/>
    </row>
    <row r="4" spans="1:19" x14ac:dyDescent="0.2">
      <c r="B4" s="1866" t="s">
        <v>685</v>
      </c>
      <c r="C4" s="181">
        <v>366</v>
      </c>
      <c r="D4" s="181">
        <v>365</v>
      </c>
      <c r="E4" s="181">
        <v>365</v>
      </c>
      <c r="F4" s="181">
        <v>365</v>
      </c>
      <c r="G4" s="181">
        <v>366</v>
      </c>
      <c r="H4" s="181">
        <v>365</v>
      </c>
      <c r="I4" s="181">
        <v>365</v>
      </c>
      <c r="J4" s="181">
        <v>365</v>
      </c>
      <c r="K4" s="181">
        <v>366</v>
      </c>
      <c r="L4" s="181">
        <v>365</v>
      </c>
      <c r="M4" s="181">
        <v>365</v>
      </c>
      <c r="N4" s="181">
        <v>365</v>
      </c>
      <c r="O4" s="181">
        <v>366</v>
      </c>
      <c r="P4" s="181">
        <v>365</v>
      </c>
      <c r="Q4" s="181">
        <v>365</v>
      </c>
      <c r="R4" s="181">
        <v>365</v>
      </c>
    </row>
    <row r="5" spans="1:19" x14ac:dyDescent="0.2">
      <c r="B5" s="1866" t="s">
        <v>138</v>
      </c>
      <c r="C5" s="181" t="e">
        <f>'1-P&amp;L Modified'!#REF!</f>
        <v>#REF!</v>
      </c>
      <c r="D5" s="181">
        <v>142</v>
      </c>
      <c r="E5" s="181">
        <v>142</v>
      </c>
      <c r="F5" s="181">
        <v>142</v>
      </c>
      <c r="G5" s="181">
        <v>142</v>
      </c>
      <c r="H5" s="181">
        <v>142</v>
      </c>
      <c r="I5" s="181">
        <v>142</v>
      </c>
      <c r="J5" s="181">
        <v>142</v>
      </c>
      <c r="K5" s="181">
        <v>142</v>
      </c>
      <c r="L5" s="181">
        <v>142</v>
      </c>
      <c r="M5" s="181">
        <v>142</v>
      </c>
      <c r="N5" s="181">
        <v>142</v>
      </c>
      <c r="O5" s="181">
        <v>142</v>
      </c>
      <c r="P5" s="181">
        <v>142</v>
      </c>
      <c r="Q5" s="181">
        <v>142</v>
      </c>
      <c r="R5" s="181">
        <v>142</v>
      </c>
    </row>
    <row r="6" spans="1:19" x14ac:dyDescent="0.2">
      <c r="B6" s="1866" t="s">
        <v>227</v>
      </c>
      <c r="C6" s="181" t="e">
        <f t="shared" ref="C6:R6" si="0">C4*C5</f>
        <v>#REF!</v>
      </c>
      <c r="D6" s="181">
        <f t="shared" si="0"/>
        <v>51830</v>
      </c>
      <c r="E6" s="181">
        <f t="shared" si="0"/>
        <v>51830</v>
      </c>
      <c r="F6" s="181">
        <f t="shared" si="0"/>
        <v>51830</v>
      </c>
      <c r="G6" s="181">
        <f t="shared" si="0"/>
        <v>51972</v>
      </c>
      <c r="H6" s="181">
        <f t="shared" si="0"/>
        <v>51830</v>
      </c>
      <c r="I6" s="181">
        <f t="shared" si="0"/>
        <v>51830</v>
      </c>
      <c r="J6" s="181">
        <f t="shared" si="0"/>
        <v>51830</v>
      </c>
      <c r="K6" s="181">
        <f t="shared" si="0"/>
        <v>51972</v>
      </c>
      <c r="L6" s="181">
        <f t="shared" si="0"/>
        <v>51830</v>
      </c>
      <c r="M6" s="181">
        <f t="shared" si="0"/>
        <v>51830</v>
      </c>
      <c r="N6" s="181">
        <f t="shared" si="0"/>
        <v>51830</v>
      </c>
      <c r="O6" s="181">
        <f t="shared" si="0"/>
        <v>51972</v>
      </c>
      <c r="P6" s="181">
        <f t="shared" si="0"/>
        <v>51830</v>
      </c>
      <c r="Q6" s="181">
        <f t="shared" si="0"/>
        <v>51830</v>
      </c>
      <c r="R6" s="181">
        <f t="shared" si="0"/>
        <v>51830</v>
      </c>
    </row>
    <row r="7" spans="1:19" x14ac:dyDescent="0.2">
      <c r="B7" s="1866" t="s">
        <v>228</v>
      </c>
      <c r="C7" s="181" t="e">
        <f>C8*C6</f>
        <v>#REF!</v>
      </c>
      <c r="D7" s="181">
        <f>D8*D6</f>
        <v>11765.41</v>
      </c>
      <c r="E7" s="181">
        <f>E8*E6</f>
        <v>23738.14</v>
      </c>
      <c r="F7" s="181">
        <f>F8*F6</f>
        <v>32963.879999999997</v>
      </c>
      <c r="G7" s="181">
        <f>G8*G6</f>
        <v>38615.195999999996</v>
      </c>
      <c r="H7" s="191">
        <f>H6*H8</f>
        <v>0</v>
      </c>
      <c r="I7" s="191">
        <f>I6*I8</f>
        <v>0</v>
      </c>
      <c r="J7" s="191">
        <f>J6*J8</f>
        <v>0</v>
      </c>
    </row>
    <row r="8" spans="1:19" x14ac:dyDescent="0.2">
      <c r="B8" s="1866" t="s">
        <v>229</v>
      </c>
      <c r="C8" s="69">
        <v>0.214</v>
      </c>
      <c r="D8" s="69">
        <v>0.22700000000000001</v>
      </c>
      <c r="E8" s="69">
        <v>0.45800000000000002</v>
      </c>
      <c r="F8" s="69">
        <v>0.63600000000000001</v>
      </c>
      <c r="G8" s="69">
        <v>0.74299999999999999</v>
      </c>
      <c r="H8" s="189"/>
      <c r="I8" s="189"/>
      <c r="J8" s="189"/>
      <c r="K8" s="189"/>
      <c r="L8" s="189"/>
      <c r="M8" s="189"/>
      <c r="N8" s="189"/>
      <c r="O8" s="189"/>
      <c r="P8" s="189"/>
      <c r="Q8" s="189"/>
      <c r="R8" s="189"/>
      <c r="S8" s="189"/>
    </row>
    <row r="9" spans="1:19" x14ac:dyDescent="0.2">
      <c r="B9" s="1866" t="s">
        <v>131</v>
      </c>
      <c r="C9" s="72">
        <v>108.9</v>
      </c>
      <c r="D9" s="72">
        <v>115.4</v>
      </c>
      <c r="E9" s="72">
        <v>121.7</v>
      </c>
      <c r="F9" s="72">
        <v>127.12</v>
      </c>
      <c r="G9" s="72">
        <v>119.69</v>
      </c>
      <c r="H9" s="182">
        <f>122.670281*(1+$N$50)</f>
        <v>125.29447516894494</v>
      </c>
      <c r="I9" s="182">
        <f t="shared" ref="I9:R9" si="1">122.670281*(1+$N$50)</f>
        <v>125.29447516894494</v>
      </c>
      <c r="J9" s="182">
        <f t="shared" si="1"/>
        <v>125.29447516894494</v>
      </c>
      <c r="K9" s="182">
        <f t="shared" si="1"/>
        <v>125.29447516894494</v>
      </c>
      <c r="L9" s="182">
        <f t="shared" si="1"/>
        <v>125.29447516894494</v>
      </c>
      <c r="M9" s="182">
        <f t="shared" si="1"/>
        <v>125.29447516894494</v>
      </c>
      <c r="N9" s="182">
        <f t="shared" si="1"/>
        <v>125.29447516894494</v>
      </c>
      <c r="O9" s="182">
        <f t="shared" si="1"/>
        <v>125.29447516894494</v>
      </c>
      <c r="P9" s="182">
        <f t="shared" si="1"/>
        <v>125.29447516894494</v>
      </c>
      <c r="Q9" s="182">
        <f t="shared" si="1"/>
        <v>125.29447516894494</v>
      </c>
      <c r="R9" s="182">
        <f t="shared" si="1"/>
        <v>125.29447516894494</v>
      </c>
    </row>
    <row r="10" spans="1:19" x14ac:dyDescent="0.2">
      <c r="B10" s="1866" t="s">
        <v>230</v>
      </c>
      <c r="C10" s="72">
        <v>23.304600000000001</v>
      </c>
      <c r="D10" s="72">
        <v>26.195800000000002</v>
      </c>
      <c r="E10" s="72">
        <v>55.738600000000005</v>
      </c>
      <c r="F10" s="72">
        <v>80.848320000000001</v>
      </c>
      <c r="G10" s="72">
        <v>88.929670000000002</v>
      </c>
    </row>
    <row r="11" spans="1:19" x14ac:dyDescent="0.2">
      <c r="B11" s="1866"/>
    </row>
    <row r="12" spans="1:19" x14ac:dyDescent="0.2">
      <c r="A12" s="1686" t="s">
        <v>686</v>
      </c>
      <c r="B12" s="25" t="s">
        <v>687</v>
      </c>
      <c r="C12" s="183"/>
      <c r="D12" s="183"/>
      <c r="E12" s="183"/>
      <c r="F12" s="183"/>
      <c r="G12" s="183"/>
    </row>
    <row r="13" spans="1:19" x14ac:dyDescent="0.2">
      <c r="B13" t="s">
        <v>688</v>
      </c>
      <c r="C13" s="182" t="e">
        <f>C12/C7</f>
        <v>#REF!</v>
      </c>
      <c r="D13" s="182">
        <f>D12/D7</f>
        <v>0</v>
      </c>
      <c r="E13" s="182">
        <f>E12/E7</f>
        <v>0</v>
      </c>
      <c r="F13" s="182">
        <f>F12/F7</f>
        <v>0</v>
      </c>
      <c r="G13" s="182">
        <f>G12/G7</f>
        <v>0</v>
      </c>
    </row>
    <row r="14" spans="1:19" x14ac:dyDescent="0.2">
      <c r="K14" s="142">
        <f>(R9-H9)/H9</f>
        <v>0</v>
      </c>
    </row>
    <row r="15" spans="1:19" x14ac:dyDescent="0.2">
      <c r="B15" t="s">
        <v>689</v>
      </c>
      <c r="C15" s="188">
        <v>0.04</v>
      </c>
    </row>
    <row r="16" spans="1:19" x14ac:dyDescent="0.2">
      <c r="B16" t="s">
        <v>690</v>
      </c>
      <c r="C16" s="180">
        <f>(D9-C9)/C9</f>
        <v>5.968778696051423E-2</v>
      </c>
      <c r="E16" t="s">
        <v>691</v>
      </c>
      <c r="G16" s="189">
        <f>(D8-C8)/C8</f>
        <v>6.0747663551401924E-2</v>
      </c>
    </row>
    <row r="17" spans="2:7" x14ac:dyDescent="0.2">
      <c r="C17" s="180">
        <f>(E9-D9)/D9</f>
        <v>5.4592720970537231E-2</v>
      </c>
      <c r="G17" s="189">
        <f>(E8-D8)/D8</f>
        <v>1.0176211453744493</v>
      </c>
    </row>
    <row r="18" spans="2:7" x14ac:dyDescent="0.2">
      <c r="C18" s="180">
        <f>(F9-E9)/E9</f>
        <v>4.4535743631881688E-2</v>
      </c>
      <c r="G18" s="189">
        <f>(F8-E8)/E8</f>
        <v>0.38864628820960695</v>
      </c>
    </row>
    <row r="19" spans="2:7" x14ac:dyDescent="0.2">
      <c r="C19" s="180">
        <f>(G9-F9)/F9</f>
        <v>-5.8448709880427996E-2</v>
      </c>
      <c r="G19" s="189">
        <f>(G8-F8)/F8</f>
        <v>0.16823899371069179</v>
      </c>
    </row>
    <row r="20" spans="2:7" x14ac:dyDescent="0.2">
      <c r="C20" s="187">
        <f>AVERAGE(C16:C19)</f>
        <v>2.5091885420626292E-2</v>
      </c>
      <c r="D20" s="192">
        <f>AVERAGE(C18:C19)</f>
        <v>-6.9564831242731537E-3</v>
      </c>
      <c r="G20" s="188">
        <f>AVERAGE(G16:G19)</f>
        <v>0.40881352271153748</v>
      </c>
    </row>
    <row r="21" spans="2:7" x14ac:dyDescent="0.2">
      <c r="B21" t="s">
        <v>692</v>
      </c>
      <c r="C21" s="190">
        <f>C20+C15</f>
        <v>6.50918854206263E-2</v>
      </c>
    </row>
    <row r="34" spans="1:69" ht="17" thickBot="1" x14ac:dyDescent="0.25"/>
    <row r="35" spans="1:69" ht="20" thickBot="1" x14ac:dyDescent="0.3">
      <c r="A35" s="116" t="s">
        <v>96</v>
      </c>
      <c r="B35" s="2067">
        <v>2013</v>
      </c>
      <c r="C35" s="2066"/>
      <c r="D35" s="2065">
        <v>2014</v>
      </c>
      <c r="E35" s="2066"/>
      <c r="F35" s="2065">
        <v>2015</v>
      </c>
      <c r="G35" s="2066"/>
      <c r="H35" s="2065">
        <v>2016</v>
      </c>
      <c r="I35" s="2066"/>
      <c r="J35" s="2065">
        <v>2017</v>
      </c>
      <c r="K35" s="2066"/>
      <c r="L35" s="2065">
        <v>2018</v>
      </c>
      <c r="M35" s="2066"/>
      <c r="N35" s="2065">
        <v>2019</v>
      </c>
      <c r="O35" s="2066"/>
      <c r="P35" s="2070">
        <v>2020</v>
      </c>
      <c r="Q35" s="2071"/>
      <c r="R35" s="2070">
        <v>2021</v>
      </c>
      <c r="S35" s="2071"/>
      <c r="T35" s="2070">
        <v>2022</v>
      </c>
      <c r="U35" s="2071"/>
      <c r="V35" s="2065">
        <v>2023</v>
      </c>
      <c r="W35" s="2066"/>
      <c r="X35" s="2065">
        <v>2024</v>
      </c>
      <c r="Y35" s="2067"/>
      <c r="Z35" s="2067"/>
      <c r="AA35" s="2067"/>
      <c r="AB35" s="2068">
        <v>2025</v>
      </c>
      <c r="AC35" s="2069"/>
      <c r="AD35" s="2069"/>
      <c r="AE35" s="2069"/>
      <c r="AF35" s="2068">
        <v>2026</v>
      </c>
      <c r="AG35" s="2069"/>
      <c r="AH35" s="2069"/>
      <c r="AI35" s="2069"/>
      <c r="AJ35" s="2068">
        <v>2027</v>
      </c>
      <c r="AK35" s="2069"/>
      <c r="AL35" s="2069"/>
      <c r="AM35" s="2069"/>
      <c r="AN35" s="2068">
        <v>2028</v>
      </c>
      <c r="AO35" s="2069"/>
      <c r="AP35" s="2069"/>
      <c r="AQ35" s="2069"/>
      <c r="AR35" s="2068">
        <v>2029</v>
      </c>
      <c r="AS35" s="2069"/>
      <c r="AT35" s="2069"/>
      <c r="AU35" s="2069"/>
      <c r="AV35" s="2068">
        <v>2030</v>
      </c>
      <c r="AW35" s="2069"/>
      <c r="AX35" s="2069"/>
      <c r="AY35" s="2069"/>
      <c r="AZ35" s="2068">
        <v>2031</v>
      </c>
      <c r="BA35" s="2069"/>
      <c r="BB35" s="2069"/>
      <c r="BC35" s="2069"/>
      <c r="BD35" s="2068">
        <v>2032</v>
      </c>
      <c r="BE35" s="2069"/>
      <c r="BF35" s="2069"/>
      <c r="BG35" s="2069"/>
      <c r="BH35" s="2068">
        <v>2033</v>
      </c>
      <c r="BI35" s="2069"/>
      <c r="BJ35" s="2069"/>
      <c r="BK35" s="2069"/>
      <c r="BL35" s="2068">
        <v>2034</v>
      </c>
      <c r="BM35" s="2069"/>
      <c r="BN35" s="2069"/>
      <c r="BO35" s="2069"/>
      <c r="BP35" s="2068">
        <v>2035</v>
      </c>
      <c r="BQ35" s="2072"/>
    </row>
    <row r="36" spans="1:69" x14ac:dyDescent="0.2">
      <c r="A36" s="117" t="s">
        <v>226</v>
      </c>
      <c r="B36" s="111">
        <v>365</v>
      </c>
      <c r="C36" s="81"/>
      <c r="D36" s="80">
        <v>365</v>
      </c>
      <c r="E36" s="81"/>
      <c r="F36" s="80">
        <v>365</v>
      </c>
      <c r="G36" s="81"/>
      <c r="H36" s="80">
        <v>366</v>
      </c>
      <c r="I36" s="81"/>
      <c r="J36" s="80">
        <v>365</v>
      </c>
      <c r="K36" s="81"/>
      <c r="L36" s="80">
        <v>365</v>
      </c>
      <c r="M36" s="81"/>
      <c r="N36" s="80">
        <v>365</v>
      </c>
      <c r="O36" s="81"/>
      <c r="P36" s="61">
        <v>366</v>
      </c>
      <c r="Q36" s="62"/>
      <c r="R36" s="63">
        <v>365</v>
      </c>
      <c r="S36" s="64"/>
      <c r="T36" s="63">
        <v>365</v>
      </c>
      <c r="U36" s="64"/>
      <c r="V36" s="94">
        <v>365</v>
      </c>
      <c r="W36" s="95"/>
      <c r="X36" s="94">
        <v>366</v>
      </c>
      <c r="Y36" s="96"/>
      <c r="Z36" s="96"/>
      <c r="AA36" s="97"/>
      <c r="AB36" s="40">
        <v>365</v>
      </c>
      <c r="AC36" s="28"/>
      <c r="AD36" s="33"/>
      <c r="AE36" s="47"/>
      <c r="AF36" s="40">
        <v>365</v>
      </c>
      <c r="AG36" s="28"/>
      <c r="AH36" s="33"/>
      <c r="AI36" s="47"/>
      <c r="AJ36" s="40">
        <v>365</v>
      </c>
      <c r="AK36" s="28"/>
      <c r="AL36" s="33"/>
      <c r="AM36" s="47"/>
      <c r="AN36" s="40">
        <v>366</v>
      </c>
      <c r="AO36" s="28"/>
      <c r="AP36" s="33"/>
      <c r="AQ36" s="47"/>
      <c r="AR36" s="40">
        <v>365</v>
      </c>
      <c r="AS36" s="28"/>
      <c r="AT36" s="33"/>
      <c r="AU36" s="47"/>
      <c r="AV36" s="40">
        <v>365</v>
      </c>
      <c r="AW36" s="28"/>
      <c r="AX36" s="33"/>
      <c r="AY36" s="47"/>
      <c r="AZ36" s="52">
        <v>365</v>
      </c>
      <c r="BA36" s="28"/>
      <c r="BB36" s="33"/>
      <c r="BC36" s="47"/>
      <c r="BD36" s="52">
        <v>366</v>
      </c>
      <c r="BE36" s="28"/>
      <c r="BF36" s="33"/>
      <c r="BG36" s="37"/>
      <c r="BH36" s="52">
        <v>365</v>
      </c>
      <c r="BI36" s="142"/>
      <c r="BJ36" s="33"/>
      <c r="BK36" s="47"/>
      <c r="BL36" s="52">
        <v>365</v>
      </c>
      <c r="BM36" s="28"/>
      <c r="BN36" s="33"/>
      <c r="BO36" s="47"/>
      <c r="BP36" s="40">
        <v>365</v>
      </c>
      <c r="BQ36" s="53"/>
    </row>
    <row r="37" spans="1:69" ht="17" thickBot="1" x14ac:dyDescent="0.25">
      <c r="A37" s="118" t="s">
        <v>138</v>
      </c>
      <c r="B37" s="112">
        <v>142</v>
      </c>
      <c r="C37" s="83"/>
      <c r="D37" s="82">
        <v>142</v>
      </c>
      <c r="E37" s="83"/>
      <c r="F37" s="82">
        <v>142</v>
      </c>
      <c r="G37" s="83"/>
      <c r="H37" s="82">
        <v>142</v>
      </c>
      <c r="I37" s="83"/>
      <c r="J37" s="82">
        <v>142</v>
      </c>
      <c r="K37" s="83"/>
      <c r="L37" s="82">
        <v>142</v>
      </c>
      <c r="M37" s="83"/>
      <c r="N37" s="82">
        <v>142</v>
      </c>
      <c r="O37" s="83"/>
      <c r="P37" s="65">
        <v>142</v>
      </c>
      <c r="Q37" s="66"/>
      <c r="R37" s="67">
        <v>142</v>
      </c>
      <c r="S37" s="68"/>
      <c r="T37" s="67">
        <v>142</v>
      </c>
      <c r="U37" s="68"/>
      <c r="V37" s="98">
        <v>142</v>
      </c>
      <c r="W37" s="99"/>
      <c r="X37" s="98">
        <v>142</v>
      </c>
      <c r="Y37" s="100"/>
      <c r="Z37" s="100"/>
      <c r="AA37" s="101"/>
      <c r="AB37" s="41">
        <v>142</v>
      </c>
      <c r="AC37" s="19"/>
      <c r="AD37" s="34"/>
      <c r="AE37" s="36"/>
      <c r="AF37" s="41">
        <v>142</v>
      </c>
      <c r="AG37" s="19"/>
      <c r="AH37" s="34"/>
      <c r="AI37" s="36"/>
      <c r="AJ37" s="41">
        <v>142</v>
      </c>
      <c r="AK37" s="19"/>
      <c r="AL37" s="34"/>
      <c r="AM37" s="36"/>
      <c r="AN37" s="41">
        <v>142</v>
      </c>
      <c r="AO37" s="19"/>
      <c r="AP37" s="34"/>
      <c r="AQ37" s="36"/>
      <c r="AR37" s="41">
        <v>142</v>
      </c>
      <c r="AS37" s="19"/>
      <c r="AT37" s="34"/>
      <c r="AU37" s="36"/>
      <c r="AV37" s="41">
        <v>142</v>
      </c>
      <c r="AW37" s="19"/>
      <c r="AX37" s="34"/>
      <c r="AY37" s="36"/>
      <c r="AZ37" s="52">
        <v>142</v>
      </c>
      <c r="BA37" s="19"/>
      <c r="BB37" s="34"/>
      <c r="BC37" s="36"/>
      <c r="BD37" s="52">
        <v>142</v>
      </c>
      <c r="BE37" s="19"/>
      <c r="BF37" s="34"/>
      <c r="BG37" s="37"/>
      <c r="BH37" s="52">
        <v>142</v>
      </c>
      <c r="BI37" s="142"/>
      <c r="BJ37" s="34"/>
      <c r="BK37" s="36"/>
      <c r="BL37" s="52">
        <v>142</v>
      </c>
      <c r="BM37" s="19"/>
      <c r="BN37" s="34"/>
      <c r="BO37" s="36"/>
      <c r="BP37" s="41">
        <v>142</v>
      </c>
      <c r="BQ37" s="54"/>
    </row>
    <row r="38" spans="1:69" x14ac:dyDescent="0.2">
      <c r="A38" s="119" t="s">
        <v>227</v>
      </c>
      <c r="B38" s="112">
        <f>B36*B37</f>
        <v>51830</v>
      </c>
      <c r="C38" s="83"/>
      <c r="D38" s="82">
        <f>D36*D37</f>
        <v>51830</v>
      </c>
      <c r="E38" s="83"/>
      <c r="F38" s="82">
        <f>F36*F37</f>
        <v>51830</v>
      </c>
      <c r="G38" s="83"/>
      <c r="H38" s="82">
        <f>H36*H37</f>
        <v>51972</v>
      </c>
      <c r="I38" s="83"/>
      <c r="J38" s="82">
        <f>J36*J37</f>
        <v>51830</v>
      </c>
      <c r="K38" s="83"/>
      <c r="L38" s="82">
        <f>L36*L37</f>
        <v>51830</v>
      </c>
      <c r="M38" s="83"/>
      <c r="N38" s="82">
        <f>N36*N37</f>
        <v>51830</v>
      </c>
      <c r="O38" s="83"/>
      <c r="P38" s="65">
        <f>P36*P37</f>
        <v>51972</v>
      </c>
      <c r="Q38" s="66"/>
      <c r="R38" s="67">
        <f>R36*R37</f>
        <v>51830</v>
      </c>
      <c r="S38" s="68"/>
      <c r="T38" s="67">
        <f>T36*T37</f>
        <v>51830</v>
      </c>
      <c r="U38" s="68"/>
      <c r="V38" s="98">
        <f>V36*V37</f>
        <v>51830</v>
      </c>
      <c r="W38" s="99"/>
      <c r="X38" s="98">
        <f>X36*X37</f>
        <v>51972</v>
      </c>
      <c r="Y38" s="100"/>
      <c r="Z38" s="100"/>
      <c r="AA38" s="101"/>
      <c r="AB38" s="41">
        <f>AB36*AB37</f>
        <v>51830</v>
      </c>
      <c r="AC38" s="29"/>
      <c r="AD38" s="34"/>
      <c r="AE38" s="36"/>
      <c r="AF38" s="41">
        <f>AF36*AF37</f>
        <v>51830</v>
      </c>
      <c r="AG38" s="19"/>
      <c r="AH38" s="34"/>
      <c r="AI38" s="36"/>
      <c r="AJ38" s="41">
        <f>AJ36*AJ37</f>
        <v>51830</v>
      </c>
      <c r="AK38" s="29"/>
      <c r="AL38" s="34"/>
      <c r="AM38" s="36"/>
      <c r="AN38" s="41">
        <f>AN36*AN37</f>
        <v>51972</v>
      </c>
      <c r="AO38" s="19"/>
      <c r="AP38" s="34"/>
      <c r="AQ38" s="36"/>
      <c r="AR38" s="41">
        <f>AR36*AR37</f>
        <v>51830</v>
      </c>
      <c r="AS38" s="19"/>
      <c r="AT38" s="34"/>
      <c r="AU38" s="36"/>
      <c r="AV38" s="41">
        <f>AV36*AV37</f>
        <v>51830</v>
      </c>
      <c r="AW38" s="19"/>
      <c r="AX38" s="34"/>
      <c r="AY38" s="49"/>
      <c r="AZ38" s="41">
        <f>AZ36*AZ37</f>
        <v>51830</v>
      </c>
      <c r="BA38" s="29"/>
      <c r="BB38" s="34"/>
      <c r="BC38" s="49"/>
      <c r="BD38" s="41">
        <f>BD36*BD37</f>
        <v>51972</v>
      </c>
      <c r="BE38" s="29"/>
      <c r="BF38" s="34"/>
      <c r="BG38" s="49"/>
      <c r="BH38" s="41">
        <f>BH36*BH37</f>
        <v>51830</v>
      </c>
      <c r="BI38" s="29"/>
      <c r="BJ38" s="34"/>
      <c r="BK38" s="36"/>
      <c r="BL38" s="41">
        <f>BL36*BL37</f>
        <v>51830</v>
      </c>
      <c r="BM38" s="19"/>
      <c r="BN38" s="34"/>
      <c r="BO38" s="36"/>
      <c r="BP38" s="41">
        <f>BP36*BP37</f>
        <v>51830</v>
      </c>
      <c r="BQ38" s="54"/>
    </row>
    <row r="39" spans="1:69" x14ac:dyDescent="0.2">
      <c r="A39" s="118" t="s">
        <v>228</v>
      </c>
      <c r="B39" s="112">
        <f>B40*B38</f>
        <v>33405.999999999993</v>
      </c>
      <c r="C39" s="83"/>
      <c r="D39" s="82">
        <f>D40*D38</f>
        <v>28091.86</v>
      </c>
      <c r="E39" s="83"/>
      <c r="F39" s="82">
        <f>F40*F38</f>
        <v>38561.519999999997</v>
      </c>
      <c r="G39" s="83"/>
      <c r="H39" s="82">
        <f>H40*H38</f>
        <v>40174.356</v>
      </c>
      <c r="I39" s="83"/>
      <c r="J39" s="82">
        <f>J40*J38</f>
        <v>37576.75</v>
      </c>
      <c r="K39" s="83"/>
      <c r="L39" s="82">
        <f>L40*L38</f>
        <v>38717.01</v>
      </c>
      <c r="M39" s="83"/>
      <c r="N39" s="82">
        <f>N40*N38</f>
        <v>40220.080000000002</v>
      </c>
      <c r="O39" s="83"/>
      <c r="P39" s="65">
        <f>P40*P38</f>
        <v>11122.008</v>
      </c>
      <c r="Q39" s="66"/>
      <c r="R39" s="67">
        <f>R40*R38</f>
        <v>11765.41</v>
      </c>
      <c r="S39" s="68"/>
      <c r="T39" s="67">
        <f>T40*T38</f>
        <v>23738.14</v>
      </c>
      <c r="U39" s="68"/>
      <c r="V39" s="98">
        <f>V40*V38</f>
        <v>32963.879999999997</v>
      </c>
      <c r="W39" s="99"/>
      <c r="X39" s="98">
        <f>X40*X38</f>
        <v>38615.195999999996</v>
      </c>
      <c r="Y39" s="100"/>
      <c r="Z39" s="102"/>
      <c r="AA39" s="103"/>
      <c r="AB39" s="42">
        <f>AB38*AB40</f>
        <v>38581.635673740864</v>
      </c>
      <c r="AC39" s="30"/>
      <c r="AD39" s="35"/>
      <c r="AE39" s="48"/>
      <c r="AF39" s="42">
        <f>AF38*AF40</f>
        <v>38653.71575988469</v>
      </c>
      <c r="AG39" s="32"/>
      <c r="AH39" s="35"/>
      <c r="AI39" s="48"/>
      <c r="AJ39" s="42">
        <f>AJ38*AJ40</f>
        <v>38725.930509547252</v>
      </c>
      <c r="AK39" s="30"/>
      <c r="AL39" s="35"/>
      <c r="AM39" s="48"/>
      <c r="AN39" s="42">
        <f>AN38*AN40</f>
        <v>38904.5768323253</v>
      </c>
      <c r="AO39" s="32"/>
      <c r="AP39" s="35"/>
      <c r="AQ39" s="48"/>
      <c r="AR39" s="42">
        <f>AR38*AR40</f>
        <v>38870.765006238325</v>
      </c>
      <c r="AS39" s="32"/>
      <c r="AT39" s="35"/>
      <c r="AU39" s="48"/>
      <c r="AV39" s="42">
        <f>AV38*AV40</f>
        <v>38943.385257847636</v>
      </c>
      <c r="AW39" s="32"/>
      <c r="AX39" s="35"/>
      <c r="AY39" s="50"/>
      <c r="AZ39" s="42">
        <f>AZ38*AZ40</f>
        <v>39016.141182139057</v>
      </c>
      <c r="BA39" s="30"/>
      <c r="BB39" s="35"/>
      <c r="BC39" s="50"/>
      <c r="BD39" s="42">
        <f>BD38*BD40</f>
        <v>39196.126273768037</v>
      </c>
      <c r="BE39" s="30"/>
      <c r="BF39" s="35"/>
      <c r="BG39" s="50"/>
      <c r="BH39" s="42">
        <f>BH38*BH40</f>
        <v>39162.061063122936</v>
      </c>
      <c r="BI39" s="30"/>
      <c r="BJ39" s="35"/>
      <c r="BK39" s="48"/>
      <c r="BL39" s="42">
        <f>BL38*BL40</f>
        <v>39235.225528177507</v>
      </c>
      <c r="BM39" s="32"/>
      <c r="BN39" s="35"/>
      <c r="BO39" s="48"/>
      <c r="BP39" s="42">
        <f>BP38*BP40</f>
        <v>39308.526682640178</v>
      </c>
      <c r="BQ39" s="55"/>
    </row>
    <row r="40" spans="1:69" x14ac:dyDescent="0.2">
      <c r="A40" s="118" t="s">
        <v>229</v>
      </c>
      <c r="B40" s="84">
        <v>0.64453019486783703</v>
      </c>
      <c r="C40" s="85"/>
      <c r="D40" s="84">
        <v>0.54200000000000004</v>
      </c>
      <c r="E40" s="85"/>
      <c r="F40" s="84">
        <v>0.74399999999999999</v>
      </c>
      <c r="G40" s="85"/>
      <c r="H40" s="84">
        <v>0.77300000000000002</v>
      </c>
      <c r="I40" s="85"/>
      <c r="J40" s="84">
        <v>0.72499999999999998</v>
      </c>
      <c r="K40" s="85"/>
      <c r="L40" s="84">
        <v>0.747</v>
      </c>
      <c r="M40" s="85"/>
      <c r="N40" s="84">
        <v>0.77600000000000002</v>
      </c>
      <c r="O40" s="85"/>
      <c r="P40" s="69">
        <v>0.214</v>
      </c>
      <c r="Q40" s="70"/>
      <c r="R40" s="69">
        <v>0.22700000000000001</v>
      </c>
      <c r="S40" s="70"/>
      <c r="T40" s="69">
        <v>0.45800000000000002</v>
      </c>
      <c r="U40" s="71"/>
      <c r="V40" s="84">
        <v>0.63600000000000001</v>
      </c>
      <c r="W40" s="104"/>
      <c r="X40" s="84">
        <v>0.74299999999999999</v>
      </c>
      <c r="Y40" s="102"/>
      <c r="Z40" s="100"/>
      <c r="AA40" s="101"/>
      <c r="AB40" s="43">
        <f>X40*(1+'PRELIMINARY ANALYSIS'!$C$52)</f>
        <v>0.7443881086965245</v>
      </c>
      <c r="AC40" s="29"/>
      <c r="AD40" s="34"/>
      <c r="AE40" s="36"/>
      <c r="AF40" s="43">
        <f>AB40*(1+'PRELIMINARY ANALYSIS'!$C$52)</f>
        <v>0.74577881072515317</v>
      </c>
      <c r="AG40" s="19"/>
      <c r="AH40" s="34"/>
      <c r="AI40" s="36"/>
      <c r="AJ40" s="43">
        <f>AF40*(1+'PRELIMINARY ANALYSIS'!$C$52)</f>
        <v>0.74717211093087499</v>
      </c>
      <c r="AK40" s="29"/>
      <c r="AL40" s="34"/>
      <c r="AM40" s="36"/>
      <c r="AN40" s="43">
        <f>AJ40*(1+'PRELIMINARY ANALYSIS'!$C$52)</f>
        <v>0.74856801416773067</v>
      </c>
      <c r="AO40" s="19"/>
      <c r="AP40" s="34"/>
      <c r="AQ40" s="36"/>
      <c r="AR40" s="43">
        <f>AN40*(1+'PRELIMINARY ANALYSIS'!$C$52)</f>
        <v>0.74996652529882935</v>
      </c>
      <c r="AS40" s="19"/>
      <c r="AT40" s="34"/>
      <c r="AU40" s="36"/>
      <c r="AV40" s="43">
        <f>AR40*(1+'PRELIMINARY ANALYSIS'!$C$52)</f>
        <v>0.75136764919636578</v>
      </c>
      <c r="AW40" s="19"/>
      <c r="AX40" s="34"/>
      <c r="AY40" s="49"/>
      <c r="AZ40" s="43">
        <f>AV40*(1+'PRELIMINARY ANALYSIS'!$C$52)</f>
        <v>0.75277139074163724</v>
      </c>
      <c r="BA40" s="29"/>
      <c r="BB40" s="34"/>
      <c r="BC40" s="49"/>
      <c r="BD40" s="43">
        <f>AZ40*(1+'PRELIMINARY ANALYSIS'!$C$52)</f>
        <v>0.75417775482506033</v>
      </c>
      <c r="BE40" s="29"/>
      <c r="BF40" s="34"/>
      <c r="BG40" s="49"/>
      <c r="BH40" s="43">
        <f>BD40*(1+'PRELIMINARY ANALYSIS'!$C$52)</f>
        <v>0.75558674634618828</v>
      </c>
      <c r="BI40" s="29"/>
      <c r="BJ40" s="34"/>
      <c r="BK40" s="36"/>
      <c r="BL40" s="43">
        <f>BH40*(1+'PRELIMINARY ANALYSIS'!$C$52)</f>
        <v>0.75699837021372773</v>
      </c>
      <c r="BM40" s="19"/>
      <c r="BN40" s="34"/>
      <c r="BO40" s="36"/>
      <c r="BP40" s="43">
        <f>BL40*(1+'PRELIMINARY ANALYSIS'!$C$52)</f>
        <v>0.75841263134555625</v>
      </c>
      <c r="BQ40" s="54"/>
    </row>
    <row r="41" spans="1:69" x14ac:dyDescent="0.2">
      <c r="A41" s="120" t="s">
        <v>131</v>
      </c>
      <c r="B41" s="86">
        <v>112.494761420104</v>
      </c>
      <c r="C41" s="87"/>
      <c r="D41" s="86">
        <v>116</v>
      </c>
      <c r="E41" s="87"/>
      <c r="F41" s="86">
        <v>115</v>
      </c>
      <c r="G41" s="87"/>
      <c r="H41" s="86">
        <v>117.25</v>
      </c>
      <c r="I41" s="87"/>
      <c r="J41" s="86">
        <v>125.93</v>
      </c>
      <c r="K41" s="87"/>
      <c r="L41" s="86">
        <v>126.6</v>
      </c>
      <c r="M41" s="87"/>
      <c r="N41" s="86">
        <v>125.6</v>
      </c>
      <c r="O41" s="87"/>
      <c r="P41" s="72">
        <v>108.9</v>
      </c>
      <c r="Q41" s="73"/>
      <c r="R41" s="72">
        <v>115.4</v>
      </c>
      <c r="S41" s="73"/>
      <c r="T41" s="72">
        <v>121.7</v>
      </c>
      <c r="U41" s="74"/>
      <c r="V41" s="86">
        <v>127.12</v>
      </c>
      <c r="W41" s="105"/>
      <c r="X41" s="86">
        <v>119.69</v>
      </c>
      <c r="Y41" s="100"/>
      <c r="Z41" s="96"/>
      <c r="AA41" s="97"/>
      <c r="AB41" s="44">
        <f>'PRELIMINARY ANALYSIS'!$C$32</f>
        <v>154.48250770205399</v>
      </c>
      <c r="AC41" s="31"/>
      <c r="AD41" s="33"/>
      <c r="AE41" s="47"/>
      <c r="AF41" s="44">
        <f>AB41*(1+AB44)</f>
        <v>155.72149645490344</v>
      </c>
      <c r="AG41" s="28"/>
      <c r="AH41" s="33"/>
      <c r="AI41" s="47"/>
      <c r="AJ41" s="44">
        <f>AF41*(1+AF44)</f>
        <v>157.20085067122503</v>
      </c>
      <c r="AK41" s="31"/>
      <c r="AL41" s="33"/>
      <c r="AM41" s="47"/>
      <c r="AN41" s="44">
        <f>AJ41*(1+AJ44)</f>
        <v>158.69425875260168</v>
      </c>
      <c r="AO41" s="28"/>
      <c r="AP41" s="33"/>
      <c r="AQ41" s="47"/>
      <c r="AR41" s="44">
        <f>AN41*(1+AN44)</f>
        <v>160.20185421075141</v>
      </c>
      <c r="AS41" s="28"/>
      <c r="AT41" s="33"/>
      <c r="AU41" s="47"/>
      <c r="AV41" s="44">
        <f>AR41*(1+AR44)</f>
        <v>161.72377182575354</v>
      </c>
      <c r="AW41" s="28"/>
      <c r="AX41" s="33"/>
      <c r="AY41" s="51"/>
      <c r="AZ41" s="44">
        <f>AV41*(1+AV44)</f>
        <v>163.26014765809822</v>
      </c>
      <c r="BA41" s="31"/>
      <c r="BB41" s="33"/>
      <c r="BC41" s="51"/>
      <c r="BD41" s="44">
        <f>AZ41*(1+AZ44)</f>
        <v>164.81111906085016</v>
      </c>
      <c r="BE41" s="31"/>
      <c r="BF41" s="33"/>
      <c r="BG41" s="51"/>
      <c r="BH41" s="44">
        <f>BD41*(1+BD44)</f>
        <v>166.37682469192825</v>
      </c>
      <c r="BI41" s="31"/>
      <c r="BJ41" s="33"/>
      <c r="BK41" s="47"/>
      <c r="BL41" s="44">
        <f>BH41*(1+BH44)</f>
        <v>167.95740452650159</v>
      </c>
      <c r="BM41" s="28"/>
      <c r="BN41" s="33"/>
      <c r="BO41" s="47"/>
      <c r="BP41" s="44">
        <f>BL41*(1+BL44)</f>
        <v>169.55299986950337</v>
      </c>
      <c r="BQ41" s="53"/>
    </row>
    <row r="42" spans="1:69" x14ac:dyDescent="0.2">
      <c r="A42" s="121" t="s">
        <v>230</v>
      </c>
      <c r="B42" s="86">
        <v>72.506270499710595</v>
      </c>
      <c r="C42" s="87"/>
      <c r="D42" s="86">
        <v>62.872000000000007</v>
      </c>
      <c r="E42" s="87"/>
      <c r="F42" s="86">
        <v>85.56</v>
      </c>
      <c r="G42" s="87"/>
      <c r="H42" s="86">
        <v>90.634250000000009</v>
      </c>
      <c r="I42" s="87"/>
      <c r="J42" s="86">
        <v>91.299250000000001</v>
      </c>
      <c r="K42" s="87"/>
      <c r="L42" s="86">
        <v>94.5702</v>
      </c>
      <c r="M42" s="87"/>
      <c r="N42" s="86">
        <v>97.465599999999995</v>
      </c>
      <c r="O42" s="87"/>
      <c r="P42" s="72">
        <v>23.304600000000001</v>
      </c>
      <c r="Q42" s="73"/>
      <c r="R42" s="72">
        <v>26.195800000000002</v>
      </c>
      <c r="S42" s="73"/>
      <c r="T42" s="72">
        <v>55.738600000000005</v>
      </c>
      <c r="U42" s="75"/>
      <c r="V42" s="86">
        <v>80.848320000000001</v>
      </c>
      <c r="W42" s="106"/>
      <c r="X42" s="86">
        <v>88.929670000000002</v>
      </c>
      <c r="Y42" s="96"/>
      <c r="Z42" s="96"/>
      <c r="AA42" s="97"/>
      <c r="AB42" s="44">
        <f>AB40*AB41</f>
        <v>114.99494173502825</v>
      </c>
      <c r="AC42" s="31"/>
      <c r="AD42" s="33"/>
      <c r="AE42" s="47"/>
      <c r="AF42" s="44">
        <f>AF40*AF41</f>
        <v>116.13379243047905</v>
      </c>
      <c r="AG42" s="28"/>
      <c r="AH42" s="33"/>
      <c r="AI42" s="47"/>
      <c r="AJ42" s="44">
        <f>AJ40*AJ41</f>
        <v>117.45609143614845</v>
      </c>
      <c r="AK42" s="31"/>
      <c r="AL42" s="33"/>
      <c r="AM42" s="47"/>
      <c r="AN42" s="44">
        <f>AN40*AN41</f>
        <v>118.79344613425505</v>
      </c>
      <c r="AO42" s="28"/>
      <c r="AP42" s="33"/>
      <c r="AQ42" s="47"/>
      <c r="AR42" s="44">
        <f>AR40*AR41</f>
        <v>120.14602794886686</v>
      </c>
      <c r="AS42" s="28"/>
      <c r="AT42" s="33"/>
      <c r="AU42" s="47"/>
      <c r="AV42" s="44">
        <f>AV40*AV41</f>
        <v>121.51401025588589</v>
      </c>
      <c r="AW42" s="28"/>
      <c r="AX42" s="33"/>
      <c r="AY42" s="51"/>
      <c r="AZ42" s="44">
        <f>AZ40*AZ41</f>
        <v>122.89756840527164</v>
      </c>
      <c r="BA42" s="31"/>
      <c r="BB42" s="33"/>
      <c r="BC42" s="51"/>
      <c r="BD42" s="44">
        <f>BD40*BD41</f>
        <v>124.29687974351768</v>
      </c>
      <c r="BE42" s="31"/>
      <c r="BF42" s="33"/>
      <c r="BG42" s="51"/>
      <c r="BH42" s="44">
        <f>BH40*BH41</f>
        <v>125.71212363638422</v>
      </c>
      <c r="BI42" s="31"/>
      <c r="BJ42" s="33"/>
      <c r="BK42" s="47"/>
      <c r="BL42" s="44">
        <f>BL40*BL41</f>
        <v>127.14348149188949</v>
      </c>
      <c r="BM42" s="28"/>
      <c r="BN42" s="33"/>
      <c r="BO42" s="47"/>
      <c r="BP42" s="44">
        <f>BP40*BP41</f>
        <v>128.5911367835628</v>
      </c>
      <c r="BQ42" s="53"/>
    </row>
    <row r="43" spans="1:69" x14ac:dyDescent="0.2">
      <c r="A43" s="117" t="s">
        <v>231</v>
      </c>
      <c r="B43" s="113"/>
      <c r="C43" s="89"/>
      <c r="D43" s="88"/>
      <c r="E43" s="89"/>
      <c r="F43" s="88"/>
      <c r="G43" s="89"/>
      <c r="H43" s="88"/>
      <c r="I43" s="89"/>
      <c r="J43" s="88"/>
      <c r="K43" s="89"/>
      <c r="L43" s="88"/>
      <c r="M43" s="89"/>
      <c r="N43" s="88"/>
      <c r="O43" s="89"/>
      <c r="P43" s="76"/>
      <c r="Q43" s="77"/>
      <c r="R43" s="76"/>
      <c r="S43" s="77"/>
      <c r="T43" s="76"/>
      <c r="U43" s="77"/>
      <c r="V43" s="88"/>
      <c r="W43" s="89"/>
      <c r="X43" s="88"/>
      <c r="Y43" s="96"/>
      <c r="Z43" s="100"/>
      <c r="AA43" s="101"/>
      <c r="AB43" s="41"/>
      <c r="AC43" s="19"/>
      <c r="AD43" s="34"/>
      <c r="AE43" s="36"/>
      <c r="AF43" s="41"/>
      <c r="AG43" s="19"/>
      <c r="AH43" s="34"/>
      <c r="AI43" s="36"/>
      <c r="AJ43" s="41"/>
      <c r="AK43" s="19"/>
      <c r="AL43" s="34"/>
      <c r="AM43" s="36"/>
      <c r="AN43" s="41"/>
      <c r="AO43" s="19"/>
      <c r="AP43" s="34"/>
      <c r="AQ43" s="36"/>
      <c r="AR43" s="41"/>
      <c r="AS43" s="19"/>
      <c r="AT43" s="34"/>
      <c r="AU43" s="36"/>
      <c r="AV43" s="41"/>
      <c r="AW43" s="19"/>
      <c r="AX43" s="34"/>
      <c r="AY43" s="36"/>
      <c r="AZ43" s="41"/>
      <c r="BA43" s="19"/>
      <c r="BB43" s="34"/>
      <c r="BC43" s="36"/>
      <c r="BD43" s="41"/>
      <c r="BE43" s="19"/>
      <c r="BF43" s="34"/>
      <c r="BG43" s="36"/>
      <c r="BH43" s="52"/>
      <c r="BI43" s="19"/>
      <c r="BJ43" s="34"/>
      <c r="BK43" s="36"/>
      <c r="BL43" s="52"/>
      <c r="BM43" s="19"/>
      <c r="BN43" s="34"/>
      <c r="BO43" s="36"/>
      <c r="BP43" s="40"/>
      <c r="BQ43" s="54"/>
    </row>
    <row r="44" spans="1:69" x14ac:dyDescent="0.2">
      <c r="A44" s="122" t="s">
        <v>693</v>
      </c>
      <c r="B44" s="114"/>
      <c r="C44" s="91"/>
      <c r="D44" s="90"/>
      <c r="E44" s="91"/>
      <c r="F44" s="90"/>
      <c r="G44" s="91"/>
      <c r="H44" s="90"/>
      <c r="I44" s="91"/>
      <c r="J44" s="90"/>
      <c r="K44" s="91"/>
      <c r="L44" s="90"/>
      <c r="M44" s="89"/>
      <c r="N44" s="88"/>
      <c r="O44" s="89"/>
      <c r="P44" s="76"/>
      <c r="Q44" s="77"/>
      <c r="R44" s="76"/>
      <c r="S44" s="77"/>
      <c r="T44" s="76"/>
      <c r="U44" s="77"/>
      <c r="V44" s="88"/>
      <c r="W44" s="91"/>
      <c r="X44" s="107">
        <v>2.4899999999999999E-2</v>
      </c>
      <c r="Y44" s="100"/>
      <c r="Z44" s="100"/>
      <c r="AA44" s="101"/>
      <c r="AB44" s="45">
        <f>'PRELIMINARY ANALYSIS'!$K$25</f>
        <v>8.0202527216806044E-3</v>
      </c>
      <c r="AC44" s="19"/>
      <c r="AD44" s="34"/>
      <c r="AE44" s="36"/>
      <c r="AF44" s="159">
        <v>9.4999999999999998E-3</v>
      </c>
      <c r="AG44" s="19"/>
      <c r="AH44" s="34"/>
      <c r="AI44" s="36"/>
      <c r="AJ44" s="159">
        <v>9.4999999999999998E-3</v>
      </c>
      <c r="AK44" s="19"/>
      <c r="AL44" s="34"/>
      <c r="AM44" s="36"/>
      <c r="AN44" s="159">
        <v>9.4999999999999998E-3</v>
      </c>
      <c r="AO44" s="19"/>
      <c r="AP44" s="34"/>
      <c r="AQ44" s="36"/>
      <c r="AR44" s="159">
        <v>9.4999999999999998E-3</v>
      </c>
      <c r="AS44" s="19"/>
      <c r="AT44" s="34"/>
      <c r="AU44" s="36"/>
      <c r="AV44" s="159">
        <v>9.4999999999999998E-3</v>
      </c>
      <c r="AW44" s="19"/>
      <c r="AX44" s="34"/>
      <c r="AY44" s="36"/>
      <c r="AZ44" s="159">
        <v>9.4999999999999998E-3</v>
      </c>
      <c r="BA44" s="19"/>
      <c r="BB44" s="34"/>
      <c r="BC44" s="36"/>
      <c r="BD44" s="159">
        <v>9.4999999999999998E-3</v>
      </c>
      <c r="BE44" s="19"/>
      <c r="BF44" s="34"/>
      <c r="BG44" s="36"/>
      <c r="BH44" s="159">
        <v>9.4999999999999998E-3</v>
      </c>
      <c r="BI44" s="19"/>
      <c r="BJ44" s="34"/>
      <c r="BK44" s="36"/>
      <c r="BL44" s="159">
        <v>9.4999999999999998E-3</v>
      </c>
      <c r="BM44" s="19"/>
      <c r="BN44" s="34"/>
      <c r="BO44" s="36"/>
      <c r="BP44" s="159">
        <v>9.4999999999999998E-3</v>
      </c>
      <c r="BQ44" s="54"/>
    </row>
    <row r="45" spans="1:69" x14ac:dyDescent="0.2">
      <c r="A45" s="122"/>
      <c r="B45" s="114"/>
      <c r="C45" s="91"/>
      <c r="D45" s="90"/>
      <c r="E45" s="91"/>
      <c r="F45" s="90"/>
      <c r="G45" s="186"/>
      <c r="H45" s="90"/>
      <c r="I45" s="91"/>
      <c r="J45" s="90"/>
      <c r="K45" s="91"/>
      <c r="L45" s="90"/>
      <c r="M45" s="91"/>
      <c r="N45" s="90"/>
      <c r="O45" s="91"/>
      <c r="P45" s="78"/>
      <c r="Q45" s="79"/>
      <c r="R45" s="78"/>
      <c r="S45" s="79"/>
      <c r="T45" s="78"/>
      <c r="U45" s="79"/>
      <c r="V45" s="90"/>
      <c r="W45" s="91"/>
      <c r="X45" s="90"/>
      <c r="Y45" s="100"/>
      <c r="Z45" s="100"/>
      <c r="AA45" s="101"/>
      <c r="AB45" s="41"/>
      <c r="AC45" s="19"/>
      <c r="AD45" s="34"/>
      <c r="AE45" s="36"/>
      <c r="AF45" s="41"/>
      <c r="AG45" s="19"/>
      <c r="AH45" s="34"/>
      <c r="AI45" s="36"/>
      <c r="AJ45" s="41"/>
      <c r="AK45" s="19"/>
      <c r="AL45" s="34"/>
      <c r="AM45" s="36"/>
      <c r="AN45" s="41"/>
      <c r="AO45" s="19"/>
      <c r="AP45" s="34"/>
      <c r="AQ45" s="36"/>
      <c r="AR45" s="41"/>
      <c r="AS45" s="19"/>
      <c r="AT45" s="34"/>
      <c r="AU45" s="36"/>
      <c r="AV45" s="41"/>
      <c r="AW45" s="19"/>
      <c r="AX45" s="34"/>
      <c r="AY45" s="36"/>
      <c r="AZ45" s="41"/>
      <c r="BA45" s="19"/>
      <c r="BB45" s="34"/>
      <c r="BC45" s="36"/>
      <c r="BD45" s="41"/>
      <c r="BE45" s="19"/>
      <c r="BF45" s="34"/>
      <c r="BG45" s="36"/>
      <c r="BH45" s="52"/>
      <c r="BI45" s="19"/>
      <c r="BJ45" s="34"/>
      <c r="BK45" s="36"/>
      <c r="BL45" s="52"/>
      <c r="BM45" s="19"/>
      <c r="BN45" s="34"/>
      <c r="BO45" s="36"/>
      <c r="BP45" s="41"/>
      <c r="BQ45" s="54"/>
    </row>
    <row r="46" spans="1:69" ht="17" thickBot="1" x14ac:dyDescent="0.25">
      <c r="A46" s="123"/>
      <c r="B46" s="115" t="s">
        <v>232</v>
      </c>
      <c r="C46" s="93" t="s">
        <v>233</v>
      </c>
      <c r="D46" s="92" t="s">
        <v>232</v>
      </c>
      <c r="E46" s="93" t="s">
        <v>233</v>
      </c>
      <c r="F46" s="92" t="s">
        <v>232</v>
      </c>
      <c r="G46" s="93" t="s">
        <v>233</v>
      </c>
      <c r="H46" s="92" t="s">
        <v>232</v>
      </c>
      <c r="I46" s="93" t="s">
        <v>233</v>
      </c>
      <c r="J46" s="92" t="s">
        <v>232</v>
      </c>
      <c r="K46" s="93" t="s">
        <v>233</v>
      </c>
      <c r="L46" s="92" t="s">
        <v>232</v>
      </c>
      <c r="M46" s="93" t="s">
        <v>233</v>
      </c>
      <c r="N46" s="92" t="s">
        <v>232</v>
      </c>
      <c r="O46" s="93" t="s">
        <v>233</v>
      </c>
      <c r="P46" s="109" t="s">
        <v>232</v>
      </c>
      <c r="Q46" s="110" t="s">
        <v>233</v>
      </c>
      <c r="R46" s="109" t="s">
        <v>232</v>
      </c>
      <c r="S46" s="110" t="s">
        <v>233</v>
      </c>
      <c r="T46" s="109" t="s">
        <v>232</v>
      </c>
      <c r="U46" s="110" t="s">
        <v>233</v>
      </c>
      <c r="V46" s="92" t="s">
        <v>232</v>
      </c>
      <c r="W46" s="93" t="s">
        <v>233</v>
      </c>
      <c r="X46" s="92" t="s">
        <v>232</v>
      </c>
      <c r="Y46" s="93" t="s">
        <v>233</v>
      </c>
      <c r="Z46" s="93" t="s">
        <v>234</v>
      </c>
      <c r="AA46" s="108" t="s">
        <v>155</v>
      </c>
      <c r="AB46" s="46" t="s">
        <v>232</v>
      </c>
      <c r="AC46" s="39" t="s">
        <v>233</v>
      </c>
      <c r="AD46" s="26" t="s">
        <v>234</v>
      </c>
      <c r="AE46" s="38" t="s">
        <v>155</v>
      </c>
      <c r="AF46" s="46" t="s">
        <v>232</v>
      </c>
      <c r="AG46" s="39" t="s">
        <v>233</v>
      </c>
      <c r="AH46" s="26" t="s">
        <v>234</v>
      </c>
      <c r="AI46" s="38" t="s">
        <v>155</v>
      </c>
      <c r="AJ46" s="46" t="s">
        <v>232</v>
      </c>
      <c r="AK46" s="39" t="s">
        <v>233</v>
      </c>
      <c r="AL46" s="26" t="s">
        <v>234</v>
      </c>
      <c r="AM46" s="38" t="s">
        <v>155</v>
      </c>
      <c r="AN46" s="46" t="s">
        <v>232</v>
      </c>
      <c r="AO46" s="39" t="s">
        <v>233</v>
      </c>
      <c r="AP46" s="26" t="s">
        <v>234</v>
      </c>
      <c r="AQ46" s="38" t="s">
        <v>155</v>
      </c>
      <c r="AR46" s="46" t="s">
        <v>232</v>
      </c>
      <c r="AS46" s="39" t="s">
        <v>233</v>
      </c>
      <c r="AT46" s="26" t="s">
        <v>234</v>
      </c>
      <c r="AU46" s="38" t="s">
        <v>155</v>
      </c>
      <c r="AV46" s="46" t="s">
        <v>232</v>
      </c>
      <c r="AW46" s="39" t="s">
        <v>233</v>
      </c>
      <c r="AX46" s="26" t="s">
        <v>234</v>
      </c>
      <c r="AY46" s="38" t="s">
        <v>155</v>
      </c>
      <c r="AZ46" s="46" t="s">
        <v>232</v>
      </c>
      <c r="BA46" s="39" t="s">
        <v>233</v>
      </c>
      <c r="BB46" s="26" t="s">
        <v>234</v>
      </c>
      <c r="BC46" s="38" t="s">
        <v>155</v>
      </c>
      <c r="BD46" s="46" t="s">
        <v>232</v>
      </c>
      <c r="BE46" s="39" t="s">
        <v>233</v>
      </c>
      <c r="BF46" s="26" t="s">
        <v>234</v>
      </c>
      <c r="BG46" s="38" t="s">
        <v>155</v>
      </c>
      <c r="BH46" s="46" t="s">
        <v>232</v>
      </c>
      <c r="BI46" s="39" t="s">
        <v>233</v>
      </c>
      <c r="BJ46" s="26" t="s">
        <v>234</v>
      </c>
      <c r="BK46" s="38" t="s">
        <v>155</v>
      </c>
      <c r="BL46" s="46" t="s">
        <v>232</v>
      </c>
      <c r="BM46" s="39" t="s">
        <v>233</v>
      </c>
      <c r="BN46" s="26" t="s">
        <v>234</v>
      </c>
      <c r="BO46" s="38" t="s">
        <v>155</v>
      </c>
      <c r="BP46" s="46" t="s">
        <v>232</v>
      </c>
      <c r="BQ46" s="56" t="s">
        <v>233</v>
      </c>
    </row>
    <row r="47" spans="1:69" x14ac:dyDescent="0.2">
      <c r="B47" s="182"/>
      <c r="C47" s="1687"/>
      <c r="D47" s="182"/>
      <c r="E47" s="1687"/>
      <c r="F47" s="182"/>
      <c r="G47" s="1687"/>
      <c r="H47" s="182"/>
      <c r="I47" s="1687"/>
      <c r="J47" s="182"/>
      <c r="K47" s="1687"/>
      <c r="L47" s="182"/>
      <c r="M47" s="1687"/>
      <c r="N47" s="182"/>
      <c r="O47" s="1687"/>
      <c r="P47" s="182"/>
      <c r="Q47" s="1687"/>
      <c r="R47" s="182"/>
      <c r="S47" s="1687"/>
      <c r="T47" s="182"/>
      <c r="U47" s="194"/>
      <c r="V47" s="182"/>
      <c r="W47" s="194"/>
      <c r="X47" s="182"/>
      <c r="AB47" s="182"/>
      <c r="AC47" s="179"/>
      <c r="AD47" s="193"/>
      <c r="AE47" s="193"/>
      <c r="AF47" s="182"/>
      <c r="AG47" s="179"/>
      <c r="AH47" s="193"/>
      <c r="AI47" s="193"/>
      <c r="AJ47" s="182"/>
      <c r="AK47" s="179"/>
      <c r="AL47" s="193"/>
      <c r="AM47" s="193"/>
      <c r="AN47" s="182"/>
      <c r="AO47" s="179"/>
      <c r="AP47" s="193"/>
      <c r="AQ47" s="193"/>
      <c r="AR47" s="182"/>
      <c r="AS47" s="179"/>
      <c r="AT47" s="193"/>
      <c r="AU47" s="193"/>
      <c r="AV47" s="182"/>
      <c r="AW47" s="179"/>
      <c r="AX47" s="193"/>
      <c r="AY47" s="193"/>
      <c r="AZ47" s="182"/>
      <c r="BA47" s="179"/>
      <c r="BB47" s="193"/>
      <c r="BC47" s="193"/>
      <c r="BD47" s="182"/>
      <c r="BE47" s="179"/>
      <c r="BF47" s="193"/>
      <c r="BG47" s="193"/>
      <c r="BH47" s="182"/>
      <c r="BI47" s="179"/>
      <c r="BJ47" s="193"/>
      <c r="BK47" s="193"/>
      <c r="BL47" s="182"/>
      <c r="BM47" s="179"/>
      <c r="BN47" s="193"/>
      <c r="BO47" s="193"/>
      <c r="BP47" s="182"/>
      <c r="BQ47" s="179"/>
    </row>
    <row r="48" spans="1:69" x14ac:dyDescent="0.2">
      <c r="AC48" s="179"/>
      <c r="AD48" s="193"/>
      <c r="AE48" s="193"/>
      <c r="AG48" s="179"/>
      <c r="AH48" s="193"/>
      <c r="AI48" s="193"/>
      <c r="AK48" s="179"/>
      <c r="AL48" s="193"/>
      <c r="AM48" s="193"/>
      <c r="AO48" s="179"/>
      <c r="AP48" s="193"/>
      <c r="AQ48" s="193"/>
      <c r="AS48" s="179"/>
      <c r="AT48" s="193"/>
      <c r="AU48" s="193"/>
      <c r="AW48" s="179"/>
      <c r="AX48" s="193"/>
      <c r="AY48" s="193"/>
      <c r="BA48" s="179"/>
      <c r="BB48" s="193"/>
      <c r="BC48" s="193"/>
      <c r="BE48" s="179"/>
      <c r="BF48" s="193"/>
      <c r="BG48" s="193"/>
      <c r="BI48" s="179"/>
      <c r="BJ48" s="193"/>
      <c r="BK48" s="193"/>
      <c r="BM48" s="179"/>
      <c r="BN48" s="193"/>
      <c r="BO48" s="193"/>
      <c r="BQ48" s="179"/>
    </row>
    <row r="49" spans="2:69" x14ac:dyDescent="0.2">
      <c r="C49">
        <v>2014</v>
      </c>
      <c r="D49">
        <v>2015</v>
      </c>
      <c r="E49">
        <v>2016</v>
      </c>
      <c r="F49">
        <v>2017</v>
      </c>
      <c r="G49">
        <v>2018</v>
      </c>
      <c r="H49">
        <v>2019</v>
      </c>
      <c r="I49">
        <v>2021</v>
      </c>
      <c r="J49">
        <v>2022</v>
      </c>
      <c r="K49">
        <v>2023</v>
      </c>
      <c r="L49">
        <v>2024</v>
      </c>
      <c r="N49" t="s">
        <v>193</v>
      </c>
      <c r="X49" s="189"/>
      <c r="AB49" s="189"/>
      <c r="AC49" s="179"/>
      <c r="AD49" s="193"/>
      <c r="AE49" s="193"/>
      <c r="AF49" s="189"/>
      <c r="AG49" s="179"/>
      <c r="AH49" s="193"/>
      <c r="AI49" s="193"/>
      <c r="AJ49" s="189"/>
      <c r="AK49" s="179"/>
      <c r="AL49" s="193"/>
      <c r="AM49" s="193"/>
      <c r="AN49" s="189"/>
      <c r="AO49" s="179"/>
      <c r="AP49" s="193"/>
      <c r="AQ49" s="193"/>
      <c r="AR49" s="189"/>
      <c r="AS49" s="179"/>
      <c r="AT49" s="193"/>
      <c r="AU49" s="193"/>
      <c r="AV49" s="189"/>
      <c r="AW49" s="179"/>
      <c r="AX49" s="193"/>
      <c r="AY49" s="193"/>
      <c r="AZ49" s="189"/>
      <c r="BA49" s="179"/>
      <c r="BB49" s="193"/>
      <c r="BC49" s="193"/>
      <c r="BD49" s="189"/>
      <c r="BE49" s="179"/>
      <c r="BF49" s="193"/>
      <c r="BG49" s="193"/>
      <c r="BH49" s="189"/>
      <c r="BI49" s="179"/>
      <c r="BJ49" s="193"/>
      <c r="BK49" s="193"/>
      <c r="BL49" s="189"/>
      <c r="BM49" s="179"/>
      <c r="BN49" s="193"/>
      <c r="BO49" s="193"/>
      <c r="BP49" s="189"/>
      <c r="BQ49" s="179"/>
    </row>
    <row r="50" spans="2:69" x14ac:dyDescent="0.2">
      <c r="B50" s="197" t="s">
        <v>131</v>
      </c>
      <c r="C50" s="196">
        <f>D41/B41-1</f>
        <v>3.1159127195318215E-2</v>
      </c>
      <c r="D50" s="196">
        <f>F41/D41-1</f>
        <v>-8.6206896551723755E-3</v>
      </c>
      <c r="E50" s="196">
        <f>H41/F41-1</f>
        <v>1.9565217391304346E-2</v>
      </c>
      <c r="F50" s="196">
        <f>J41/H41-1</f>
        <v>7.4029850746268666E-2</v>
      </c>
      <c r="G50" s="196">
        <f>L41/J41-1</f>
        <v>5.3204161041846554E-3</v>
      </c>
      <c r="H50" s="196">
        <f>N41/L41-1</f>
        <v>-7.89889415481837E-3</v>
      </c>
      <c r="I50" s="196">
        <f>R41/P41-1</f>
        <v>5.9687786960514133E-2</v>
      </c>
      <c r="J50" s="196">
        <f>T41/R41-1</f>
        <v>5.4592720970537245E-2</v>
      </c>
      <c r="K50" s="196">
        <f>V41/T41-1</f>
        <v>4.4535743631881619E-2</v>
      </c>
      <c r="L50" s="196">
        <f>X41/V41-1</f>
        <v>-5.844870988042794E-2</v>
      </c>
      <c r="N50" s="198">
        <f>AVERAGE(C50:L50)</f>
        <v>2.139225693095902E-2</v>
      </c>
      <c r="AC50" s="179"/>
      <c r="AD50" s="193"/>
      <c r="AE50" s="193"/>
      <c r="AG50" s="179"/>
      <c r="AH50" s="193"/>
      <c r="AI50" s="193"/>
      <c r="AK50" s="179"/>
      <c r="AL50" s="193"/>
      <c r="AM50" s="193"/>
      <c r="AO50" s="179"/>
      <c r="AP50" s="193"/>
      <c r="AQ50" s="193"/>
      <c r="AS50" s="179"/>
      <c r="AT50" s="193"/>
      <c r="AU50" s="193"/>
      <c r="AW50" s="179"/>
      <c r="AX50" s="193"/>
      <c r="AY50" s="193"/>
      <c r="BA50" s="179"/>
      <c r="BB50" s="193"/>
      <c r="BC50" s="193"/>
      <c r="BE50" s="179"/>
      <c r="BF50" s="193"/>
      <c r="BG50" s="193"/>
      <c r="BI50" s="179"/>
      <c r="BJ50" s="193"/>
      <c r="BK50" s="193"/>
      <c r="BM50" s="179"/>
      <c r="BN50" s="193"/>
      <c r="BO50" s="193"/>
      <c r="BQ50" s="179"/>
    </row>
    <row r="51" spans="2:69" x14ac:dyDescent="0.2">
      <c r="B51" s="171" t="s">
        <v>694</v>
      </c>
      <c r="C51" s="199">
        <f>D40/B40-1</f>
        <v>-0.15907741124348895</v>
      </c>
      <c r="D51" s="199">
        <f>F40/D40-1</f>
        <v>0.37269372693726921</v>
      </c>
      <c r="E51" s="200">
        <f>H40/F40-1</f>
        <v>3.897849462365599E-2</v>
      </c>
      <c r="F51" s="201">
        <f>J40/H40-1</f>
        <v>-6.2095730918499403E-2</v>
      </c>
      <c r="G51" s="201">
        <f>L40/J40-1</f>
        <v>3.0344827586206824E-2</v>
      </c>
      <c r="H51" s="202">
        <f>N40/L40-1</f>
        <v>3.8821954484605126E-2</v>
      </c>
      <c r="I51" s="201">
        <f>R40/P40-1</f>
        <v>6.0747663551401931E-2</v>
      </c>
      <c r="J51" s="203">
        <f>T40/R40-1</f>
        <v>1.0176211453744495</v>
      </c>
      <c r="K51" s="203">
        <f>V40/T40-1</f>
        <v>0.38864628820960689</v>
      </c>
      <c r="L51" s="201">
        <f>X40/V40-1</f>
        <v>0.16823899371069184</v>
      </c>
      <c r="M51" s="171"/>
      <c r="N51" s="198">
        <f>AVERAGE(C51:L51)</f>
        <v>0.18949199523158991</v>
      </c>
      <c r="P51" s="171"/>
      <c r="Q51" s="171"/>
      <c r="R51" s="171"/>
      <c r="S51" s="171"/>
      <c r="T51" s="171"/>
      <c r="U51" s="171"/>
      <c r="V51" s="171"/>
      <c r="W51" s="171"/>
      <c r="X51" s="171"/>
      <c r="Y51" s="171"/>
      <c r="Z51" s="171"/>
      <c r="AA51" s="171"/>
      <c r="AB51" s="171"/>
      <c r="AC51" s="195"/>
      <c r="AD51" s="171"/>
      <c r="AE51" s="171"/>
      <c r="AF51" s="171"/>
      <c r="AG51" s="195"/>
      <c r="AH51" s="171"/>
      <c r="AI51" s="171"/>
      <c r="AJ51" s="171"/>
      <c r="AK51" s="195"/>
      <c r="AL51" s="171"/>
      <c r="AM51" s="171"/>
      <c r="AN51" s="171"/>
      <c r="AO51" s="195"/>
      <c r="AP51" s="171"/>
      <c r="AQ51" s="171"/>
      <c r="AR51" s="171"/>
      <c r="AS51" s="195"/>
      <c r="AT51" s="171"/>
      <c r="AU51" s="171"/>
      <c r="AV51" s="171"/>
      <c r="AW51" s="195"/>
      <c r="AX51" s="171"/>
      <c r="AY51" s="171"/>
      <c r="AZ51" s="171"/>
      <c r="BA51" s="195"/>
      <c r="BB51" s="171"/>
      <c r="BC51" s="171"/>
      <c r="BD51" s="171"/>
      <c r="BE51" s="195"/>
      <c r="BF51" s="171"/>
      <c r="BG51" s="171"/>
      <c r="BH51" s="171"/>
      <c r="BI51" s="195"/>
      <c r="BJ51" s="171"/>
      <c r="BK51" s="171"/>
      <c r="BL51" s="171"/>
      <c r="BM51" s="195"/>
      <c r="BN51" s="171"/>
      <c r="BO51" s="171"/>
      <c r="BP51" s="171"/>
      <c r="BQ51" s="195"/>
    </row>
    <row r="56" spans="2:69" x14ac:dyDescent="0.2">
      <c r="F56" s="25" t="s">
        <v>695</v>
      </c>
      <c r="G56" t="s">
        <v>696</v>
      </c>
    </row>
    <row r="57" spans="2:69" x14ac:dyDescent="0.2">
      <c r="G57" t="s">
        <v>697</v>
      </c>
    </row>
  </sheetData>
  <mergeCells count="23">
    <mergeCell ref="AZ35:BC35"/>
    <mergeCell ref="BD35:BG35"/>
    <mergeCell ref="BH35:BK35"/>
    <mergeCell ref="BL35:BO35"/>
    <mergeCell ref="BP35:BQ35"/>
    <mergeCell ref="AV35:AY35"/>
    <mergeCell ref="N35:O35"/>
    <mergeCell ref="P35:Q35"/>
    <mergeCell ref="R35:S35"/>
    <mergeCell ref="T35:U35"/>
    <mergeCell ref="V35:W35"/>
    <mergeCell ref="X35:AA35"/>
    <mergeCell ref="AB35:AE35"/>
    <mergeCell ref="AF35:AI35"/>
    <mergeCell ref="AJ35:AM35"/>
    <mergeCell ref="AN35:AQ35"/>
    <mergeCell ref="AR35:AU35"/>
    <mergeCell ref="L35:M35"/>
    <mergeCell ref="B35:C35"/>
    <mergeCell ref="D35:E35"/>
    <mergeCell ref="F35:G35"/>
    <mergeCell ref="H35:I35"/>
    <mergeCell ref="J35:K3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188F4-2897-2F4A-909E-7107E2FDA719}">
  <dimension ref="B2:R75"/>
  <sheetViews>
    <sheetView topLeftCell="A3" zoomScale="102" workbookViewId="0">
      <selection activeCell="B9" sqref="B9:E9"/>
    </sheetView>
  </sheetViews>
  <sheetFormatPr baseColWidth="10" defaultColWidth="11.1640625" defaultRowHeight="16" x14ac:dyDescent="0.2"/>
  <cols>
    <col min="2" max="2" width="58.1640625" bestFit="1" customWidth="1"/>
    <col min="3" max="3" width="22.6640625" customWidth="1"/>
    <col min="4" max="4" width="16" bestFit="1" customWidth="1"/>
    <col min="5" max="7" width="11"/>
    <col min="8" max="8" width="15.6640625" customWidth="1"/>
    <col min="9" max="9" width="11"/>
    <col min="10" max="10" width="12.5" bestFit="1" customWidth="1"/>
    <col min="11" max="11" width="14.1640625" bestFit="1" customWidth="1"/>
    <col min="14" max="14" width="17" bestFit="1" customWidth="1"/>
  </cols>
  <sheetData>
    <row r="2" spans="2:18" x14ac:dyDescent="0.2">
      <c r="B2" t="s">
        <v>698</v>
      </c>
      <c r="C2" t="s">
        <v>699</v>
      </c>
      <c r="O2" s="1674" t="s">
        <v>203</v>
      </c>
      <c r="P2" s="1674" t="s">
        <v>482</v>
      </c>
      <c r="Q2" s="1676" t="s">
        <v>483</v>
      </c>
      <c r="R2" s="1674" t="s">
        <v>682</v>
      </c>
    </row>
    <row r="3" spans="2:18" x14ac:dyDescent="0.2">
      <c r="B3" t="s">
        <v>700</v>
      </c>
      <c r="C3" t="s">
        <v>701</v>
      </c>
      <c r="N3" t="s">
        <v>462</v>
      </c>
      <c r="O3" s="170">
        <f>F25</f>
        <v>30565.850690461011</v>
      </c>
      <c r="P3" s="170">
        <f>G25</f>
        <v>13993.19940514128</v>
      </c>
      <c r="Q3" s="170">
        <f>H25</f>
        <v>7511.5996884073356</v>
      </c>
      <c r="R3" s="170">
        <f>SUM(O3:Q3)</f>
        <v>52070.649784009627</v>
      </c>
    </row>
    <row r="4" spans="2:18" x14ac:dyDescent="0.2">
      <c r="N4" t="s">
        <v>702</v>
      </c>
      <c r="O4" s="170">
        <f>F44</f>
        <v>112908.2676818922</v>
      </c>
      <c r="P4" s="170">
        <f>G44</f>
        <v>43044.098602648541</v>
      </c>
      <c r="Q4" s="170">
        <f>H44</f>
        <v>21483.175108844982</v>
      </c>
      <c r="R4" s="170">
        <f>SUM(O4:Q4)</f>
        <v>177435.54139338573</v>
      </c>
    </row>
    <row r="5" spans="2:18" x14ac:dyDescent="0.2">
      <c r="N5" t="s">
        <v>703</v>
      </c>
      <c r="O5" s="170">
        <f>F64</f>
        <v>260043.25017913777</v>
      </c>
      <c r="P5" s="170">
        <f>G64</f>
        <v>101954.11559557531</v>
      </c>
      <c r="Q5" s="170">
        <f>H64</f>
        <v>53526.741664691857</v>
      </c>
      <c r="R5" s="170">
        <f>SUM(O5:Q5)</f>
        <v>415524.10743940494</v>
      </c>
    </row>
    <row r="6" spans="2:18" ht="22" x14ac:dyDescent="0.3">
      <c r="B6" s="2062" t="s">
        <v>453</v>
      </c>
      <c r="C6" s="2063"/>
      <c r="D6" s="2063"/>
      <c r="E6" s="2063"/>
      <c r="F6" s="2063"/>
      <c r="G6" s="2063"/>
      <c r="H6" s="2064"/>
      <c r="N6" t="s">
        <v>682</v>
      </c>
      <c r="O6" s="170">
        <f>SUM(O3:O5)</f>
        <v>403517.36855149094</v>
      </c>
      <c r="P6" s="170">
        <f>SUM(P3:P5)</f>
        <v>158991.41360336513</v>
      </c>
      <c r="Q6" s="170">
        <f>SUM(Q3:Q5)</f>
        <v>82521.516461944178</v>
      </c>
      <c r="R6" s="170">
        <f>SUM(O6:Q6)</f>
        <v>645030.29861680022</v>
      </c>
    </row>
    <row r="8" spans="2:18" ht="17" thickBot="1" x14ac:dyDescent="0.25"/>
    <row r="9" spans="2:18" x14ac:dyDescent="0.2">
      <c r="B9" s="2059" t="s">
        <v>704</v>
      </c>
      <c r="C9" s="2060"/>
      <c r="D9" s="2060"/>
      <c r="E9" s="2060"/>
      <c r="F9" s="152"/>
      <c r="G9" s="152"/>
      <c r="H9" s="154"/>
      <c r="J9" s="1671" t="s">
        <v>680</v>
      </c>
      <c r="K9" s="1672" t="s">
        <v>489</v>
      </c>
    </row>
    <row r="10" spans="2:18" ht="17" thickBot="1" x14ac:dyDescent="0.25">
      <c r="B10" s="1673" t="s">
        <v>479</v>
      </c>
      <c r="C10" s="1674" t="s">
        <v>480</v>
      </c>
      <c r="D10" s="1674" t="s">
        <v>481</v>
      </c>
      <c r="E10" s="1675" t="s">
        <v>127</v>
      </c>
      <c r="F10" s="1674" t="s">
        <v>203</v>
      </c>
      <c r="G10" s="1674" t="s">
        <v>482</v>
      </c>
      <c r="H10" s="1676" t="s">
        <v>483</v>
      </c>
      <c r="J10" s="160">
        <v>423.63</v>
      </c>
      <c r="K10" s="161">
        <v>120</v>
      </c>
    </row>
    <row r="11" spans="2:18" x14ac:dyDescent="0.2">
      <c r="B11" s="145" t="s">
        <v>487</v>
      </c>
      <c r="C11" s="1677">
        <v>12190.11</v>
      </c>
      <c r="D11" s="163">
        <f>C11*$K$10/$J$10</f>
        <v>3453.0444019545362</v>
      </c>
      <c r="H11" s="169">
        <f>D11</f>
        <v>3453.0444019545362</v>
      </c>
    </row>
    <row r="12" spans="2:18" x14ac:dyDescent="0.2">
      <c r="B12" s="145" t="s">
        <v>495</v>
      </c>
      <c r="C12" s="1677">
        <v>10861.5</v>
      </c>
      <c r="D12" s="163">
        <f>C12*$K$10/$J$10</f>
        <v>3076.6942851072872</v>
      </c>
      <c r="F12" s="163">
        <f>D12</f>
        <v>3076.6942851072872</v>
      </c>
      <c r="H12" s="144"/>
    </row>
    <row r="13" spans="2:18" x14ac:dyDescent="0.2">
      <c r="B13" s="145" t="s">
        <v>705</v>
      </c>
      <c r="C13" s="1677">
        <v>27147.43</v>
      </c>
      <c r="D13" s="163">
        <f t="shared" ref="D13:D23" si="0">C13*$K$10/$J$10</f>
        <v>7689.9454712839033</v>
      </c>
      <c r="G13" s="163">
        <f>D13</f>
        <v>7689.9454712839033</v>
      </c>
      <c r="H13" s="144"/>
    </row>
    <row r="14" spans="2:18" x14ac:dyDescent="0.2">
      <c r="B14" s="145" t="s">
        <v>706</v>
      </c>
      <c r="C14" s="1677">
        <v>9974.84</v>
      </c>
      <c r="D14" s="163">
        <f t="shared" si="0"/>
        <v>2825.5336024360881</v>
      </c>
      <c r="F14" s="163">
        <f>D14</f>
        <v>2825.5336024360881</v>
      </c>
      <c r="H14" s="144"/>
    </row>
    <row r="15" spans="2:18" x14ac:dyDescent="0.2">
      <c r="B15" s="145" t="s">
        <v>524</v>
      </c>
      <c r="C15" s="1677">
        <v>4813.45</v>
      </c>
      <c r="D15" s="163">
        <f t="shared" si="0"/>
        <v>1363.4870051696055</v>
      </c>
      <c r="H15" s="169">
        <f>D15</f>
        <v>1363.4870051696055</v>
      </c>
    </row>
    <row r="16" spans="2:18" x14ac:dyDescent="0.2">
      <c r="B16" s="145" t="s">
        <v>707</v>
      </c>
      <c r="C16" s="1677">
        <v>1943.5</v>
      </c>
      <c r="D16" s="163">
        <f t="shared" si="0"/>
        <v>550.52758303236317</v>
      </c>
      <c r="H16" s="169">
        <f>D16</f>
        <v>550.52758303236317</v>
      </c>
    </row>
    <row r="17" spans="2:11" x14ac:dyDescent="0.2">
      <c r="B17" s="145" t="s">
        <v>536</v>
      </c>
      <c r="C17" s="1677">
        <v>17882.349999999999</v>
      </c>
      <c r="D17" s="163">
        <f t="shared" si="0"/>
        <v>5065.4627859216771</v>
      </c>
      <c r="G17" s="163">
        <f>D17</f>
        <v>5065.4627859216771</v>
      </c>
      <c r="H17" s="144"/>
    </row>
    <row r="18" spans="2:11" x14ac:dyDescent="0.2">
      <c r="B18" s="145" t="s">
        <v>708</v>
      </c>
      <c r="C18" s="1677">
        <v>10729.78</v>
      </c>
      <c r="D18" s="163">
        <f t="shared" si="0"/>
        <v>3039.382479994335</v>
      </c>
      <c r="H18" s="169">
        <f>D18</f>
        <v>3039.382479994335</v>
      </c>
    </row>
    <row r="19" spans="2:11" x14ac:dyDescent="0.2">
      <c r="B19" s="145" t="s">
        <v>516</v>
      </c>
      <c r="C19" s="1677">
        <v>1157.8399999999999</v>
      </c>
      <c r="D19" s="163">
        <f t="shared" si="0"/>
        <v>327.97677218327311</v>
      </c>
      <c r="H19" s="169">
        <f>D19</f>
        <v>327.97677218327311</v>
      </c>
    </row>
    <row r="20" spans="2:11" x14ac:dyDescent="0.2">
      <c r="B20" s="145" t="s">
        <v>709</v>
      </c>
      <c r="C20" s="1677">
        <v>6839.84</v>
      </c>
      <c r="D20" s="163">
        <f t="shared" si="0"/>
        <v>1937.4945117201332</v>
      </c>
      <c r="G20" s="163">
        <f>D20</f>
        <v>1937.4945117201332</v>
      </c>
      <c r="H20" s="144"/>
    </row>
    <row r="21" spans="2:11" x14ac:dyDescent="0.2">
      <c r="B21" s="145" t="s">
        <v>537</v>
      </c>
      <c r="C21" s="1677">
        <v>5571.65</v>
      </c>
      <c r="D21" s="163">
        <f t="shared" si="0"/>
        <v>1578.2593300757737</v>
      </c>
      <c r="G21" s="163">
        <f>D21</f>
        <v>1578.2593300757737</v>
      </c>
      <c r="H21" s="144"/>
    </row>
    <row r="22" spans="2:11" x14ac:dyDescent="0.2">
      <c r="B22" s="145" t="s">
        <v>541</v>
      </c>
      <c r="C22" s="1677">
        <v>93861.759999999995</v>
      </c>
      <c r="D22" s="163">
        <f t="shared" si="0"/>
        <v>26587.85071878762</v>
      </c>
      <c r="F22" s="163">
        <f>D22</f>
        <v>26587.85071878762</v>
      </c>
      <c r="H22" s="144"/>
    </row>
    <row r="23" spans="2:11" x14ac:dyDescent="0.2">
      <c r="B23" s="145" t="s">
        <v>545</v>
      </c>
      <c r="C23" s="1677">
        <v>10772.94</v>
      </c>
      <c r="D23" s="163">
        <f t="shared" si="0"/>
        <v>3051.6082430422775</v>
      </c>
      <c r="F23" s="163">
        <f>D23</f>
        <v>3051.6082430422775</v>
      </c>
      <c r="H23" s="144"/>
    </row>
    <row r="24" spans="2:11" ht="17" thickBot="1" x14ac:dyDescent="0.25">
      <c r="B24" s="1863" t="s">
        <v>518</v>
      </c>
      <c r="C24" s="1864">
        <f>SUM(C11:C23)</f>
        <v>213746.99</v>
      </c>
      <c r="D24" s="1864">
        <f>SUM(D11:D23)</f>
        <v>60547.267190708873</v>
      </c>
      <c r="E24" s="1864"/>
      <c r="F24" s="1864">
        <f>SUM(F11:F23)</f>
        <v>35541.686849373269</v>
      </c>
      <c r="G24" s="1864">
        <f>SUM(G11:G23)</f>
        <v>16271.162099001489</v>
      </c>
      <c r="H24" s="1864">
        <f>SUM(H11:H23)</f>
        <v>8734.4182423341117</v>
      </c>
    </row>
    <row r="25" spans="2:11" ht="17" thickBot="1" x14ac:dyDescent="0.25">
      <c r="B25" s="1679" t="s">
        <v>525</v>
      </c>
      <c r="C25" s="149"/>
      <c r="D25" s="150">
        <f>D24*0.86</f>
        <v>52070.649784009627</v>
      </c>
      <c r="E25" s="150"/>
      <c r="F25" s="150">
        <f>F24*0.86</f>
        <v>30565.850690461011</v>
      </c>
      <c r="G25" s="150">
        <f>G24*0.86</f>
        <v>13993.19940514128</v>
      </c>
      <c r="H25" s="150">
        <f>H24*0.86</f>
        <v>7511.5996884073356</v>
      </c>
    </row>
    <row r="27" spans="2:11" ht="17" thickBot="1" x14ac:dyDescent="0.25"/>
    <row r="28" spans="2:11" x14ac:dyDescent="0.2">
      <c r="B28" s="2059" t="s">
        <v>710</v>
      </c>
      <c r="C28" s="2060"/>
      <c r="D28" s="2060"/>
      <c r="E28" s="2060"/>
      <c r="F28" s="152"/>
      <c r="G28" s="152"/>
      <c r="H28" s="154"/>
      <c r="J28" s="1671" t="s">
        <v>680</v>
      </c>
      <c r="K28" s="1672" t="s">
        <v>489</v>
      </c>
    </row>
    <row r="29" spans="2:11" ht="17" thickBot="1" x14ac:dyDescent="0.25">
      <c r="B29" s="1673" t="s">
        <v>479</v>
      </c>
      <c r="C29" s="1674" t="s">
        <v>480</v>
      </c>
      <c r="D29" s="1674" t="s">
        <v>481</v>
      </c>
      <c r="E29" s="1675" t="s">
        <v>127</v>
      </c>
      <c r="F29" s="1674" t="s">
        <v>203</v>
      </c>
      <c r="G29" s="1674" t="s">
        <v>482</v>
      </c>
      <c r="H29" s="1676" t="s">
        <v>483</v>
      </c>
      <c r="J29" s="160">
        <v>423.63</v>
      </c>
      <c r="K29" s="161">
        <v>120</v>
      </c>
    </row>
    <row r="30" spans="2:11" x14ac:dyDescent="0.2">
      <c r="B30" s="145" t="s">
        <v>487</v>
      </c>
      <c r="C30" s="1677">
        <v>12190.11</v>
      </c>
      <c r="D30" s="163">
        <f t="shared" ref="D30:D42" si="1">C30*$K$29/$J$29</f>
        <v>3453.0444019545362</v>
      </c>
      <c r="H30" s="169">
        <f>D30</f>
        <v>3453.0444019545362</v>
      </c>
    </row>
    <row r="31" spans="2:11" x14ac:dyDescent="0.2">
      <c r="B31" s="145" t="s">
        <v>495</v>
      </c>
      <c r="C31" s="1677">
        <v>10861.5</v>
      </c>
      <c r="D31" s="163">
        <f t="shared" si="1"/>
        <v>3076.6942851072872</v>
      </c>
      <c r="F31" s="163">
        <f>D31</f>
        <v>3076.6942851072872</v>
      </c>
      <c r="H31" s="144"/>
    </row>
    <row r="32" spans="2:11" x14ac:dyDescent="0.2">
      <c r="B32" s="145" t="s">
        <v>705</v>
      </c>
      <c r="C32" s="1677">
        <v>27147.43</v>
      </c>
      <c r="D32" s="163">
        <f t="shared" si="1"/>
        <v>7689.9454712839033</v>
      </c>
      <c r="G32" s="163">
        <f>D32</f>
        <v>7689.9454712839033</v>
      </c>
      <c r="H32" s="144"/>
    </row>
    <row r="33" spans="2:11" x14ac:dyDescent="0.2">
      <c r="B33" s="145" t="s">
        <v>706</v>
      </c>
      <c r="C33" s="1677">
        <v>9974.84</v>
      </c>
      <c r="D33" s="163">
        <f t="shared" si="1"/>
        <v>2825.5336024360881</v>
      </c>
      <c r="F33" s="163">
        <f>D33</f>
        <v>2825.5336024360881</v>
      </c>
      <c r="H33" s="144"/>
    </row>
    <row r="34" spans="2:11" x14ac:dyDescent="0.2">
      <c r="B34" s="145" t="s">
        <v>524</v>
      </c>
      <c r="C34" s="1677">
        <v>4813.45</v>
      </c>
      <c r="D34" s="163">
        <f t="shared" si="1"/>
        <v>1363.4870051696055</v>
      </c>
      <c r="H34" s="169">
        <f>D34</f>
        <v>1363.4870051696055</v>
      </c>
    </row>
    <row r="35" spans="2:11" x14ac:dyDescent="0.2">
      <c r="B35" s="145" t="s">
        <v>707</v>
      </c>
      <c r="C35" s="1677">
        <v>1943.5</v>
      </c>
      <c r="D35" s="163">
        <f t="shared" si="1"/>
        <v>550.52758303236317</v>
      </c>
      <c r="H35" s="169">
        <f>D35</f>
        <v>550.52758303236317</v>
      </c>
    </row>
    <row r="36" spans="2:11" x14ac:dyDescent="0.2">
      <c r="B36" s="145" t="s">
        <v>536</v>
      </c>
      <c r="C36" s="1677">
        <v>17882.349999999999</v>
      </c>
      <c r="D36" s="163">
        <f t="shared" si="1"/>
        <v>5065.4627859216771</v>
      </c>
      <c r="G36" s="163">
        <f>D36</f>
        <v>5065.4627859216771</v>
      </c>
      <c r="H36" s="144"/>
    </row>
    <row r="37" spans="2:11" x14ac:dyDescent="0.2">
      <c r="B37" s="145" t="s">
        <v>708</v>
      </c>
      <c r="C37" s="1677">
        <v>10729.78</v>
      </c>
      <c r="D37" s="163">
        <f t="shared" si="1"/>
        <v>3039.382479994335</v>
      </c>
      <c r="H37" s="169">
        <f>D37</f>
        <v>3039.382479994335</v>
      </c>
    </row>
    <row r="38" spans="2:11" x14ac:dyDescent="0.2">
      <c r="B38" s="145" t="s">
        <v>516</v>
      </c>
      <c r="C38" s="1677">
        <v>1157.8399999999999</v>
      </c>
      <c r="D38" s="163">
        <f t="shared" si="1"/>
        <v>327.97677218327311</v>
      </c>
      <c r="H38" s="169">
        <f>D38</f>
        <v>327.97677218327311</v>
      </c>
    </row>
    <row r="39" spans="2:11" x14ac:dyDescent="0.2">
      <c r="B39" s="145" t="s">
        <v>709</v>
      </c>
      <c r="C39" s="1677">
        <v>6839.84</v>
      </c>
      <c r="D39" s="163">
        <f t="shared" si="1"/>
        <v>1937.4945117201332</v>
      </c>
      <c r="G39" s="163">
        <f>D39</f>
        <v>1937.4945117201332</v>
      </c>
      <c r="H39" s="144"/>
    </row>
    <row r="40" spans="2:11" x14ac:dyDescent="0.2">
      <c r="B40" s="145" t="s">
        <v>537</v>
      </c>
      <c r="C40" s="1677">
        <v>5571.65</v>
      </c>
      <c r="D40" s="163">
        <f t="shared" si="1"/>
        <v>1578.2593300757737</v>
      </c>
      <c r="G40" s="163">
        <f>D40</f>
        <v>1578.2593300757737</v>
      </c>
      <c r="H40" s="144"/>
    </row>
    <row r="41" spans="2:11" x14ac:dyDescent="0.2">
      <c r="B41" s="145" t="s">
        <v>541</v>
      </c>
      <c r="C41" s="1677">
        <v>93861.759999999995</v>
      </c>
      <c r="D41" s="163">
        <f t="shared" si="1"/>
        <v>26587.85071878762</v>
      </c>
      <c r="F41" s="163">
        <f>D41</f>
        <v>26587.85071878762</v>
      </c>
      <c r="H41" s="144"/>
    </row>
    <row r="42" spans="2:11" x14ac:dyDescent="0.2">
      <c r="B42" s="145" t="s">
        <v>545</v>
      </c>
      <c r="C42" s="1677">
        <v>10772.94</v>
      </c>
      <c r="D42" s="163">
        <f t="shared" si="1"/>
        <v>3051.6082430422775</v>
      </c>
      <c r="F42" s="163">
        <f>D42</f>
        <v>3051.6082430422775</v>
      </c>
      <c r="H42" s="144"/>
    </row>
    <row r="43" spans="2:11" ht="17" thickBot="1" x14ac:dyDescent="0.25">
      <c r="B43" s="1863" t="s">
        <v>518</v>
      </c>
      <c r="C43" s="1864">
        <f>SUM(C30:C42)</f>
        <v>213746.99</v>
      </c>
      <c r="D43" s="1864">
        <f>SUM(D30:D42)</f>
        <v>60547.267190708873</v>
      </c>
      <c r="E43" s="1864"/>
      <c r="F43" s="1864">
        <f>SUM(F20:F42)</f>
        <v>131288.68335103744</v>
      </c>
      <c r="G43" s="1864">
        <f>SUM(G20:G42)</f>
        <v>50051.277444940162</v>
      </c>
      <c r="H43" s="1865">
        <f>SUM(H20:H42)</f>
        <v>24980.436173075559</v>
      </c>
    </row>
    <row r="44" spans="2:11" ht="17" thickBot="1" x14ac:dyDescent="0.25">
      <c r="B44" s="1679" t="s">
        <v>525</v>
      </c>
      <c r="C44" s="149"/>
      <c r="D44" s="150">
        <f>D43*0.86</f>
        <v>52070.649784009627</v>
      </c>
      <c r="E44" s="150"/>
      <c r="F44" s="150">
        <f>F43*0.86</f>
        <v>112908.2676818922</v>
      </c>
      <c r="G44" s="150">
        <f>G43*0.86</f>
        <v>43044.098602648541</v>
      </c>
      <c r="H44" s="150">
        <f>H43*0.86</f>
        <v>21483.175108844982</v>
      </c>
    </row>
    <row r="47" spans="2:11" ht="17" thickBot="1" x14ac:dyDescent="0.25"/>
    <row r="48" spans="2:11" x14ac:dyDescent="0.2">
      <c r="B48" s="1669" t="s">
        <v>711</v>
      </c>
      <c r="C48" s="1670"/>
      <c r="D48" s="1670"/>
      <c r="E48" s="1670"/>
      <c r="F48" s="152"/>
      <c r="G48" s="152"/>
      <c r="H48" s="154"/>
      <c r="J48" s="1671" t="s">
        <v>680</v>
      </c>
      <c r="K48" s="1672" t="s">
        <v>489</v>
      </c>
    </row>
    <row r="49" spans="2:11" ht="17" thickBot="1" x14ac:dyDescent="0.25">
      <c r="B49" s="1673" t="s">
        <v>479</v>
      </c>
      <c r="C49" s="1674" t="s">
        <v>480</v>
      </c>
      <c r="D49" s="1674" t="s">
        <v>481</v>
      </c>
      <c r="E49" s="1675" t="s">
        <v>127</v>
      </c>
      <c r="F49" s="1674" t="s">
        <v>203</v>
      </c>
      <c r="G49" s="1674" t="s">
        <v>482</v>
      </c>
      <c r="H49" s="1676" t="s">
        <v>483</v>
      </c>
      <c r="J49" s="160">
        <v>111.4836</v>
      </c>
      <c r="K49" s="161">
        <v>70</v>
      </c>
    </row>
    <row r="50" spans="2:11" x14ac:dyDescent="0.2">
      <c r="B50" s="145" t="s">
        <v>487</v>
      </c>
      <c r="C50" s="1677">
        <v>3207.92</v>
      </c>
      <c r="D50" s="163">
        <f t="shared" ref="D50:D62" si="2">C50*$K$49/$J$49</f>
        <v>2014.2370716410305</v>
      </c>
      <c r="H50" s="169">
        <f>D50</f>
        <v>2014.2370716410305</v>
      </c>
    </row>
    <row r="51" spans="2:11" x14ac:dyDescent="0.2">
      <c r="B51" s="145" t="s">
        <v>496</v>
      </c>
      <c r="C51" s="1677">
        <v>13957.78</v>
      </c>
      <c r="D51" s="163">
        <f t="shared" si="2"/>
        <v>8764.0208963470868</v>
      </c>
      <c r="F51" s="163">
        <f>D51</f>
        <v>8764.0208963470868</v>
      </c>
      <c r="H51" s="144"/>
    </row>
    <row r="52" spans="2:11" x14ac:dyDescent="0.2">
      <c r="B52" s="145" t="s">
        <v>503</v>
      </c>
      <c r="C52" s="1677">
        <v>4156.18</v>
      </c>
      <c r="D52" s="163">
        <f t="shared" si="2"/>
        <v>2609.6448266830284</v>
      </c>
      <c r="G52" s="163">
        <f>D52</f>
        <v>2609.6448266830284</v>
      </c>
      <c r="H52" s="144"/>
    </row>
    <row r="53" spans="2:11" x14ac:dyDescent="0.2">
      <c r="B53" s="145" t="s">
        <v>509</v>
      </c>
      <c r="C53" s="1677">
        <v>5195.49</v>
      </c>
      <c r="D53" s="163">
        <f t="shared" si="2"/>
        <v>3262.2224255406177</v>
      </c>
      <c r="F53" s="163">
        <f>D53</f>
        <v>3262.2224255406177</v>
      </c>
      <c r="H53" s="144"/>
    </row>
    <row r="54" spans="2:11" x14ac:dyDescent="0.2">
      <c r="B54" s="145" t="s">
        <v>515</v>
      </c>
      <c r="C54" s="1677">
        <v>1000.33</v>
      </c>
      <c r="D54" s="163">
        <f t="shared" si="2"/>
        <v>628.10225001704293</v>
      </c>
      <c r="H54" s="169">
        <f>D54</f>
        <v>628.10225001704293</v>
      </c>
    </row>
    <row r="55" spans="2:11" x14ac:dyDescent="0.2">
      <c r="B55" s="145" t="s">
        <v>522</v>
      </c>
      <c r="C55" s="1677">
        <v>1411.81</v>
      </c>
      <c r="D55" s="163">
        <f t="shared" si="2"/>
        <v>886.46850299057439</v>
      </c>
      <c r="H55" s="169">
        <f>D55</f>
        <v>886.46850299057439</v>
      </c>
    </row>
    <row r="56" spans="2:11" x14ac:dyDescent="0.2">
      <c r="B56" s="145" t="s">
        <v>516</v>
      </c>
      <c r="C56" s="1677">
        <v>231.57</v>
      </c>
      <c r="D56" s="163">
        <f t="shared" si="2"/>
        <v>145.40165549013489</v>
      </c>
      <c r="G56" s="163">
        <f>D56</f>
        <v>145.40165549013489</v>
      </c>
      <c r="H56" s="144"/>
    </row>
    <row r="57" spans="2:11" x14ac:dyDescent="0.2">
      <c r="B57" s="145" t="s">
        <v>527</v>
      </c>
      <c r="C57" s="1677">
        <v>5915.82</v>
      </c>
      <c r="D57" s="163">
        <f t="shared" si="2"/>
        <v>3714.514063055014</v>
      </c>
      <c r="H57" s="169">
        <f>D57</f>
        <v>3714.514063055014</v>
      </c>
    </row>
    <row r="58" spans="2:11" x14ac:dyDescent="0.2">
      <c r="B58" s="145" t="s">
        <v>536</v>
      </c>
      <c r="C58" s="1677">
        <v>13590.59</v>
      </c>
      <c r="D58" s="163">
        <f t="shared" si="2"/>
        <v>8533.4641149012059</v>
      </c>
      <c r="H58" s="169">
        <f>D58</f>
        <v>8533.4641149012059</v>
      </c>
    </row>
    <row r="59" spans="2:11" x14ac:dyDescent="0.2">
      <c r="B59" s="145" t="s">
        <v>541</v>
      </c>
      <c r="C59" s="1677">
        <v>3476.12</v>
      </c>
      <c r="D59" s="163">
        <f t="shared" si="2"/>
        <v>2182.6385226167795</v>
      </c>
      <c r="G59" s="163">
        <f>D59</f>
        <v>2182.6385226167795</v>
      </c>
      <c r="H59" s="144"/>
    </row>
    <row r="60" spans="2:11" x14ac:dyDescent="0.2">
      <c r="B60" s="145" t="s">
        <v>545</v>
      </c>
      <c r="C60" s="1677">
        <v>30164.240000000002</v>
      </c>
      <c r="D60" s="163">
        <f t="shared" si="2"/>
        <v>18939.976821702927</v>
      </c>
      <c r="G60" s="163">
        <f>D60</f>
        <v>18939.976821702927</v>
      </c>
      <c r="H60" s="144"/>
    </row>
    <row r="61" spans="2:11" x14ac:dyDescent="0.2">
      <c r="B61" s="145" t="s">
        <v>550</v>
      </c>
      <c r="C61" s="1677">
        <v>9734.1200000000008</v>
      </c>
      <c r="D61" s="163">
        <f t="shared" si="2"/>
        <v>6112.0057120509209</v>
      </c>
      <c r="F61" s="163">
        <f>D61</f>
        <v>6112.0057120509209</v>
      </c>
      <c r="H61" s="144"/>
    </row>
    <row r="62" spans="2:11" x14ac:dyDescent="0.2">
      <c r="B62" s="145" t="s">
        <v>553</v>
      </c>
      <c r="C62" s="1677">
        <v>16565.21</v>
      </c>
      <c r="D62" s="163">
        <f t="shared" si="2"/>
        <v>10401.213272624853</v>
      </c>
      <c r="F62" s="163">
        <f>D62</f>
        <v>10401.213272624853</v>
      </c>
      <c r="H62" s="144"/>
    </row>
    <row r="63" spans="2:11" ht="17" thickBot="1" x14ac:dyDescent="0.25">
      <c r="B63" s="1863" t="s">
        <v>518</v>
      </c>
      <c r="C63" s="1864">
        <f>SUM(C50:C62)</f>
        <v>108607.18</v>
      </c>
      <c r="D63" s="1864">
        <f>SUM(D50:D62)</f>
        <v>68193.910135661223</v>
      </c>
      <c r="E63" s="1864"/>
      <c r="F63" s="1864">
        <f>SUM(F40:F62)</f>
        <v>302375.87230132299</v>
      </c>
      <c r="G63" s="1864">
        <f>SUM(G40:G62)</f>
        <v>118551.29720415734</v>
      </c>
      <c r="H63" s="1865">
        <f>SUM(H40:H62)</f>
        <v>62240.397284525417</v>
      </c>
    </row>
    <row r="64" spans="2:11" ht="17" thickBot="1" x14ac:dyDescent="0.25">
      <c r="B64" s="1679" t="s">
        <v>525</v>
      </c>
      <c r="C64" s="149"/>
      <c r="D64" s="150">
        <f>D63*0.86</f>
        <v>58646.762716668651</v>
      </c>
      <c r="E64" s="150"/>
      <c r="F64" s="150">
        <f>F63*0.86</f>
        <v>260043.25017913777</v>
      </c>
      <c r="G64" s="150">
        <f>G63*0.86</f>
        <v>101954.11559557531</v>
      </c>
      <c r="H64" s="150">
        <f>H63*0.86</f>
        <v>53526.741664691857</v>
      </c>
      <c r="I64" s="151"/>
      <c r="J64" s="151"/>
      <c r="K64" s="151"/>
    </row>
    <row r="69" spans="2:2" x14ac:dyDescent="0.2">
      <c r="B69" s="151"/>
    </row>
    <row r="70" spans="2:2" x14ac:dyDescent="0.2">
      <c r="B70" s="151"/>
    </row>
    <row r="71" spans="2:2" x14ac:dyDescent="0.2">
      <c r="B71" s="151"/>
    </row>
    <row r="72" spans="2:2" x14ac:dyDescent="0.2">
      <c r="B72" s="151"/>
    </row>
    <row r="73" spans="2:2" x14ac:dyDescent="0.2">
      <c r="B73" s="151"/>
    </row>
    <row r="74" spans="2:2" x14ac:dyDescent="0.2">
      <c r="B74" s="151"/>
    </row>
    <row r="75" spans="2:2" x14ac:dyDescent="0.2">
      <c r="B75" s="151"/>
    </row>
  </sheetData>
  <mergeCells count="3">
    <mergeCell ref="B6:H6"/>
    <mergeCell ref="B9:E9"/>
    <mergeCell ref="B28:E2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12487-0856-2443-AE31-44EA696453E7}">
  <dimension ref="B1:K34"/>
  <sheetViews>
    <sheetView zoomScale="132" workbookViewId="0">
      <selection activeCell="D25" sqref="D25"/>
    </sheetView>
  </sheetViews>
  <sheetFormatPr baseColWidth="10" defaultColWidth="11.1640625" defaultRowHeight="16" x14ac:dyDescent="0.2"/>
  <cols>
    <col min="2" max="2" width="48.5" bestFit="1" customWidth="1"/>
    <col min="3" max="3" width="14.5" bestFit="1" customWidth="1"/>
    <col min="4" max="4" width="16" bestFit="1" customWidth="1"/>
    <col min="8" max="8" width="12" bestFit="1" customWidth="1"/>
    <col min="10" max="10" width="11.33203125" bestFit="1" customWidth="1"/>
  </cols>
  <sheetData>
    <row r="1" spans="2:11" ht="17" thickBot="1" x14ac:dyDescent="0.25"/>
    <row r="2" spans="2:11" x14ac:dyDescent="0.2">
      <c r="B2" s="1669" t="s">
        <v>712</v>
      </c>
      <c r="C2" s="1670"/>
      <c r="D2" s="1670"/>
      <c r="E2" s="1670"/>
      <c r="F2" s="152"/>
      <c r="G2" s="152"/>
      <c r="H2" s="154"/>
      <c r="J2" t="s">
        <v>680</v>
      </c>
      <c r="K2" t="s">
        <v>489</v>
      </c>
    </row>
    <row r="3" spans="2:11" x14ac:dyDescent="0.2">
      <c r="B3" s="1673" t="s">
        <v>479</v>
      </c>
      <c r="C3" s="1674" t="s">
        <v>480</v>
      </c>
      <c r="D3" s="1674" t="s">
        <v>481</v>
      </c>
      <c r="E3" s="1675" t="s">
        <v>127</v>
      </c>
      <c r="F3" s="1674" t="s">
        <v>203</v>
      </c>
      <c r="G3" s="1674" t="s">
        <v>482</v>
      </c>
      <c r="H3" s="1676" t="s">
        <v>483</v>
      </c>
      <c r="J3">
        <v>135.26</v>
      </c>
    </row>
    <row r="4" spans="2:11" x14ac:dyDescent="0.2">
      <c r="B4" s="145" t="s">
        <v>487</v>
      </c>
      <c r="C4" s="1677">
        <v>3892.28</v>
      </c>
      <c r="H4" s="144"/>
    </row>
    <row r="5" spans="2:11" x14ac:dyDescent="0.2">
      <c r="B5" s="145" t="s">
        <v>495</v>
      </c>
      <c r="C5" s="1677">
        <v>1076.43</v>
      </c>
      <c r="H5" s="144"/>
    </row>
    <row r="6" spans="2:11" x14ac:dyDescent="0.2">
      <c r="B6" s="145" t="s">
        <v>713</v>
      </c>
      <c r="C6" s="1677">
        <v>85.8</v>
      </c>
      <c r="H6" s="144"/>
    </row>
    <row r="7" spans="2:11" x14ac:dyDescent="0.2">
      <c r="B7" s="145" t="s">
        <v>602</v>
      </c>
      <c r="C7" s="1677">
        <v>515.35</v>
      </c>
      <c r="H7" s="144"/>
    </row>
    <row r="8" spans="2:11" x14ac:dyDescent="0.2">
      <c r="B8" s="145" t="s">
        <v>603</v>
      </c>
      <c r="C8" s="1677">
        <v>561</v>
      </c>
      <c r="H8" s="144"/>
    </row>
    <row r="9" spans="2:11" x14ac:dyDescent="0.2">
      <c r="B9" s="145" t="s">
        <v>714</v>
      </c>
      <c r="C9" s="1677">
        <v>27946.15</v>
      </c>
      <c r="H9" s="144"/>
    </row>
    <row r="10" spans="2:11" x14ac:dyDescent="0.2">
      <c r="B10" s="145" t="s">
        <v>606</v>
      </c>
      <c r="C10" s="1677">
        <v>3247.89</v>
      </c>
      <c r="H10" s="144"/>
    </row>
    <row r="11" spans="2:11" x14ac:dyDescent="0.2">
      <c r="B11" s="145" t="s">
        <v>589</v>
      </c>
      <c r="C11" s="1677">
        <v>1656.13</v>
      </c>
      <c r="H11" s="144"/>
    </row>
    <row r="12" spans="2:11" x14ac:dyDescent="0.2">
      <c r="B12" s="145" t="s">
        <v>516</v>
      </c>
      <c r="C12" s="1677">
        <v>694.7</v>
      </c>
      <c r="H12" s="144"/>
    </row>
    <row r="13" spans="2:11" x14ac:dyDescent="0.2">
      <c r="B13" s="145" t="s">
        <v>715</v>
      </c>
      <c r="C13" s="1677">
        <v>6198.19</v>
      </c>
      <c r="H13" s="144"/>
    </row>
    <row r="14" spans="2:11" x14ac:dyDescent="0.2">
      <c r="B14" s="145" t="s">
        <v>527</v>
      </c>
      <c r="C14" s="1677">
        <v>4828.3900000000003</v>
      </c>
      <c r="H14" s="144"/>
    </row>
    <row r="15" spans="2:11" x14ac:dyDescent="0.2">
      <c r="B15" s="145" t="s">
        <v>537</v>
      </c>
      <c r="C15" s="1677">
        <v>875.65</v>
      </c>
      <c r="H15" s="144"/>
    </row>
    <row r="16" spans="2:11" x14ac:dyDescent="0.2">
      <c r="B16" s="1863" t="s">
        <v>518</v>
      </c>
      <c r="C16" s="1864" t="e">
        <f>SUM(#REF!)</f>
        <v>#REF!</v>
      </c>
      <c r="D16" s="1864" t="e">
        <f>SUM(#REF!)</f>
        <v>#REF!</v>
      </c>
      <c r="E16" s="1864"/>
      <c r="F16" s="1864" t="e">
        <f>SUM(#REF!)</f>
        <v>#REF!</v>
      </c>
      <c r="G16" s="1864" t="e">
        <f>SUM(#REF!)</f>
        <v>#REF!</v>
      </c>
      <c r="H16" s="1865" t="e">
        <f>SUM(#REF!)</f>
        <v>#REF!</v>
      </c>
    </row>
    <row r="17" spans="2:8" ht="17" thickBot="1" x14ac:dyDescent="0.25">
      <c r="B17" s="145" t="s">
        <v>525</v>
      </c>
      <c r="C17" s="153" t="e">
        <f>C16*0.86</f>
        <v>#REF!</v>
      </c>
      <c r="D17" s="153" t="e">
        <f>D16/1.13</f>
        <v>#REF!</v>
      </c>
      <c r="E17" s="153"/>
      <c r="F17" s="153" t="e">
        <f>F16/1.13</f>
        <v>#REF!</v>
      </c>
      <c r="G17" s="153" t="e">
        <f>G16/1.13</f>
        <v>#REF!</v>
      </c>
      <c r="H17" s="148" t="e">
        <f>H16/1.13</f>
        <v>#REF!</v>
      </c>
    </row>
    <row r="18" spans="2:8" ht="17" thickBot="1" x14ac:dyDescent="0.25">
      <c r="B18" s="1679" t="s">
        <v>612</v>
      </c>
      <c r="C18" s="149"/>
      <c r="D18" s="150" t="e">
        <f>(D17)*#REF!</f>
        <v>#REF!</v>
      </c>
      <c r="E18" s="1680"/>
      <c r="F18" s="1681" t="e">
        <f>(F17)*#REF!</f>
        <v>#REF!</v>
      </c>
      <c r="G18" s="1681" t="e">
        <f>(G17)*#REF!</f>
        <v>#REF!</v>
      </c>
      <c r="H18" s="1682" t="e">
        <f>(H17)*#REF!</f>
        <v>#REF!</v>
      </c>
    </row>
    <row r="19" spans="2:8" x14ac:dyDescent="0.2">
      <c r="B19" s="1669" t="s">
        <v>716</v>
      </c>
      <c r="C19" s="1670"/>
      <c r="D19" s="1670"/>
      <c r="E19" s="1670"/>
      <c r="H19" s="144"/>
    </row>
    <row r="20" spans="2:8" x14ac:dyDescent="0.2">
      <c r="B20" s="1673" t="s">
        <v>479</v>
      </c>
      <c r="C20" s="1674" t="s">
        <v>480</v>
      </c>
      <c r="D20" s="1674" t="s">
        <v>481</v>
      </c>
      <c r="E20" s="1675" t="s">
        <v>127</v>
      </c>
      <c r="F20" s="1674" t="s">
        <v>203</v>
      </c>
      <c r="G20" s="1674" t="s">
        <v>482</v>
      </c>
      <c r="H20" s="1676" t="s">
        <v>483</v>
      </c>
    </row>
    <row r="21" spans="2:8" x14ac:dyDescent="0.2">
      <c r="B21" s="145" t="s">
        <v>551</v>
      </c>
      <c r="C21" s="1677">
        <v>19105.5</v>
      </c>
      <c r="H21" s="144"/>
    </row>
    <row r="22" spans="2:8" x14ac:dyDescent="0.2">
      <c r="B22" s="145" t="s">
        <v>571</v>
      </c>
      <c r="C22" s="1677">
        <v>25077.67</v>
      </c>
      <c r="H22" s="144"/>
    </row>
    <row r="23" spans="2:8" x14ac:dyDescent="0.2">
      <c r="B23" s="145" t="s">
        <v>717</v>
      </c>
      <c r="C23" s="1677">
        <v>110879.65</v>
      </c>
      <c r="H23" s="144"/>
    </row>
    <row r="24" spans="2:8" x14ac:dyDescent="0.2">
      <c r="B24" s="145" t="s">
        <v>558</v>
      </c>
      <c r="C24" s="1677">
        <v>20848.57</v>
      </c>
      <c r="H24" s="144"/>
    </row>
    <row r="25" spans="2:8" x14ac:dyDescent="0.2">
      <c r="B25" s="145" t="s">
        <v>566</v>
      </c>
      <c r="C25" s="1677">
        <v>18001.27</v>
      </c>
      <c r="H25" s="144"/>
    </row>
    <row r="26" spans="2:8" x14ac:dyDescent="0.2">
      <c r="B26" s="145" t="s">
        <v>569</v>
      </c>
      <c r="C26" s="1677">
        <v>10862.8</v>
      </c>
      <c r="H26" s="144"/>
    </row>
    <row r="27" spans="2:8" x14ac:dyDescent="0.2">
      <c r="B27" s="145" t="s">
        <v>547</v>
      </c>
      <c r="C27" s="1677">
        <v>27408.04</v>
      </c>
      <c r="H27" s="144"/>
    </row>
    <row r="28" spans="2:8" x14ac:dyDescent="0.2">
      <c r="B28" s="145" t="s">
        <v>718</v>
      </c>
      <c r="C28" s="1677">
        <v>19363.009999999998</v>
      </c>
      <c r="H28" s="144"/>
    </row>
    <row r="29" spans="2:8" x14ac:dyDescent="0.2">
      <c r="B29" s="145" t="s">
        <v>719</v>
      </c>
      <c r="C29" s="1677">
        <v>6689.23</v>
      </c>
      <c r="H29" s="144"/>
    </row>
    <row r="30" spans="2:8" x14ac:dyDescent="0.2">
      <c r="B30" s="145" t="s">
        <v>720</v>
      </c>
      <c r="C30" s="1677">
        <v>3565.62</v>
      </c>
      <c r="H30" s="144"/>
    </row>
    <row r="31" spans="2:8" x14ac:dyDescent="0.2">
      <c r="B31" s="145" t="s">
        <v>593</v>
      </c>
      <c r="C31" s="1677">
        <v>6139.02</v>
      </c>
      <c r="H31" s="144"/>
    </row>
    <row r="32" spans="2:8" x14ac:dyDescent="0.2">
      <c r="B32" s="1863" t="s">
        <v>518</v>
      </c>
      <c r="C32" s="1864" t="e">
        <f>SUM(C11:C31)</f>
        <v>#REF!</v>
      </c>
      <c r="D32" s="1864" t="e">
        <f>SUM(D11:D31)</f>
        <v>#REF!</v>
      </c>
      <c r="E32" s="1864"/>
      <c r="F32" s="1864" t="e">
        <f>SUM(F11:F31)</f>
        <v>#REF!</v>
      </c>
      <c r="G32" s="1864" t="e">
        <f>SUM(G11:G31)</f>
        <v>#REF!</v>
      </c>
      <c r="H32" s="1865" t="e">
        <f>SUM(H11:H31)</f>
        <v>#REF!</v>
      </c>
    </row>
    <row r="33" spans="2:8" ht="17" thickBot="1" x14ac:dyDescent="0.25">
      <c r="B33" s="145" t="s">
        <v>525</v>
      </c>
      <c r="C33" s="153" t="e">
        <f>C32*0.86</f>
        <v>#REF!</v>
      </c>
      <c r="D33" s="153" t="e">
        <f>D32/1.13</f>
        <v>#REF!</v>
      </c>
      <c r="E33" s="153"/>
      <c r="F33" s="153" t="e">
        <f>F32/1.13</f>
        <v>#REF!</v>
      </c>
      <c r="G33" s="153" t="e">
        <f>G32/1.13</f>
        <v>#REF!</v>
      </c>
      <c r="H33" s="148" t="e">
        <f>H32/1.13</f>
        <v>#REF!</v>
      </c>
    </row>
    <row r="34" spans="2:8" ht="17" thickBot="1" x14ac:dyDescent="0.25">
      <c r="B34" s="1679" t="s">
        <v>612</v>
      </c>
      <c r="C34" s="149"/>
      <c r="D34" s="150" t="e">
        <f>(D33)*#REF!</f>
        <v>#REF!</v>
      </c>
      <c r="E34" s="1680"/>
      <c r="F34" s="1681" t="e">
        <f>(F33)*#REF!</f>
        <v>#REF!</v>
      </c>
      <c r="G34" s="1681" t="e">
        <f>(G33)*#REF!</f>
        <v>#REF!</v>
      </c>
      <c r="H34" s="1682" t="e">
        <f>(H33)*#REF!</f>
        <v>#REF!</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E6CFF-AD0D-CE4A-B6D6-3F8F8BEAC787}">
  <sheetPr>
    <tabColor rgb="FFFFC000"/>
  </sheetPr>
  <dimension ref="B2:CH32"/>
  <sheetViews>
    <sheetView workbookViewId="0">
      <selection activeCell="D23" sqref="D23"/>
    </sheetView>
  </sheetViews>
  <sheetFormatPr baseColWidth="10" defaultColWidth="11" defaultRowHeight="16" x14ac:dyDescent="0.2"/>
  <cols>
    <col min="2" max="2" width="30.83203125" bestFit="1" customWidth="1"/>
    <col min="3" max="3" width="7.5" bestFit="1" customWidth="1"/>
    <col min="4" max="4" width="62.1640625" customWidth="1"/>
  </cols>
  <sheetData>
    <row r="2" spans="2:8" ht="17" thickBot="1" x14ac:dyDescent="0.25"/>
    <row r="3" spans="2:8" x14ac:dyDescent="0.2">
      <c r="B3" s="7" t="s">
        <v>721</v>
      </c>
      <c r="C3" s="8"/>
      <c r="D3" s="8"/>
      <c r="E3" s="8"/>
      <c r="F3" s="8"/>
      <c r="G3" s="8"/>
      <c r="H3" s="9"/>
    </row>
    <row r="4" spans="2:8" x14ac:dyDescent="0.2">
      <c r="B4" s="16" t="s">
        <v>722</v>
      </c>
      <c r="C4" s="17" t="s">
        <v>723</v>
      </c>
      <c r="D4" s="17" t="s">
        <v>724</v>
      </c>
      <c r="E4" s="17"/>
      <c r="F4" s="17"/>
      <c r="G4" s="17"/>
      <c r="H4" s="18"/>
    </row>
    <row r="5" spans="2:8" x14ac:dyDescent="0.2">
      <c r="B5" s="57" t="s">
        <v>725</v>
      </c>
      <c r="C5" s="58">
        <v>1.5900000000000001E-2</v>
      </c>
      <c r="D5" s="27" t="s">
        <v>726</v>
      </c>
      <c r="E5" s="20"/>
      <c r="F5" s="20"/>
      <c r="G5" s="20"/>
      <c r="H5" s="21"/>
    </row>
    <row r="6" spans="2:8" x14ac:dyDescent="0.2">
      <c r="B6" s="59" t="s">
        <v>727</v>
      </c>
      <c r="C6" s="60">
        <f>AVERAGE(2.49%,2.09%,1.95%,2.11%,2.18%,2.18%,2.18%)</f>
        <v>2.1685714285714284E-2</v>
      </c>
      <c r="D6" s="22" t="s">
        <v>728</v>
      </c>
      <c r="E6" s="23"/>
      <c r="F6" s="23"/>
      <c r="G6" s="23"/>
      <c r="H6" s="24"/>
    </row>
    <row r="7" spans="2:8" x14ac:dyDescent="0.2">
      <c r="B7" s="10" t="s">
        <v>729</v>
      </c>
      <c r="C7" s="6"/>
      <c r="D7" s="6"/>
      <c r="E7" s="6"/>
      <c r="F7" s="6"/>
      <c r="G7" s="6"/>
      <c r="H7" s="11"/>
    </row>
    <row r="8" spans="2:8" x14ac:dyDescent="0.2">
      <c r="B8" s="12" t="s">
        <v>730</v>
      </c>
      <c r="H8" s="13"/>
    </row>
    <row r="9" spans="2:8" x14ac:dyDescent="0.2">
      <c r="B9" s="14" t="s">
        <v>731</v>
      </c>
      <c r="C9" s="2"/>
      <c r="D9" s="2" t="s">
        <v>732</v>
      </c>
      <c r="E9" s="2"/>
      <c r="F9" s="2"/>
      <c r="G9" s="2"/>
      <c r="H9" s="15"/>
    </row>
    <row r="10" spans="2:8" x14ac:dyDescent="0.2">
      <c r="B10" s="14"/>
      <c r="C10" s="2"/>
      <c r="D10" s="2"/>
      <c r="E10" s="2"/>
      <c r="F10" s="2"/>
      <c r="G10" s="2"/>
      <c r="H10" s="15"/>
    </row>
    <row r="11" spans="2:8" x14ac:dyDescent="0.2">
      <c r="B11" s="4"/>
      <c r="C11" s="1"/>
      <c r="D11" s="1"/>
      <c r="E11" s="1"/>
      <c r="F11" s="1"/>
      <c r="G11" s="1"/>
      <c r="H11" s="5"/>
    </row>
    <row r="12" spans="2:8" x14ac:dyDescent="0.2">
      <c r="B12" s="10"/>
      <c r="C12" s="1"/>
      <c r="D12" s="1"/>
      <c r="E12" s="1"/>
      <c r="F12" s="1"/>
      <c r="G12" s="1"/>
      <c r="H12" s="5"/>
    </row>
    <row r="13" spans="2:8" x14ac:dyDescent="0.2">
      <c r="C13" s="3"/>
      <c r="D13" s="1"/>
      <c r="E13" s="1"/>
      <c r="F13" s="1"/>
      <c r="G13" s="1"/>
      <c r="H13" s="5"/>
    </row>
    <row r="14" spans="2:8" x14ac:dyDescent="0.2">
      <c r="B14" s="14"/>
      <c r="C14" s="1"/>
      <c r="D14" s="1"/>
      <c r="E14" s="1"/>
      <c r="F14" s="1"/>
      <c r="G14" s="1"/>
      <c r="H14" s="5"/>
    </row>
    <row r="15" spans="2:8" x14ac:dyDescent="0.2">
      <c r="B15" s="4"/>
      <c r="C15" s="1"/>
      <c r="D15" s="1"/>
      <c r="E15" s="1"/>
      <c r="F15" s="1"/>
      <c r="G15" s="1"/>
      <c r="H15" s="5"/>
    </row>
    <row r="16" spans="2:8" x14ac:dyDescent="0.2">
      <c r="B16" s="4"/>
      <c r="C16" s="1"/>
      <c r="D16" s="1"/>
      <c r="E16" s="1"/>
      <c r="F16" s="1"/>
      <c r="G16" s="1"/>
      <c r="H16" s="5"/>
    </row>
    <row r="17" spans="2:86" x14ac:dyDescent="0.2">
      <c r="B17" s="4"/>
      <c r="C17" s="1"/>
      <c r="D17" s="1"/>
      <c r="E17" s="1"/>
      <c r="F17" s="1"/>
      <c r="G17" s="1"/>
      <c r="H17" s="5"/>
    </row>
    <row r="18" spans="2:86" x14ac:dyDescent="0.2">
      <c r="B18" s="4"/>
      <c r="C18" s="1"/>
      <c r="D18" s="1"/>
      <c r="E18" s="1"/>
      <c r="F18" s="1"/>
      <c r="G18" s="1"/>
      <c r="H18" s="5"/>
    </row>
    <row r="19" spans="2:86" x14ac:dyDescent="0.2">
      <c r="B19" s="4"/>
      <c r="C19" s="1"/>
      <c r="D19" s="1"/>
      <c r="E19" s="1"/>
      <c r="F19" s="1"/>
      <c r="G19" s="1"/>
      <c r="H19" s="5"/>
    </row>
    <row r="20" spans="2:86" x14ac:dyDescent="0.2">
      <c r="B20" s="4"/>
      <c r="C20" s="1"/>
      <c r="D20" s="1"/>
      <c r="E20" s="1"/>
      <c r="F20" s="1"/>
      <c r="G20" s="1"/>
      <c r="H20" s="5"/>
    </row>
    <row r="21" spans="2:86" x14ac:dyDescent="0.2">
      <c r="B21" s="4"/>
      <c r="C21" s="1"/>
      <c r="D21" s="1"/>
      <c r="E21" s="1"/>
      <c r="F21" s="1"/>
      <c r="G21" s="1"/>
      <c r="H21" s="5"/>
    </row>
    <row r="22" spans="2:86" x14ac:dyDescent="0.2">
      <c r="B22" s="10"/>
      <c r="C22" s="6"/>
      <c r="D22" s="6"/>
      <c r="E22" s="6"/>
      <c r="F22" s="6"/>
      <c r="G22" s="6"/>
      <c r="H22" s="11"/>
    </row>
    <row r="27" spans="2:86" x14ac:dyDescent="0.2">
      <c r="D27" s="25"/>
    </row>
    <row r="28" spans="2:86" x14ac:dyDescent="0.2">
      <c r="C28" s="126">
        <v>43374</v>
      </c>
      <c r="D28" s="126">
        <v>43405</v>
      </c>
      <c r="E28" s="126">
        <v>43435</v>
      </c>
      <c r="F28" s="126">
        <v>43466</v>
      </c>
      <c r="G28" s="126">
        <v>43497</v>
      </c>
      <c r="H28" s="126">
        <v>43525</v>
      </c>
      <c r="I28" s="126">
        <v>43556</v>
      </c>
      <c r="J28" s="126">
        <v>43586</v>
      </c>
      <c r="K28" s="126">
        <v>43617</v>
      </c>
      <c r="L28" s="126">
        <v>43647</v>
      </c>
      <c r="M28" s="126">
        <v>43678</v>
      </c>
      <c r="N28" s="126">
        <v>43709</v>
      </c>
      <c r="O28" s="126">
        <v>43739</v>
      </c>
      <c r="P28" s="126">
        <v>43770</v>
      </c>
      <c r="Q28" s="126">
        <v>43800</v>
      </c>
      <c r="R28" s="126">
        <v>43831</v>
      </c>
      <c r="S28" s="126">
        <v>43862</v>
      </c>
      <c r="T28" s="126">
        <v>43891</v>
      </c>
      <c r="U28" s="126">
        <v>43922</v>
      </c>
      <c r="V28" s="126">
        <v>43952</v>
      </c>
      <c r="W28" s="126">
        <v>43983</v>
      </c>
      <c r="X28" s="126">
        <v>44013</v>
      </c>
      <c r="Y28" s="126">
        <v>44044</v>
      </c>
      <c r="Z28" s="126">
        <v>44075</v>
      </c>
      <c r="AA28" s="126">
        <v>44105</v>
      </c>
      <c r="AB28" s="126">
        <v>44136</v>
      </c>
      <c r="AC28" s="126">
        <v>44166</v>
      </c>
      <c r="AD28" s="126">
        <v>44197</v>
      </c>
      <c r="AE28" s="126">
        <v>44228</v>
      </c>
      <c r="AF28" s="126">
        <v>44256</v>
      </c>
      <c r="AG28" s="126">
        <v>44287</v>
      </c>
      <c r="AH28" s="126">
        <v>44317</v>
      </c>
      <c r="AI28" s="126">
        <v>44348</v>
      </c>
      <c r="AJ28" s="126">
        <v>44378</v>
      </c>
      <c r="AK28" s="126">
        <v>44409</v>
      </c>
      <c r="AL28" s="126">
        <v>44440</v>
      </c>
      <c r="AM28" s="126">
        <v>44470</v>
      </c>
      <c r="AN28" s="126">
        <v>44501</v>
      </c>
      <c r="AO28" s="126">
        <v>44531</v>
      </c>
      <c r="AP28" s="126">
        <v>44562</v>
      </c>
      <c r="AQ28" s="126">
        <v>44593</v>
      </c>
      <c r="AR28" s="126">
        <v>44621</v>
      </c>
      <c r="AS28" s="126">
        <v>44652</v>
      </c>
      <c r="AT28" s="126">
        <v>44682</v>
      </c>
      <c r="AU28" s="126">
        <v>44713</v>
      </c>
      <c r="AV28" s="126">
        <v>44743</v>
      </c>
      <c r="AW28" s="126">
        <v>44774</v>
      </c>
      <c r="AX28" s="126">
        <v>44805</v>
      </c>
      <c r="AY28" s="126">
        <v>44835</v>
      </c>
      <c r="AZ28" s="126">
        <v>44866</v>
      </c>
      <c r="BA28" s="126">
        <v>44896</v>
      </c>
      <c r="BB28" s="126">
        <v>44927</v>
      </c>
      <c r="BC28" s="126">
        <v>44958</v>
      </c>
      <c r="BD28" s="126">
        <v>44986</v>
      </c>
      <c r="BE28" s="126">
        <v>45017</v>
      </c>
      <c r="BF28" s="126">
        <v>45047</v>
      </c>
      <c r="BG28" s="126">
        <v>45078</v>
      </c>
      <c r="BH28" s="126">
        <v>45108</v>
      </c>
      <c r="BI28" s="126">
        <v>45139</v>
      </c>
      <c r="BJ28" s="126">
        <v>45170</v>
      </c>
      <c r="BK28" s="126">
        <v>45200</v>
      </c>
      <c r="BL28" s="126">
        <v>45231</v>
      </c>
      <c r="BM28" s="126">
        <v>45261</v>
      </c>
      <c r="BN28" s="126">
        <v>45292</v>
      </c>
      <c r="BO28" s="126">
        <v>45323</v>
      </c>
      <c r="BP28" s="126">
        <v>45352</v>
      </c>
      <c r="BQ28" s="126">
        <v>45383</v>
      </c>
      <c r="BR28" s="126">
        <v>45413</v>
      </c>
      <c r="BS28" s="126">
        <v>45444</v>
      </c>
      <c r="BT28" s="126">
        <v>45474</v>
      </c>
      <c r="BU28" s="126">
        <v>45505</v>
      </c>
      <c r="BV28" s="126">
        <v>45536</v>
      </c>
      <c r="BW28" s="126">
        <v>45566</v>
      </c>
      <c r="BX28" s="126">
        <v>45597</v>
      </c>
      <c r="BY28" s="126">
        <v>45627</v>
      </c>
      <c r="BZ28" s="126">
        <v>45658</v>
      </c>
      <c r="CA28" s="126">
        <v>45689</v>
      </c>
      <c r="CB28" s="126">
        <v>45717</v>
      </c>
      <c r="CC28" s="126">
        <v>45748</v>
      </c>
      <c r="CD28" s="126">
        <v>45778</v>
      </c>
      <c r="CE28" s="126">
        <v>45809</v>
      </c>
      <c r="CF28" s="126">
        <v>45839</v>
      </c>
      <c r="CG28" s="126">
        <v>45870</v>
      </c>
      <c r="CH28" s="126">
        <v>45901</v>
      </c>
    </row>
    <row r="29" spans="2:86" x14ac:dyDescent="0.2">
      <c r="C29" s="130">
        <v>154.77000000000001</v>
      </c>
      <c r="D29" s="130">
        <v>148.91</v>
      </c>
      <c r="E29" s="130">
        <v>128.97</v>
      </c>
      <c r="F29" s="130">
        <v>144.16999999999999</v>
      </c>
      <c r="G29" s="130">
        <v>143.47999999999999</v>
      </c>
      <c r="H29" s="130">
        <v>147.88999999999999</v>
      </c>
      <c r="I29" s="130">
        <v>119.49</v>
      </c>
      <c r="J29" s="130">
        <v>147.21</v>
      </c>
      <c r="K29" s="130">
        <v>122.79</v>
      </c>
      <c r="L29" s="130">
        <v>105.99</v>
      </c>
      <c r="M29" s="130">
        <v>102.69</v>
      </c>
      <c r="N29" s="130">
        <v>148.02000000000001</v>
      </c>
      <c r="O29" s="130">
        <v>139.91999999999999</v>
      </c>
      <c r="P29" s="130">
        <v>160.71</v>
      </c>
      <c r="Q29" s="130">
        <v>111.56</v>
      </c>
      <c r="R29" s="130">
        <v>134.79</v>
      </c>
      <c r="S29" s="130">
        <v>134.9</v>
      </c>
      <c r="T29" s="130">
        <v>123.39</v>
      </c>
      <c r="U29" s="130">
        <v>121.81</v>
      </c>
      <c r="V29" s="130">
        <v>118.27</v>
      </c>
      <c r="W29" s="130">
        <v>109.09</v>
      </c>
      <c r="X29" s="130">
        <v>105.82</v>
      </c>
      <c r="Y29" s="130">
        <v>93.64</v>
      </c>
      <c r="Z29" s="130">
        <v>105.57</v>
      </c>
      <c r="AA29" s="130">
        <v>111.25</v>
      </c>
      <c r="AB29" s="130">
        <v>105.23</v>
      </c>
      <c r="AC29" s="130">
        <v>96.8</v>
      </c>
      <c r="AD29" s="130">
        <v>102.05</v>
      </c>
      <c r="AE29" s="130">
        <v>100.88</v>
      </c>
      <c r="AF29" s="130">
        <v>100.49</v>
      </c>
      <c r="AG29" s="130">
        <v>102.13</v>
      </c>
      <c r="AH29" s="130">
        <v>105.1</v>
      </c>
      <c r="AI29" s="130">
        <v>103.13</v>
      </c>
      <c r="AJ29" s="130">
        <v>102.24</v>
      </c>
      <c r="AK29" s="130">
        <v>104.79</v>
      </c>
      <c r="AL29" s="130">
        <v>117.78</v>
      </c>
      <c r="AM29" s="130">
        <v>118.26</v>
      </c>
      <c r="AN29" s="130">
        <v>122.33</v>
      </c>
      <c r="AO29" s="130">
        <v>107.79</v>
      </c>
      <c r="AP29" s="130">
        <v>107.59</v>
      </c>
      <c r="AQ29" s="130">
        <v>111.45</v>
      </c>
      <c r="AR29" s="130">
        <v>115.99</v>
      </c>
      <c r="AS29" s="130">
        <v>116.64</v>
      </c>
      <c r="AT29" s="130">
        <v>149.32</v>
      </c>
      <c r="AU29" s="130">
        <v>154.5</v>
      </c>
      <c r="AV29" s="130">
        <v>145.97999999999999</v>
      </c>
      <c r="AW29" s="130">
        <v>145.87</v>
      </c>
      <c r="AX29" s="130">
        <v>169.86</v>
      </c>
      <c r="AY29" s="130">
        <v>182.85</v>
      </c>
      <c r="AZ29" s="130">
        <v>170.56</v>
      </c>
      <c r="BA29" s="130">
        <v>133.31</v>
      </c>
      <c r="BB29" s="130">
        <v>143.72</v>
      </c>
      <c r="BC29" s="130">
        <v>168.16</v>
      </c>
      <c r="BD29" s="130">
        <v>162.09</v>
      </c>
      <c r="BE29" s="130">
        <v>132.12</v>
      </c>
      <c r="BF29" s="130">
        <v>143.11000000000001</v>
      </c>
      <c r="BG29" s="130">
        <v>169.28</v>
      </c>
      <c r="BH29" s="130">
        <v>130.76</v>
      </c>
      <c r="BI29" s="130">
        <v>123.17</v>
      </c>
      <c r="BJ29" s="130">
        <v>141.65</v>
      </c>
      <c r="BK29" s="130">
        <v>155.55000000000001</v>
      </c>
      <c r="BL29" s="130">
        <v>163.84</v>
      </c>
      <c r="BM29" s="130">
        <v>127.28</v>
      </c>
      <c r="BN29" s="130">
        <v>181.78</v>
      </c>
      <c r="BO29" s="130">
        <v>135.18</v>
      </c>
      <c r="BP29" s="130">
        <v>163.26</v>
      </c>
      <c r="BQ29" s="130">
        <v>145.22999999999999</v>
      </c>
      <c r="BR29" s="130">
        <v>138.21</v>
      </c>
      <c r="BS29" s="130">
        <v>181.52</v>
      </c>
      <c r="BT29" s="130">
        <v>137.47999999999999</v>
      </c>
      <c r="BU29" s="130">
        <v>117.43</v>
      </c>
      <c r="BV29" s="130">
        <v>169.92</v>
      </c>
      <c r="BW29" s="130">
        <v>149.88</v>
      </c>
      <c r="BX29" s="130">
        <v>151.69999999999999</v>
      </c>
      <c r="BY29" s="130">
        <v>125.72</v>
      </c>
      <c r="BZ29" s="130">
        <v>142.82</v>
      </c>
      <c r="CA29" s="130">
        <v>167.08</v>
      </c>
      <c r="CB29" s="130">
        <v>159.78</v>
      </c>
      <c r="CC29" s="130">
        <v>127.01</v>
      </c>
      <c r="CD29" s="130">
        <v>160.1</v>
      </c>
      <c r="CE29" s="130">
        <v>142.63</v>
      </c>
      <c r="CF29" s="130">
        <v>123.79</v>
      </c>
      <c r="CG29" s="130">
        <v>113.52</v>
      </c>
      <c r="CH29" s="130">
        <v>150.82</v>
      </c>
    </row>
    <row r="30" spans="2:86" x14ac:dyDescent="0.2">
      <c r="C30" s="130">
        <v>181.95</v>
      </c>
      <c r="D30" s="130">
        <v>158.04</v>
      </c>
      <c r="E30" s="130">
        <v>150.88</v>
      </c>
      <c r="F30" s="130">
        <v>125.01</v>
      </c>
      <c r="G30" s="130">
        <v>125.71</v>
      </c>
      <c r="H30" s="130">
        <v>128.88999999999999</v>
      </c>
      <c r="I30" s="130">
        <v>132.29</v>
      </c>
      <c r="J30" s="130">
        <v>128.94999999999999</v>
      </c>
      <c r="K30" s="130">
        <v>127.12</v>
      </c>
      <c r="L30" s="130">
        <v>114.74</v>
      </c>
      <c r="M30" s="130">
        <v>111.44</v>
      </c>
      <c r="N30" s="130">
        <v>150.69999999999999</v>
      </c>
      <c r="O30" s="130">
        <v>146.13999999999999</v>
      </c>
      <c r="P30" s="130">
        <v>133.62</v>
      </c>
      <c r="Q30" s="130">
        <v>120.41</v>
      </c>
      <c r="R30" s="130">
        <v>119.68</v>
      </c>
      <c r="S30" s="130">
        <v>127.56</v>
      </c>
      <c r="T30" s="130">
        <v>126.16</v>
      </c>
      <c r="U30" s="130">
        <v>105.72</v>
      </c>
      <c r="V30" s="130">
        <v>110.86</v>
      </c>
      <c r="W30" s="130">
        <v>106.61</v>
      </c>
      <c r="X30" s="130">
        <v>104.91</v>
      </c>
      <c r="Y30" s="130">
        <v>101.62</v>
      </c>
      <c r="Z30" s="130">
        <v>106.84</v>
      </c>
      <c r="AA30" s="130">
        <v>107.39</v>
      </c>
      <c r="AB30" s="130">
        <v>100</v>
      </c>
    </row>
    <row r="32" spans="2:86" x14ac:dyDescent="0.2">
      <c r="D32" s="25"/>
    </row>
  </sheetData>
  <hyperlinks>
    <hyperlink ref="D6" r:id="rId1" xr:uid="{2684F719-2039-BC46-BA0A-5F996E4FB3BF}"/>
    <hyperlink ref="D5" r:id="rId2" xr:uid="{9B98287C-8C80-414F-ABEA-5591CE1E6CA0}"/>
  </hyperlinks>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B8F43-5E22-5D46-ADAE-2A3988934791}">
  <sheetPr>
    <tabColor theme="3" tint="0.249977111117893"/>
  </sheetPr>
  <dimension ref="A1:AF211"/>
  <sheetViews>
    <sheetView showGridLines="0" topLeftCell="C7" workbookViewId="0">
      <selection activeCell="Q12" sqref="Q12"/>
    </sheetView>
  </sheetViews>
  <sheetFormatPr baseColWidth="10" defaultColWidth="11" defaultRowHeight="16" x14ac:dyDescent="0.2"/>
  <cols>
    <col min="1" max="1" width="6.1640625" style="222" customWidth="1"/>
    <col min="2" max="2" width="17.5" style="222" customWidth="1"/>
    <col min="3" max="3" width="32.5" style="222" bestFit="1" customWidth="1"/>
    <col min="4" max="4" width="16.5" style="222" customWidth="1"/>
    <col min="5" max="5" width="17.33203125" style="222" customWidth="1"/>
    <col min="6" max="6" width="17.6640625" style="222" customWidth="1"/>
    <col min="7" max="7" width="16.33203125" style="222" customWidth="1"/>
    <col min="8" max="9" width="17.6640625" style="222" customWidth="1"/>
    <col min="10" max="10" width="16.1640625" style="222" customWidth="1"/>
    <col min="11" max="11" width="16.83203125" style="222" customWidth="1"/>
    <col min="12" max="12" width="15.1640625" style="222" customWidth="1"/>
    <col min="13" max="13" width="15.33203125" style="222" customWidth="1"/>
    <col min="14" max="14" width="17.1640625" style="222" customWidth="1"/>
    <col min="15" max="15" width="16" style="222" customWidth="1"/>
    <col min="16" max="17" width="17.1640625" style="222" bestFit="1" customWidth="1"/>
    <col min="18" max="18" width="18" style="222" customWidth="1"/>
    <col min="19" max="20" width="11" style="222"/>
    <col min="21" max="21" width="24" style="222" customWidth="1"/>
    <col min="23" max="23" width="16.5" customWidth="1"/>
  </cols>
  <sheetData>
    <row r="1" spans="1:23" ht="35" thickBot="1" x14ac:dyDescent="0.25">
      <c r="A1" s="1900" t="s">
        <v>733</v>
      </c>
      <c r="B1" s="1936"/>
      <c r="C1" s="1936"/>
      <c r="D1" s="1936"/>
      <c r="E1" s="1901"/>
    </row>
    <row r="3" spans="1:23" ht="17" thickBot="1" x14ac:dyDescent="0.25"/>
    <row r="4" spans="1:23" ht="18" customHeight="1" x14ac:dyDescent="0.45">
      <c r="B4" s="2075" t="s">
        <v>734</v>
      </c>
      <c r="C4" s="2076"/>
      <c r="D4" s="2076"/>
      <c r="E4" s="2076"/>
      <c r="F4" s="2076"/>
      <c r="G4" s="2076"/>
      <c r="H4" s="2076"/>
      <c r="I4" s="2076"/>
      <c r="J4" s="2076"/>
      <c r="K4" s="2076"/>
      <c r="L4" s="2076"/>
      <c r="M4" s="2076"/>
      <c r="N4" s="2076"/>
      <c r="O4" s="2076"/>
      <c r="P4" s="2076"/>
      <c r="Q4" s="2076"/>
      <c r="R4" s="2077"/>
      <c r="S4" s="1399"/>
    </row>
    <row r="5" spans="1:23" ht="20" customHeight="1" thickBot="1" x14ac:dyDescent="0.5">
      <c r="B5" s="2078"/>
      <c r="C5" s="2079"/>
      <c r="D5" s="2079"/>
      <c r="E5" s="2079"/>
      <c r="F5" s="2079"/>
      <c r="G5" s="2079"/>
      <c r="H5" s="2079"/>
      <c r="I5" s="2079"/>
      <c r="J5" s="2079"/>
      <c r="K5" s="2079"/>
      <c r="L5" s="2079"/>
      <c r="M5" s="2079"/>
      <c r="N5" s="2079"/>
      <c r="O5" s="2079"/>
      <c r="P5" s="2079"/>
      <c r="Q5" s="2079"/>
      <c r="R5" s="2080"/>
      <c r="S5" s="1399"/>
    </row>
    <row r="6" spans="1:23" ht="23" customHeight="1" x14ac:dyDescent="0.4">
      <c r="B6" s="1400"/>
      <c r="C6" s="1401"/>
      <c r="D6" s="1402"/>
      <c r="E6" s="1402"/>
      <c r="F6" s="1402"/>
      <c r="G6" s="1402"/>
      <c r="H6" s="1402"/>
      <c r="I6" s="1402"/>
      <c r="J6" s="1402"/>
      <c r="K6" s="1402"/>
      <c r="L6" s="1402"/>
      <c r="M6" s="1402"/>
      <c r="N6" s="1403"/>
      <c r="O6" s="1402"/>
      <c r="P6" s="1402"/>
      <c r="Q6" s="1402"/>
      <c r="R6" s="1404"/>
      <c r="U6" s="267"/>
      <c r="V6" s="171"/>
    </row>
    <row r="7" spans="1:23" x14ac:dyDescent="0.2">
      <c r="B7" s="1405"/>
      <c r="C7" s="567"/>
      <c r="D7" s="567"/>
      <c r="E7" s="567"/>
      <c r="F7" s="567"/>
      <c r="G7" s="567"/>
      <c r="H7" s="567"/>
      <c r="I7" s="567"/>
      <c r="J7" s="567"/>
      <c r="N7" s="1406"/>
      <c r="O7" s="1407"/>
      <c r="R7" s="250"/>
      <c r="V7" s="226"/>
    </row>
    <row r="8" spans="1:23" x14ac:dyDescent="0.2">
      <c r="B8" s="1405"/>
      <c r="C8" s="567"/>
      <c r="D8" s="567"/>
      <c r="E8" s="567"/>
      <c r="F8" s="567"/>
      <c r="G8" s="567"/>
      <c r="H8" s="567"/>
      <c r="I8" s="567"/>
      <c r="J8" s="567"/>
      <c r="N8" s="1408"/>
      <c r="O8" s="1409"/>
      <c r="R8" s="250"/>
      <c r="V8" s="226"/>
    </row>
    <row r="9" spans="1:23" ht="17" thickBot="1" x14ac:dyDescent="0.25">
      <c r="B9" s="284"/>
      <c r="C9" s="1410" t="s">
        <v>735</v>
      </c>
      <c r="D9" s="1411"/>
      <c r="E9" s="1412"/>
      <c r="F9" s="1413"/>
      <c r="G9" s="1413"/>
      <c r="H9" s="1413"/>
      <c r="I9" s="1413"/>
      <c r="J9" s="1413"/>
      <c r="K9" s="1413"/>
      <c r="L9" s="1412"/>
      <c r="M9" s="1412"/>
      <c r="N9" s="1412"/>
      <c r="O9" s="1049"/>
      <c r="R9" s="250"/>
      <c r="V9" s="225"/>
    </row>
    <row r="10" spans="1:23" x14ac:dyDescent="0.2">
      <c r="B10" s="284"/>
      <c r="C10" s="567" t="s">
        <v>736</v>
      </c>
      <c r="D10" s="1414">
        <v>2025</v>
      </c>
      <c r="E10" s="1414">
        <v>2026</v>
      </c>
      <c r="F10" s="1414">
        <v>2027</v>
      </c>
      <c r="G10" s="1414">
        <v>2028</v>
      </c>
      <c r="H10" s="1414">
        <v>2029</v>
      </c>
      <c r="I10" s="1414">
        <v>2030</v>
      </c>
      <c r="J10" s="1414">
        <v>2031</v>
      </c>
      <c r="K10" s="1414">
        <v>2032</v>
      </c>
      <c r="L10" s="1414">
        <v>2033</v>
      </c>
      <c r="M10" s="1414">
        <v>2034</v>
      </c>
      <c r="N10" s="1414">
        <v>2035</v>
      </c>
      <c r="O10" s="1406"/>
      <c r="P10" s="2073" t="s">
        <v>737</v>
      </c>
      <c r="Q10" s="2074"/>
      <c r="R10" s="250"/>
      <c r="V10" s="225"/>
    </row>
    <row r="11" spans="1:23" x14ac:dyDescent="0.2">
      <c r="B11" s="284"/>
      <c r="C11" s="567"/>
      <c r="E11" s="567"/>
      <c r="F11" s="567"/>
      <c r="G11" s="567"/>
      <c r="H11" s="567"/>
      <c r="I11" s="567"/>
      <c r="J11" s="567"/>
      <c r="K11" s="567"/>
      <c r="L11" s="567"/>
      <c r="M11" s="567"/>
      <c r="N11" s="567"/>
      <c r="P11" s="1415" t="s">
        <v>738</v>
      </c>
      <c r="Q11" s="1416">
        <f>'PRELIMINARY ANALYSIS'!$F$42</f>
        <v>6.9499999999999992E-2</v>
      </c>
      <c r="R11" s="250"/>
      <c r="V11" s="225"/>
    </row>
    <row r="12" spans="1:23" x14ac:dyDescent="0.2">
      <c r="B12" s="284"/>
      <c r="C12" s="567" t="s">
        <v>739</v>
      </c>
      <c r="D12" s="1442">
        <f>'1-P&amp;L Modified'!AB21</f>
        <v>6323771.206352639</v>
      </c>
      <c r="E12" s="1441">
        <f>'1-P&amp;L Modified'!AF21</f>
        <v>7316876.5517657939</v>
      </c>
      <c r="F12" s="1441">
        <f>'1-P&amp;L Modified'!AJ21</f>
        <v>7735769.1224274132</v>
      </c>
      <c r="G12" s="1441">
        <f>'1-P&amp;L Modified'!AN21</f>
        <v>8381120.2201703684</v>
      </c>
      <c r="H12" s="1441">
        <f>'1-P&amp;L Modified'!AR21</f>
        <v>9690613.263978906</v>
      </c>
      <c r="I12" s="1441">
        <f>'1-P&amp;L Modified'!AV21</f>
        <v>10120824.754373204</v>
      </c>
      <c r="J12" s="1441">
        <f>'1-P&amp;L Modified'!AZ21</f>
        <v>10247539.269888591</v>
      </c>
      <c r="K12" s="1441">
        <f>'1-P&amp;L Modified'!BD21</f>
        <v>10383462.015856439</v>
      </c>
      <c r="L12" s="1441">
        <f>'1-P&amp;L Modified'!BH21</f>
        <v>10476083.93122487</v>
      </c>
      <c r="M12" s="1441">
        <f>'1-P&amp;L Modified'!BL21</f>
        <v>10592913.873183148</v>
      </c>
      <c r="N12" s="1441">
        <f>'1-P&amp;L Modified'!BP21</f>
        <v>10711489.395999407</v>
      </c>
      <c r="O12" s="1417"/>
      <c r="P12" s="1415" t="s">
        <v>740</v>
      </c>
      <c r="Q12" s="1418">
        <f>COUNT(E43:I43)+ABS(I43/J42)</f>
        <v>5.7895492994496847</v>
      </c>
      <c r="R12" s="250"/>
      <c r="U12" s="505"/>
      <c r="V12" s="226"/>
    </row>
    <row r="13" spans="1:23" ht="17" thickBot="1" x14ac:dyDescent="0.25">
      <c r="B13" s="284"/>
      <c r="C13" s="567" t="s">
        <v>741</v>
      </c>
      <c r="D13" s="1464">
        <f>'1-P&amp;L Modified'!AB36</f>
        <v>1843250.5713726743</v>
      </c>
      <c r="E13" s="1464">
        <f>'1-P&amp;L Modified'!AF36</f>
        <v>2246678.4631292666</v>
      </c>
      <c r="F13" s="1464">
        <f>'1-P&amp;L Modified'!AJ36</f>
        <v>2526467.0326686092</v>
      </c>
      <c r="G13" s="1464">
        <f>'1-P&amp;L Modified'!AN36</f>
        <v>2777202.8800657718</v>
      </c>
      <c r="H13" s="1464">
        <f>'1-P&amp;L Modified'!AR36</f>
        <v>3516944.6119435211</v>
      </c>
      <c r="I13" s="1464">
        <f>'1-P&amp;L Modified'!AV36</f>
        <v>3722151.5168315037</v>
      </c>
      <c r="J13" s="1464">
        <f>'1-P&amp;L Modified'!AZ36</f>
        <v>3747986.2577490052</v>
      </c>
      <c r="K13" s="1464">
        <f>'1-P&amp;L Modified'!BD36</f>
        <v>3778166.808273939</v>
      </c>
      <c r="L13" s="1464">
        <f>'1-P&amp;L Modified'!BH36</f>
        <v>3781851.4937010705</v>
      </c>
      <c r="M13" s="1464">
        <f>'1-P&amp;L Modified'!BL36</f>
        <v>3798647.5078895036</v>
      </c>
      <c r="N13" s="1464">
        <f>'1-P&amp;L Modified'!BP36</f>
        <v>3815345.058885579</v>
      </c>
      <c r="O13" s="1417"/>
      <c r="P13" s="1415" t="s">
        <v>742</v>
      </c>
      <c r="Q13" s="1418">
        <f>Q12*12</f>
        <v>69.474591593396212</v>
      </c>
      <c r="R13" s="250"/>
      <c r="U13" s="1049"/>
    </row>
    <row r="14" spans="1:23" ht="17" thickBot="1" x14ac:dyDescent="0.25">
      <c r="B14" s="284"/>
      <c r="C14" s="1419" t="s">
        <v>743</v>
      </c>
      <c r="D14" s="1481">
        <f>'1-P&amp;L Modified'!AB54</f>
        <v>1545299.7231185688</v>
      </c>
      <c r="E14" s="1447">
        <f>'1-P&amp;L Modified'!AF54</f>
        <v>1542502.8442663234</v>
      </c>
      <c r="F14" s="1447">
        <f>'1-P&amp;L Modified'!AJ54</f>
        <v>1769029.3413795657</v>
      </c>
      <c r="G14" s="1447">
        <f>'1-P&amp;L Modified'!AN54</f>
        <v>1955239.9266707106</v>
      </c>
      <c r="H14" s="1447">
        <f>'1-P&amp;L Modified'!AR54</f>
        <v>2544860.9900529478</v>
      </c>
      <c r="I14" s="1447">
        <f>'1-P&amp;L Modified'!AV54</f>
        <v>2704275.0396769834</v>
      </c>
      <c r="J14" s="1447">
        <f>'1-P&amp;L Modified'!AZ54</f>
        <v>2719927.1294932407</v>
      </c>
      <c r="K14" s="1447">
        <f>'1-P&amp;L Modified'!BD54</f>
        <v>2738948.7621632242</v>
      </c>
      <c r="L14" s="1447">
        <f>'1-P&amp;L Modified'!BH54</f>
        <v>2736641.5695932172</v>
      </c>
      <c r="M14" s="1447">
        <f>'1-P&amp;L Modified'!BL54</f>
        <v>2744718.895658927</v>
      </c>
      <c r="N14" s="1447">
        <f>'1-P&amp;L Modified'!BP54</f>
        <v>2752600.4558117194</v>
      </c>
      <c r="O14" s="1417"/>
      <c r="P14" s="1415" t="s">
        <v>744</v>
      </c>
      <c r="Q14" s="1420">
        <f>(SUM(E41:N41)-SUM(E38:G38))/SUM(E38:G38)</f>
        <v>1.3876413229713935</v>
      </c>
      <c r="R14" s="1421">
        <f>N43/SUM(E38:G38)</f>
        <v>1.3876413229713942</v>
      </c>
      <c r="U14" s="1049"/>
    </row>
    <row r="15" spans="1:23" x14ac:dyDescent="0.2">
      <c r="B15" s="284"/>
      <c r="C15" s="1406" t="s">
        <v>745</v>
      </c>
      <c r="D15" s="712"/>
      <c r="E15" s="712">
        <f>(E13-D13)/(E12-D12)</f>
        <v>0.40622869831473613</v>
      </c>
      <c r="F15" s="712">
        <f>(F13-E13)/(F12-E12)</f>
        <v>0.66792440146988252</v>
      </c>
      <c r="G15" s="712">
        <f t="shared" ref="G15:N15" si="0">(G13-F13)/(G12-F12)</f>
        <v>0.38852625845696048</v>
      </c>
      <c r="H15" s="712">
        <f t="shared" si="0"/>
        <v>0.5649069579829763</v>
      </c>
      <c r="I15" s="712">
        <f t="shared" si="0"/>
        <v>0.47699075796396362</v>
      </c>
      <c r="J15" s="712">
        <f t="shared" si="0"/>
        <v>0.20388146387510253</v>
      </c>
      <c r="K15" s="712">
        <f t="shared" si="0"/>
        <v>0.22204194235505492</v>
      </c>
      <c r="L15" s="712">
        <f t="shared" si="0"/>
        <v>3.9782004210069513E-2</v>
      </c>
      <c r="M15" s="712">
        <f t="shared" si="0"/>
        <v>0.14376463693212443</v>
      </c>
      <c r="N15" s="712">
        <f t="shared" si="0"/>
        <v>0.14081785683500075</v>
      </c>
      <c r="P15" s="1415" t="s">
        <v>746</v>
      </c>
      <c r="Q15" s="1422">
        <f>Q14/COUNT(E10:N10)</f>
        <v>0.13876413229713935</v>
      </c>
      <c r="R15" s="250"/>
      <c r="U15" s="567"/>
      <c r="V15" s="170"/>
      <c r="W15" s="170"/>
    </row>
    <row r="16" spans="1:23" x14ac:dyDescent="0.2">
      <c r="B16" s="284"/>
      <c r="C16" s="567"/>
      <c r="D16" s="567"/>
      <c r="E16" s="567"/>
      <c r="F16" s="567"/>
      <c r="G16" s="1423"/>
      <c r="H16" s="567"/>
      <c r="I16" s="567"/>
      <c r="J16" s="567"/>
      <c r="K16" s="567"/>
      <c r="L16" s="567"/>
      <c r="M16" s="567"/>
      <c r="P16" s="1415" t="s">
        <v>747</v>
      </c>
      <c r="Q16" s="1422">
        <f>N41/SUM(E38:G38)</f>
        <v>0.33722340807677986</v>
      </c>
      <c r="R16" s="250"/>
      <c r="U16" s="1424"/>
      <c r="V16" s="170"/>
      <c r="W16" s="170"/>
    </row>
    <row r="17" spans="2:26" x14ac:dyDescent="0.2">
      <c r="B17" s="284"/>
      <c r="C17" s="567"/>
      <c r="D17" s="567"/>
      <c r="E17" s="567"/>
      <c r="F17" s="567"/>
      <c r="G17" s="567"/>
      <c r="H17" s="567"/>
      <c r="I17" s="567"/>
      <c r="J17" s="567"/>
      <c r="K17" s="567"/>
      <c r="O17" s="1406"/>
      <c r="P17" s="1415" t="s">
        <v>748</v>
      </c>
      <c r="Q17" s="1425">
        <f>NPV(Q11,E41:N41)-SUM(E38:G38)</f>
        <v>1975544.7289675339</v>
      </c>
      <c r="R17" s="250"/>
      <c r="U17" s="1424"/>
      <c r="V17" s="170"/>
      <c r="W17" s="170"/>
    </row>
    <row r="18" spans="2:26" ht="17" thickBot="1" x14ac:dyDescent="0.25">
      <c r="B18" s="284"/>
      <c r="C18" s="1410" t="s">
        <v>749</v>
      </c>
      <c r="D18" s="567"/>
      <c r="E18" s="1426"/>
      <c r="F18" s="1427"/>
      <c r="G18" s="1427"/>
      <c r="H18" s="1427"/>
      <c r="I18" s="1427"/>
      <c r="J18" s="1427"/>
      <c r="K18" s="1427"/>
      <c r="O18" s="1049"/>
      <c r="P18" s="1428" t="s">
        <v>269</v>
      </c>
      <c r="Q18" s="1429">
        <f>IRR(E42:N42)</f>
        <v>0.21726942573274455</v>
      </c>
      <c r="R18" s="250"/>
      <c r="U18" s="1424"/>
      <c r="V18" s="170"/>
      <c r="W18" s="170"/>
    </row>
    <row r="19" spans="2:26" x14ac:dyDescent="0.2">
      <c r="B19" s="284"/>
      <c r="C19" s="567" t="s">
        <v>736</v>
      </c>
      <c r="D19" s="1430">
        <v>2025</v>
      </c>
      <c r="E19" s="1414">
        <v>2026</v>
      </c>
      <c r="F19" s="1414">
        <v>2027</v>
      </c>
      <c r="G19" s="1414">
        <v>2028</v>
      </c>
      <c r="H19" s="1414">
        <v>2029</v>
      </c>
      <c r="I19" s="1414">
        <v>2030</v>
      </c>
      <c r="J19" s="1414">
        <v>2031</v>
      </c>
      <c r="K19" s="1414">
        <v>2032</v>
      </c>
      <c r="L19" s="1414">
        <v>2033</v>
      </c>
      <c r="M19" s="1414">
        <v>2034</v>
      </c>
      <c r="N19" s="1414">
        <v>2035</v>
      </c>
      <c r="O19" s="1406"/>
      <c r="R19" s="250"/>
      <c r="U19" s="1424"/>
      <c r="V19" s="170"/>
      <c r="W19" s="170"/>
    </row>
    <row r="20" spans="2:26" x14ac:dyDescent="0.2">
      <c r="B20" s="284"/>
      <c r="C20" s="567"/>
      <c r="E20" s="567"/>
      <c r="F20" s="567"/>
      <c r="G20" s="567"/>
      <c r="H20" s="567"/>
      <c r="I20" s="567"/>
      <c r="J20" s="567"/>
      <c r="K20" s="567"/>
      <c r="L20" s="567"/>
      <c r="M20" s="567"/>
      <c r="N20" s="567"/>
      <c r="O20" s="567"/>
      <c r="Q20" s="225"/>
      <c r="R20" s="250"/>
      <c r="U20" s="1424"/>
      <c r="V20" s="170"/>
      <c r="W20" s="170"/>
    </row>
    <row r="21" spans="2:26" x14ac:dyDescent="0.2">
      <c r="B21" s="284"/>
      <c r="C21" s="567" t="s">
        <v>750</v>
      </c>
      <c r="D21" s="1442">
        <f>' P&amp;L Normal Situation'!AB22</f>
        <v>6323771.206352639</v>
      </c>
      <c r="E21" s="1441">
        <f>' P&amp;L Normal Situation'!AF22</f>
        <v>6372974.9572717939</v>
      </c>
      <c r="F21" s="1441">
        <f>' P&amp;L Normal Situation'!AJ22</f>
        <v>6422618.5835129805</v>
      </c>
      <c r="G21" s="1441">
        <f>' P&amp;L Normal Situation'!AN22</f>
        <v>6490557.5451847492</v>
      </c>
      <c r="H21" s="1441">
        <f>' P&amp;L Normal Situation'!AR22</f>
        <v>6523409.6902919756</v>
      </c>
      <c r="I21" s="1441">
        <f>' P&amp;L Normal Situation'!AV22</f>
        <v>6574567.4636095604</v>
      </c>
      <c r="J21" s="1441">
        <f>' P&amp;L Normal Situation'!AZ22</f>
        <v>6613785.9539481029</v>
      </c>
      <c r="K21" s="1441">
        <f>' P&amp;L Normal Situation'!BD22</f>
        <v>6671599.6821625186</v>
      </c>
      <c r="L21" s="1441">
        <f>' P&amp;L Normal Situation'!BH22</f>
        <v>6693169.0839447891</v>
      </c>
      <c r="M21" s="1441">
        <f>' P&amp;L Normal Situation'!BL22</f>
        <v>6733338.7892516209</v>
      </c>
      <c r="N21" s="1441">
        <f>' P&amp;L Normal Situation'!BP22</f>
        <v>6773830.6657467699</v>
      </c>
      <c r="O21" s="1417"/>
      <c r="Q21" s="1431"/>
      <c r="R21" s="250"/>
      <c r="W21" s="170"/>
    </row>
    <row r="22" spans="2:26" x14ac:dyDescent="0.2">
      <c r="B22" s="284"/>
      <c r="C22" s="567" t="s">
        <v>751</v>
      </c>
      <c r="D22" s="1442">
        <f>' P&amp;L Normal Situation'!AB36</f>
        <v>1843250.5713726743</v>
      </c>
      <c r="E22" s="1442">
        <f>' P&amp;L Normal Situation'!AF36</f>
        <v>1844673.285322939</v>
      </c>
      <c r="F22" s="1442">
        <f>' P&amp;L Normal Situation'!AJ36</f>
        <v>1845766.909889899</v>
      </c>
      <c r="G22" s="1442">
        <f>' P&amp;L Normal Situation'!AN36</f>
        <v>1855662.4893640154</v>
      </c>
      <c r="H22" s="1442">
        <f>' P&amp;L Normal Situation'!AR36</f>
        <v>1847011.0857509119</v>
      </c>
      <c r="I22" s="1442">
        <f>' P&amp;L Normal Situation'!AV36</f>
        <v>1847141.3680777424</v>
      </c>
      <c r="J22" s="1442">
        <f>' P&amp;L Normal Situation'!AZ36</f>
        <v>1840520.0468761446</v>
      </c>
      <c r="K22" s="1442">
        <f>' P&amp;L Normal Situation'!BD36</f>
        <v>1842842.7794254897</v>
      </c>
      <c r="L22" s="1442">
        <f>' P&amp;L Normal Situation'!BH36</f>
        <v>1825824.8053231493</v>
      </c>
      <c r="M22" s="1442">
        <f>' P&amp;L Normal Situation'!BL36</f>
        <v>1817724.8114724997</v>
      </c>
      <c r="N22" s="1442">
        <f>' P&amp;L Normal Situation'!BP36</f>
        <v>1809105.3553734429</v>
      </c>
      <c r="O22" s="1417"/>
      <c r="R22" s="250"/>
    </row>
    <row r="23" spans="2:26" x14ac:dyDescent="0.2">
      <c r="B23" s="284"/>
      <c r="C23" s="1419" t="s">
        <v>752</v>
      </c>
      <c r="D23" s="1481">
        <f>' P&amp;L Normal Situation'!AB50</f>
        <v>1545299.7231185688</v>
      </c>
      <c r="E23" s="1447">
        <f>' P&amp;L Normal Situation'!AF50</f>
        <v>1544754.2870320673</v>
      </c>
      <c r="F23" s="1447">
        <f>' P&amp;L Normal Situation'!AJ50</f>
        <v>1543862.1665493797</v>
      </c>
      <c r="G23" s="1447">
        <f>' P&amp;L Normal Situation'!AN50</f>
        <v>1551040.1875566253</v>
      </c>
      <c r="H23" s="1447">
        <f>' P&amp;L Normal Situation'!AR50</f>
        <v>1541074.6981392328</v>
      </c>
      <c r="I23" s="1447">
        <f>' P&amp;L Normal Situation'!AV50</f>
        <v>1539158.6695333601</v>
      </c>
      <c r="J23" s="1447">
        <f>' P&amp;L Normal Situation'!AZ50</f>
        <v>1530968.6087182206</v>
      </c>
      <c r="K23" s="1447">
        <f>' P&amp;L Normal Situation'!BD50</f>
        <v>1530978.7921389891</v>
      </c>
      <c r="L23" s="1447">
        <f>' P&amp;L Normal Situation'!BH50</f>
        <v>1513098.0419653577</v>
      </c>
      <c r="M23" s="1447">
        <f>' P&amp;L Normal Situation'!BL50</f>
        <v>1503391.2599024349</v>
      </c>
      <c r="N23" s="1447">
        <f>' P&amp;L Normal Situation'!BP50</f>
        <v>1493152.1287435722</v>
      </c>
      <c r="O23" s="1417"/>
      <c r="Q23" s="654"/>
      <c r="R23" s="250"/>
    </row>
    <row r="24" spans="2:26" x14ac:dyDescent="0.2">
      <c r="B24" s="284"/>
      <c r="C24" s="1406" t="s">
        <v>745</v>
      </c>
      <c r="D24" s="567"/>
      <c r="E24" s="712">
        <f>(E22-D22)/(E21-D21)</f>
        <v>2.8914745800627077E-2</v>
      </c>
      <c r="F24" s="712">
        <f t="shared" ref="F24:N24" si="1">(F22-E22)/(F21-E21)</f>
        <v>2.2029506097050469E-2</v>
      </c>
      <c r="G24" s="712">
        <f t="shared" si="1"/>
        <v>0.14565396983728771</v>
      </c>
      <c r="H24" s="712">
        <f t="shared" si="1"/>
        <v>-0.26334364422372269</v>
      </c>
      <c r="I24" s="712">
        <f t="shared" si="1"/>
        <v>2.5466770420550793E-3</v>
      </c>
      <c r="J24" s="712">
        <f t="shared" si="1"/>
        <v>-0.16883161856667933</v>
      </c>
      <c r="K24" s="712">
        <f t="shared" si="1"/>
        <v>4.0176141914438114E-2</v>
      </c>
      <c r="L24" s="712">
        <f>(L22-K22)/(L21-K21)</f>
        <v>-0.78898683765669997</v>
      </c>
      <c r="M24" s="712">
        <f t="shared" si="1"/>
        <v>-0.20164434338710432</v>
      </c>
      <c r="N24" s="712">
        <f t="shared" si="1"/>
        <v>-0.21286877381663211</v>
      </c>
      <c r="P24" s="1432"/>
      <c r="Q24" s="524"/>
      <c r="R24" s="1433"/>
    </row>
    <row r="25" spans="2:26" x14ac:dyDescent="0.2">
      <c r="B25" s="284"/>
      <c r="C25" s="567"/>
      <c r="D25" s="567"/>
      <c r="E25" s="1434"/>
      <c r="F25" s="1434"/>
      <c r="G25" s="1434"/>
      <c r="H25" s="1434"/>
      <c r="I25" s="1434"/>
      <c r="J25" s="1434"/>
      <c r="K25" s="567"/>
      <c r="L25" s="567"/>
      <c r="M25" s="567"/>
      <c r="Q25" s="1408"/>
      <c r="R25" s="1435"/>
      <c r="U25" s="556"/>
      <c r="V25" s="556"/>
      <c r="W25" s="556"/>
      <c r="X25" s="556"/>
      <c r="Y25" s="556"/>
      <c r="Z25" s="556"/>
    </row>
    <row r="26" spans="2:26" x14ac:dyDescent="0.2">
      <c r="B26" s="284"/>
      <c r="C26" s="567"/>
      <c r="D26" s="567"/>
      <c r="E26" s="567"/>
      <c r="F26" s="567"/>
      <c r="G26" s="567"/>
      <c r="H26" s="567"/>
      <c r="I26" s="567"/>
      <c r="J26" s="567"/>
      <c r="K26" s="567"/>
      <c r="M26" s="1436"/>
      <c r="Q26" s="1437"/>
      <c r="R26" s="1438"/>
      <c r="U26" s="226"/>
    </row>
    <row r="27" spans="2:26" ht="17" thickBot="1" x14ac:dyDescent="0.25">
      <c r="B27" s="284"/>
      <c r="C27" s="1410" t="s">
        <v>753</v>
      </c>
      <c r="D27" s="567"/>
      <c r="E27" s="567"/>
      <c r="F27" s="567"/>
      <c r="G27" s="567"/>
      <c r="H27" s="567"/>
      <c r="I27" s="567"/>
      <c r="J27" s="567"/>
      <c r="K27" s="567"/>
      <c r="M27" s="1436"/>
      <c r="Q27" s="1437"/>
      <c r="R27" s="1438"/>
    </row>
    <row r="28" spans="2:26" x14ac:dyDescent="0.2">
      <c r="B28" s="284"/>
      <c r="C28" s="567" t="s">
        <v>736</v>
      </c>
      <c r="D28" s="1430">
        <v>2025</v>
      </c>
      <c r="E28" s="1414">
        <v>2026</v>
      </c>
      <c r="F28" s="1414">
        <v>2027</v>
      </c>
      <c r="G28" s="1414">
        <v>2028</v>
      </c>
      <c r="H28" s="1414">
        <v>2029</v>
      </c>
      <c r="I28" s="1414">
        <v>2030</v>
      </c>
      <c r="J28" s="1414">
        <v>2031</v>
      </c>
      <c r="K28" s="1414">
        <v>2032</v>
      </c>
      <c r="L28" s="1414">
        <v>2033</v>
      </c>
      <c r="M28" s="1414">
        <v>2034</v>
      </c>
      <c r="N28" s="1414">
        <v>2035</v>
      </c>
      <c r="O28" s="1406"/>
      <c r="Q28" s="1439"/>
      <c r="R28" s="1440"/>
      <c r="U28" s="654"/>
    </row>
    <row r="29" spans="2:26" x14ac:dyDescent="0.2">
      <c r="B29" s="284"/>
      <c r="C29" s="567" t="s">
        <v>754</v>
      </c>
      <c r="E29" s="1441">
        <f>SUM('1-CAPEX'!P23:P24,'1-CAPEX'!P29)</f>
        <v>458347.71524369705</v>
      </c>
      <c r="F29" s="225">
        <f>SUM('1-CAPEX'!P25,'1-CAPEX'!P30,'1-CAPEX'!P32,'1-CAPEX'!P28,('1-CAPEX'!P31*(2/9)))</f>
        <v>519796.51832322008</v>
      </c>
      <c r="G29" s="225">
        <f>SUM('1-CAPEX'!P26:P27,'1-CAPEX'!P33,('1-CAPEX'!P31*(7/9)))</f>
        <v>337031.49209414667</v>
      </c>
      <c r="Q29" s="654"/>
      <c r="R29" s="250"/>
      <c r="U29" s="654"/>
    </row>
    <row r="30" spans="2:26" x14ac:dyDescent="0.2">
      <c r="B30" s="284"/>
      <c r="C30" s="567" t="s">
        <v>755</v>
      </c>
      <c r="E30" s="1441">
        <f>SUM('1-CAPEX'!Q23:Q24,'1-CAPEX'!Q29)</f>
        <v>100866.7460661122</v>
      </c>
      <c r="F30" s="225">
        <f>SUM('1-CAPEX'!Q25,'1-CAPEX'!Q30,'1-CAPEX'!Q32,'1-CAPEX'!Q28,('1-CAPEX'!Q31*(2/9)))</f>
        <v>203606.42504993279</v>
      </c>
      <c r="G30" s="225">
        <f>SUM('1-CAPEX'!Q26:Q27,('1-CAPEX'!Q31*(7/9)))</f>
        <v>86765.097842590912</v>
      </c>
      <c r="H30" s="1442"/>
      <c r="I30" s="1443"/>
      <c r="J30" s="1443"/>
      <c r="K30" s="1443"/>
      <c r="L30" s="1443"/>
      <c r="M30" s="1443"/>
      <c r="N30" s="1443"/>
      <c r="P30" s="1444"/>
      <c r="R30" s="250"/>
    </row>
    <row r="31" spans="2:26" x14ac:dyDescent="0.2">
      <c r="B31" s="284"/>
      <c r="C31" s="567" t="s">
        <v>483</v>
      </c>
      <c r="E31" s="1441">
        <f>SUM('1-CAPEX'!R23:R24,'1-CAPEX'!R29)</f>
        <v>233588.20265677822</v>
      </c>
      <c r="F31" s="225">
        <f>SUM('1-CAPEX'!R25,'1-CAPEX'!R30,'1-CAPEX'!R32,'1-CAPEX'!R28,('1-CAPEX'!R31*(2/9)))</f>
        <v>235251.9506739325</v>
      </c>
      <c r="G31" s="225">
        <f>SUM('1-CAPEX'!R26:R27,('1-CAPEX'!R31*(7/9)))</f>
        <v>227489.99251369707</v>
      </c>
      <c r="H31" s="225"/>
      <c r="I31" s="225"/>
      <c r="J31" s="225"/>
      <c r="K31" s="225"/>
      <c r="L31" s="225"/>
      <c r="M31" s="225"/>
      <c r="N31" s="225"/>
      <c r="R31" s="250"/>
    </row>
    <row r="32" spans="2:26" x14ac:dyDescent="0.2">
      <c r="B32" s="284"/>
      <c r="C32" s="1424" t="s">
        <v>392</v>
      </c>
      <c r="E32" s="1441">
        <f>SUM('1-CAPEX'!T23:T24,'1-CAPEX'!T29)</f>
        <v>79280.266396658742</v>
      </c>
      <c r="F32" s="225">
        <f>SUM('1-CAPEX'!T25,'1-CAPEX'!T30,'1-CAPEX'!T32,'1-CAPEX'!T28,('1-CAPEX'!T31*(2/9)))</f>
        <v>95865.489404708555</v>
      </c>
      <c r="G32" s="225">
        <f>SUM('1-CAPEX'!T26:T27,'1-CAPEX'!T33,('1-CAPEX'!T31*(7/9)))</f>
        <v>65128.658245043465</v>
      </c>
      <c r="H32" s="225"/>
      <c r="I32" s="225"/>
      <c r="J32" s="225"/>
      <c r="K32" s="225"/>
      <c r="L32" s="225"/>
      <c r="M32" s="225"/>
      <c r="N32" s="1442"/>
      <c r="O32" s="1031"/>
      <c r="R32" s="250"/>
    </row>
    <row r="33" spans="2:22" x14ac:dyDescent="0.2">
      <c r="B33" s="284"/>
      <c r="C33" s="1424" t="s">
        <v>756</v>
      </c>
      <c r="E33" s="1441">
        <f>SUM('1-CAPEX'!U23:U24,'1-CAPEX'!U29)</f>
        <v>68752.15728655456</v>
      </c>
      <c r="F33" s="225">
        <f>SUM('1-CAPEX'!U25,'1-CAPEX'!U30,'1-CAPEX'!U32,'1-CAPEX'!U28,('1-CAPEX'!U31*(2/9)))</f>
        <v>77969.477748483012</v>
      </c>
      <c r="G33" s="225">
        <f>SUM('1-CAPEX'!U26:U27,'1-CAPEX'!U33,('1-CAPEX'!U31*(7/9)))</f>
        <v>50554.723814122</v>
      </c>
      <c r="H33" s="1442"/>
      <c r="I33" s="225"/>
      <c r="J33" s="1443"/>
      <c r="K33" s="1443"/>
      <c r="L33" s="1443"/>
      <c r="M33" s="1443"/>
      <c r="N33" s="1443"/>
      <c r="R33" s="250"/>
    </row>
    <row r="34" spans="2:22" x14ac:dyDescent="0.2">
      <c r="B34" s="284"/>
      <c r="C34" s="1424" t="s">
        <v>757</v>
      </c>
      <c r="E34" s="1441">
        <f>SUM('1-CAPEX'!V23:V24,'1-CAPEX'!V29)</f>
        <v>35038.230398516731</v>
      </c>
      <c r="F34" s="225">
        <f>SUM('1-CAPEX'!V25,'1-CAPEX'!V30,'1-CAPEX'!V32,'1-CAPEX'!V28,('1-CAPEX'!V31*(2/9)))</f>
        <v>35287.792601089874</v>
      </c>
      <c r="G34" s="225">
        <f>SUM('1-CAPEX'!V26:V27,'1-CAPEX'!V33,('1-CAPEX'!V31*(7/9)))</f>
        <v>34123.498877054561</v>
      </c>
      <c r="H34" s="1442"/>
      <c r="I34" s="1443"/>
      <c r="J34" s="1443"/>
      <c r="K34" s="1443"/>
      <c r="L34" s="1443"/>
      <c r="M34" s="1443"/>
      <c r="N34" s="1443"/>
      <c r="R34" s="250"/>
    </row>
    <row r="35" spans="2:22" x14ac:dyDescent="0.2">
      <c r="B35" s="284"/>
      <c r="C35" s="1424" t="s">
        <v>395</v>
      </c>
      <c r="E35" s="1441">
        <f>SUM('1-CAPEX'!W23:W24,'1-CAPEX'!W29)</f>
        <v>133822.71126956807</v>
      </c>
      <c r="F35" s="225">
        <f>SUM('1-CAPEX'!W25,'1-CAPEX'!W30,'1-CAPEX'!W32,'1-CAPEX'!W28,('1-CAPEX'!W31*(2/9)))</f>
        <v>161818.07015046591</v>
      </c>
      <c r="G35" s="225">
        <f>SUM('1-CAPEX'!W26:W27,'1-CAPEX'!W33,('1-CAPEX'!W31*(7/9)))</f>
        <v>109935.22125788601</v>
      </c>
      <c r="H35" s="1442"/>
      <c r="I35" s="1443"/>
      <c r="J35" s="1443"/>
      <c r="K35" s="1443"/>
      <c r="L35" s="1443"/>
      <c r="M35" s="1443"/>
      <c r="N35" s="1443"/>
      <c r="R35" s="250"/>
      <c r="U35" s="1445"/>
      <c r="V35" s="204"/>
    </row>
    <row r="36" spans="2:22" x14ac:dyDescent="0.2">
      <c r="B36" s="284"/>
      <c r="C36" s="1424" t="s">
        <v>758</v>
      </c>
      <c r="E36" s="1441">
        <f>SUM('1-CAPEX'!X23:X24,'1-CAPEX'!X29)</f>
        <v>47568.159837995248</v>
      </c>
      <c r="F36" s="225">
        <f>SUM('1-CAPEX'!X25,'1-CAPEX'!X30,'1-CAPEX'!X32,'1-CAPEX'!X28,('1-CAPEX'!X31*(2/9)))</f>
        <v>57519.29364282512</v>
      </c>
      <c r="G36" s="225">
        <f>SUM('1-CAPEX'!X26:X27,'1-CAPEX'!X33,('1-CAPEX'!X31*(7/9)))</f>
        <v>39077.194947026081</v>
      </c>
      <c r="H36" s="1442"/>
      <c r="I36" s="1443"/>
      <c r="J36" s="1443"/>
      <c r="K36" s="1443"/>
      <c r="L36" s="1443"/>
      <c r="M36" s="1443"/>
      <c r="N36" s="1443"/>
      <c r="R36" s="250"/>
    </row>
    <row r="37" spans="2:22" x14ac:dyDescent="0.2">
      <c r="B37" s="284"/>
      <c r="C37" s="1465" t="s">
        <v>759</v>
      </c>
      <c r="D37" s="1446"/>
      <c r="E37" s="1447">
        <f>SUM('1-CAPEX'!Y23:Y24,'1-CAPEX'!Y29)</f>
        <v>79280.266396658742</v>
      </c>
      <c r="F37" s="291">
        <f>SUM('1-CAPEX'!Y25,'1-CAPEX'!Y30,'1-CAPEX'!Y32,'1-CAPEX'!Y28,('1-CAPEX'!Y31*(2/9)))</f>
        <v>95865.489404708555</v>
      </c>
      <c r="G37" s="291">
        <f>SUM('1-CAPEX'!Y26:Y27,'1-CAPEX'!Y33,('1-CAPEX'!Y31*(7/9)))</f>
        <v>65128.658245043465</v>
      </c>
      <c r="H37" s="1448"/>
      <c r="I37" s="1448"/>
      <c r="J37" s="1448"/>
      <c r="K37" s="1448"/>
      <c r="L37" s="1448"/>
      <c r="M37" s="1448"/>
      <c r="N37" s="1448"/>
      <c r="R37" s="250"/>
    </row>
    <row r="38" spans="2:22" x14ac:dyDescent="0.2">
      <c r="B38" s="284"/>
      <c r="C38" s="1424" t="s">
        <v>760</v>
      </c>
      <c r="D38" s="1443">
        <v>0</v>
      </c>
      <c r="E38" s="1443">
        <f>SUM(E29:E37)</f>
        <v>1236544.4555525396</v>
      </c>
      <c r="F38" s="1443">
        <f>SUM(F29:F37)</f>
        <v>1482980.5069993667</v>
      </c>
      <c r="G38" s="1443">
        <f>SUM(G29:G37)</f>
        <v>1015234.5378366102</v>
      </c>
      <c r="H38" s="1443">
        <v>0</v>
      </c>
      <c r="I38" s="1443">
        <v>0</v>
      </c>
      <c r="J38" s="1443">
        <v>0</v>
      </c>
      <c r="K38" s="1443">
        <v>0</v>
      </c>
      <c r="L38" s="1443">
        <v>0</v>
      </c>
      <c r="M38" s="1443">
        <v>0</v>
      </c>
      <c r="N38" s="1443">
        <v>0</v>
      </c>
      <c r="R38" s="250"/>
    </row>
    <row r="39" spans="2:22" x14ac:dyDescent="0.2">
      <c r="B39" s="284"/>
      <c r="C39" s="1424"/>
      <c r="D39" s="567"/>
      <c r="E39" s="1449"/>
      <c r="F39" s="1450"/>
      <c r="G39" s="1417"/>
      <c r="H39" s="1417"/>
      <c r="I39" s="1450"/>
      <c r="J39" s="1450"/>
      <c r="K39" s="567"/>
      <c r="L39" s="567"/>
      <c r="M39" s="567"/>
      <c r="R39" s="250"/>
    </row>
    <row r="40" spans="2:22" x14ac:dyDescent="0.2">
      <c r="B40" s="284"/>
      <c r="R40" s="250"/>
    </row>
    <row r="41" spans="2:22" ht="17" thickBot="1" x14ac:dyDescent="0.25">
      <c r="B41" s="284"/>
      <c r="C41" s="1451" t="s">
        <v>761</v>
      </c>
      <c r="D41" s="1484">
        <f t="shared" ref="D41:N41" si="2">D14-D23</f>
        <v>0</v>
      </c>
      <c r="E41" s="1484">
        <f>E14-E23</f>
        <v>-2251.4427657439373</v>
      </c>
      <c r="F41" s="1484">
        <f t="shared" si="2"/>
        <v>225167.17483018595</v>
      </c>
      <c r="G41" s="1484">
        <f t="shared" si="2"/>
        <v>404199.73911408521</v>
      </c>
      <c r="H41" s="1484">
        <f t="shared" si="2"/>
        <v>1003786.291913715</v>
      </c>
      <c r="I41" s="1484">
        <f t="shared" si="2"/>
        <v>1165116.3701436233</v>
      </c>
      <c r="J41" s="1484">
        <f t="shared" si="2"/>
        <v>1188958.5207750201</v>
      </c>
      <c r="K41" s="1484">
        <f t="shared" si="2"/>
        <v>1207969.9700242351</v>
      </c>
      <c r="L41" s="1484">
        <f t="shared" si="2"/>
        <v>1223543.5276278595</v>
      </c>
      <c r="M41" s="1484">
        <f t="shared" si="2"/>
        <v>1241327.6357564921</v>
      </c>
      <c r="N41" s="1484">
        <f t="shared" si="2"/>
        <v>1259448.3270681472</v>
      </c>
      <c r="O41" s="1450"/>
      <c r="R41" s="250"/>
    </row>
    <row r="42" spans="2:22" x14ac:dyDescent="0.2">
      <c r="B42" s="284"/>
      <c r="C42" s="567" t="s">
        <v>762</v>
      </c>
      <c r="D42" s="1482">
        <f>D41-D38</f>
        <v>0</v>
      </c>
      <c r="E42" s="1482">
        <f>E41-E38</f>
        <v>-1238795.8983182835</v>
      </c>
      <c r="F42" s="1482">
        <f>F41-F38</f>
        <v>-1257813.3321691807</v>
      </c>
      <c r="G42" s="1482">
        <f>G41-G38</f>
        <v>-611034.79872252501</v>
      </c>
      <c r="H42" s="1482">
        <f t="shared" ref="H42:M42" si="3">H41-H38</f>
        <v>1003786.291913715</v>
      </c>
      <c r="I42" s="1482">
        <f t="shared" si="3"/>
        <v>1165116.3701436233</v>
      </c>
      <c r="J42" s="1482">
        <f t="shared" si="3"/>
        <v>1188958.5207750201</v>
      </c>
      <c r="K42" s="1482">
        <f t="shared" si="3"/>
        <v>1207969.9700242351</v>
      </c>
      <c r="L42" s="1482">
        <f t="shared" si="3"/>
        <v>1223543.5276278595</v>
      </c>
      <c r="M42" s="1482">
        <f t="shared" si="3"/>
        <v>1241327.6357564921</v>
      </c>
      <c r="N42" s="1482">
        <f>N41-N38</f>
        <v>1259448.3270681472</v>
      </c>
      <c r="O42" s="1417"/>
      <c r="R42" s="250"/>
    </row>
    <row r="43" spans="2:22" ht="17" thickBot="1" x14ac:dyDescent="0.25">
      <c r="B43" s="518"/>
      <c r="C43" s="1454" t="s">
        <v>763</v>
      </c>
      <c r="D43" s="1483"/>
      <c r="E43" s="1483">
        <f>D43+E42</f>
        <v>-1238795.8983182835</v>
      </c>
      <c r="F43" s="1483">
        <f>E43+F42</f>
        <v>-2496609.230487464</v>
      </c>
      <c r="G43" s="1483">
        <f>F43+G42</f>
        <v>-3107644.0292099891</v>
      </c>
      <c r="H43" s="1483">
        <f>G43+H42</f>
        <v>-2103857.7372962739</v>
      </c>
      <c r="I43" s="1483">
        <f t="shared" ref="I43:M43" si="4">H43+I42</f>
        <v>-938741.36715265061</v>
      </c>
      <c r="J43" s="1483">
        <f t="shared" si="4"/>
        <v>250217.15362236951</v>
      </c>
      <c r="K43" s="1483">
        <f t="shared" si="4"/>
        <v>1458187.1236466046</v>
      </c>
      <c r="L43" s="1483">
        <f t="shared" si="4"/>
        <v>2681730.6512744641</v>
      </c>
      <c r="M43" s="1483">
        <f t="shared" si="4"/>
        <v>3923058.2870309562</v>
      </c>
      <c r="N43" s="1483">
        <f>M43+N42</f>
        <v>5182506.614099104</v>
      </c>
      <c r="O43" s="1455"/>
      <c r="P43" s="611"/>
      <c r="Q43" s="611"/>
      <c r="R43" s="575"/>
    </row>
    <row r="44" spans="2:22" ht="29" customHeight="1" thickBot="1" x14ac:dyDescent="0.25"/>
    <row r="45" spans="2:22" ht="20" customHeight="1" x14ac:dyDescent="0.45">
      <c r="B45" s="2075" t="s">
        <v>764</v>
      </c>
      <c r="C45" s="2076"/>
      <c r="D45" s="2076"/>
      <c r="E45" s="2076"/>
      <c r="F45" s="2076"/>
      <c r="G45" s="2076"/>
      <c r="H45" s="2076"/>
      <c r="I45" s="2076"/>
      <c r="J45" s="2076"/>
      <c r="K45" s="2076"/>
      <c r="L45" s="2076"/>
      <c r="M45" s="2076"/>
      <c r="N45" s="2076"/>
      <c r="O45" s="2076"/>
      <c r="P45" s="2076"/>
      <c r="Q45" s="2076"/>
      <c r="R45" s="2077"/>
      <c r="S45" s="1399"/>
    </row>
    <row r="46" spans="2:22" ht="16" customHeight="1" thickBot="1" x14ac:dyDescent="0.5">
      <c r="B46" s="2078"/>
      <c r="C46" s="2079"/>
      <c r="D46" s="2079"/>
      <c r="E46" s="2079"/>
      <c r="F46" s="2079"/>
      <c r="G46" s="2079"/>
      <c r="H46" s="2079"/>
      <c r="I46" s="2079"/>
      <c r="J46" s="2079"/>
      <c r="K46" s="2079"/>
      <c r="L46" s="2079"/>
      <c r="M46" s="2079"/>
      <c r="N46" s="2079"/>
      <c r="O46" s="2079"/>
      <c r="P46" s="2079"/>
      <c r="Q46" s="2079"/>
      <c r="R46" s="2080"/>
      <c r="S46" s="1399"/>
    </row>
    <row r="47" spans="2:22" ht="13" customHeight="1" x14ac:dyDescent="0.4">
      <c r="B47" s="284"/>
      <c r="C47" s="1456"/>
      <c r="D47" s="1401"/>
      <c r="E47" s="1402"/>
      <c r="F47" s="1402"/>
      <c r="G47" s="1402"/>
      <c r="H47" s="1402"/>
      <c r="I47" s="1402"/>
      <c r="J47" s="1402"/>
      <c r="K47" s="1402"/>
      <c r="L47" s="1402"/>
      <c r="M47" s="1402"/>
      <c r="N47" s="1402"/>
      <c r="O47" s="1402"/>
      <c r="P47" s="1402"/>
      <c r="Q47" s="1402"/>
      <c r="R47" s="1404"/>
    </row>
    <row r="48" spans="2:22" x14ac:dyDescent="0.2">
      <c r="B48" s="284"/>
      <c r="C48" s="567"/>
      <c r="D48" s="567"/>
      <c r="E48" s="567"/>
      <c r="F48" s="567"/>
      <c r="G48" s="567"/>
      <c r="H48" s="567"/>
      <c r="I48" s="567"/>
      <c r="J48" s="567"/>
      <c r="K48" s="567"/>
      <c r="O48" s="1407"/>
      <c r="R48" s="250"/>
    </row>
    <row r="49" spans="2:32" x14ac:dyDescent="0.2">
      <c r="B49" s="284"/>
      <c r="C49" s="567"/>
      <c r="D49" s="567"/>
      <c r="E49" s="567"/>
      <c r="F49" s="567"/>
      <c r="G49" s="567"/>
      <c r="H49" s="567"/>
      <c r="I49" s="567"/>
      <c r="J49" s="567"/>
      <c r="K49" s="567"/>
      <c r="O49" s="1409"/>
      <c r="R49" s="250"/>
    </row>
    <row r="50" spans="2:32" ht="17" thickBot="1" x14ac:dyDescent="0.25">
      <c r="B50" s="284"/>
      <c r="C50" s="1410" t="s">
        <v>735</v>
      </c>
      <c r="D50" s="567"/>
      <c r="F50" s="1427"/>
      <c r="G50" s="1427"/>
      <c r="H50" s="1427"/>
      <c r="I50" s="1427"/>
      <c r="J50" s="1427"/>
      <c r="K50" s="1427"/>
      <c r="O50" s="1409"/>
      <c r="R50" s="250"/>
    </row>
    <row r="51" spans="2:32" x14ac:dyDescent="0.2">
      <c r="B51" s="284"/>
      <c r="C51" s="567" t="s">
        <v>736</v>
      </c>
      <c r="D51" s="1414">
        <v>2025</v>
      </c>
      <c r="E51" s="1414">
        <v>2026</v>
      </c>
      <c r="F51" s="1414">
        <v>2027</v>
      </c>
      <c r="G51" s="1414">
        <v>2028</v>
      </c>
      <c r="H51" s="1414">
        <v>2029</v>
      </c>
      <c r="I51" s="1414">
        <v>2030</v>
      </c>
      <c r="J51" s="1414">
        <v>2031</v>
      </c>
      <c r="K51" s="1414">
        <v>2032</v>
      </c>
      <c r="L51" s="1414">
        <v>2033</v>
      </c>
      <c r="M51" s="1414">
        <v>2034</v>
      </c>
      <c r="N51" s="1414">
        <v>2035</v>
      </c>
      <c r="O51" s="1406"/>
      <c r="P51" s="2073" t="s">
        <v>737</v>
      </c>
      <c r="Q51" s="2074"/>
      <c r="R51" s="250"/>
    </row>
    <row r="52" spans="2:32" x14ac:dyDescent="0.2">
      <c r="B52" s="284"/>
      <c r="C52" s="567"/>
      <c r="E52" s="567"/>
      <c r="F52" s="567"/>
      <c r="G52" s="567"/>
      <c r="H52" s="567"/>
      <c r="I52" s="567"/>
      <c r="J52" s="567"/>
      <c r="K52" s="567"/>
      <c r="L52" s="567"/>
      <c r="M52" s="567"/>
      <c r="N52" s="567"/>
      <c r="P52" s="1415" t="s">
        <v>738</v>
      </c>
      <c r="Q52" s="1416">
        <f>'PRELIMINARY ANALYSIS'!$F$42</f>
        <v>6.9499999999999992E-2</v>
      </c>
      <c r="R52" s="250"/>
    </row>
    <row r="53" spans="2:32" x14ac:dyDescent="0.2">
      <c r="B53" s="284"/>
      <c r="C53" s="567" t="s">
        <v>739</v>
      </c>
      <c r="D53" s="225">
        <f>'1-P&amp;L Modified'!AB17</f>
        <v>4654795.4913258404</v>
      </c>
      <c r="E53" s="1443">
        <f>'1-P&amp;L Modified'!AF17</f>
        <v>4571947.1410898948</v>
      </c>
      <c r="F53" s="1443">
        <f>'1-P&amp;L Modified'!AJ17</f>
        <v>4951326.9018273037</v>
      </c>
      <c r="G53" s="1443">
        <f>'1-P&amp;L Modified'!AN17</f>
        <v>5272577.7231896752</v>
      </c>
      <c r="H53" s="1443">
        <f>'1-P&amp;L Modified'!AR17</f>
        <v>6408917.7780845743</v>
      </c>
      <c r="I53" s="1443">
        <f>'1-P&amp;L Modified'!AV17</f>
        <v>6730860.5234741466</v>
      </c>
      <c r="J53" s="1443">
        <f>'1-P&amp;L Modified'!AZ17</f>
        <v>6797463.1845143633</v>
      </c>
      <c r="K53" s="1443">
        <f>'1-P&amp;L Modified'!BD17</f>
        <v>6870813.7566457978</v>
      </c>
      <c r="L53" s="1443">
        <f>'1-P&amp;L Modified'!BH17</f>
        <v>6906935.1728326371</v>
      </c>
      <c r="M53" s="1443">
        <f>'1-P&amp;L Modified'!BL17</f>
        <v>6962330.5384510197</v>
      </c>
      <c r="N53" s="1443">
        <f>'1-P&amp;L Modified'!BP17</f>
        <v>7018170.1889012717</v>
      </c>
      <c r="O53" s="1417"/>
      <c r="P53" s="1415" t="s">
        <v>740</v>
      </c>
      <c r="Q53" s="1418">
        <f>COUNT(E84:F84)+ABS(G84/H83)</f>
        <v>2.939556280846201</v>
      </c>
      <c r="R53" s="250"/>
    </row>
    <row r="54" spans="2:32" ht="17" thickBot="1" x14ac:dyDescent="0.25">
      <c r="B54" s="284"/>
      <c r="C54" s="567" t="s">
        <v>765</v>
      </c>
      <c r="D54" s="225">
        <f>'1-P&amp;L Modified'!AB23</f>
        <v>1591873.6041068903</v>
      </c>
      <c r="E54" s="1443">
        <f>'1-P&amp;L Modified'!AF23</f>
        <v>1403522.5011678722</v>
      </c>
      <c r="F54" s="1443">
        <f>'1-P&amp;L Modified'!AJ23</f>
        <v>1519986.6715203982</v>
      </c>
      <c r="G54" s="1443">
        <f>'1-P&amp;L Modified'!AN23</f>
        <v>1618606.0873593276</v>
      </c>
      <c r="H54" s="1443">
        <f>'1-P&amp;L Modified'!AR23</f>
        <v>1967446.2613170533</v>
      </c>
      <c r="I54" s="1443">
        <f>'1-P&amp;L Modified'!AV23</f>
        <v>2066278.0879541191</v>
      </c>
      <c r="J54" s="1443">
        <f>'1-P&amp;L Modified'!AZ23</f>
        <v>2086724.1540443138</v>
      </c>
      <c r="K54" s="1443">
        <f>'1-P&amp;L Modified'!BD23</f>
        <v>2109241.7325033383</v>
      </c>
      <c r="L54" s="1443">
        <f>'1-P&amp;L Modified'!BH23</f>
        <v>2120330.4915873273</v>
      </c>
      <c r="M54" s="1443">
        <f>'1-P&amp;L Modified'!BL23</f>
        <v>2137336.077983343</v>
      </c>
      <c r="N54" s="1443">
        <f>'1-P&amp;L Modified'!BP23</f>
        <v>2154478.0534799355</v>
      </c>
      <c r="O54" s="1417"/>
      <c r="P54" s="1415" t="s">
        <v>742</v>
      </c>
      <c r="Q54" s="1418">
        <f>Q53*12</f>
        <v>35.274675370154412</v>
      </c>
      <c r="R54" s="250"/>
    </row>
    <row r="55" spans="2:32" ht="17" thickBot="1" x14ac:dyDescent="0.25">
      <c r="B55" s="284"/>
      <c r="C55" s="1406" t="s">
        <v>766</v>
      </c>
      <c r="D55" s="1443">
        <f t="shared" ref="D55:N55" si="5">D53-D54</f>
        <v>3062921.8872189503</v>
      </c>
      <c r="E55" s="1443">
        <f t="shared" si="5"/>
        <v>3168424.6399220228</v>
      </c>
      <c r="F55" s="1443">
        <f t="shared" si="5"/>
        <v>3431340.2303069057</v>
      </c>
      <c r="G55" s="1443">
        <f t="shared" si="5"/>
        <v>3653971.6358303474</v>
      </c>
      <c r="H55" s="1443">
        <f t="shared" si="5"/>
        <v>4441471.5167675205</v>
      </c>
      <c r="I55" s="1443">
        <f t="shared" si="5"/>
        <v>4664582.4355200278</v>
      </c>
      <c r="J55" s="1443">
        <f t="shared" si="5"/>
        <v>4710739.030470049</v>
      </c>
      <c r="K55" s="1443">
        <f t="shared" si="5"/>
        <v>4761572.024142459</v>
      </c>
      <c r="L55" s="1443">
        <f t="shared" si="5"/>
        <v>4786604.6812453102</v>
      </c>
      <c r="M55" s="1443">
        <f t="shared" si="5"/>
        <v>4824994.4604676766</v>
      </c>
      <c r="N55" s="1443">
        <f t="shared" si="5"/>
        <v>4863692.1354213357</v>
      </c>
      <c r="O55" s="1417"/>
      <c r="P55" s="1415" t="s">
        <v>744</v>
      </c>
      <c r="Q55" s="1457">
        <f>(SUM(E82:N82)-SUM(E79:G79))/SUM(E79:G79)</f>
        <v>4.3757303453837713</v>
      </c>
      <c r="R55" s="1421">
        <f>N84/SUM(E79:G79)</f>
        <v>4.3757303453837721</v>
      </c>
    </row>
    <row r="56" spans="2:32" x14ac:dyDescent="0.2">
      <c r="B56" s="284"/>
      <c r="P56" s="1415" t="s">
        <v>746</v>
      </c>
      <c r="Q56" s="1422">
        <f>Q55/COUNT(E51:N51)</f>
        <v>0.43757303453837715</v>
      </c>
      <c r="R56" s="250"/>
      <c r="W56" s="205"/>
      <c r="X56" s="205"/>
      <c r="Y56" s="205"/>
      <c r="Z56" s="205"/>
      <c r="AA56" s="205"/>
      <c r="AB56" s="205"/>
      <c r="AC56" s="205"/>
      <c r="AD56" s="205"/>
      <c r="AE56" s="205"/>
      <c r="AF56" s="205"/>
    </row>
    <row r="57" spans="2:32" x14ac:dyDescent="0.2">
      <c r="B57" s="284"/>
      <c r="C57" s="567"/>
      <c r="D57" s="567"/>
      <c r="E57" s="567"/>
      <c r="F57" s="567"/>
      <c r="G57" s="1423"/>
      <c r="H57" s="567"/>
      <c r="I57" s="567"/>
      <c r="J57" s="567"/>
      <c r="K57" s="567"/>
      <c r="L57" s="567"/>
      <c r="M57" s="567"/>
      <c r="P57" s="1415" t="s">
        <v>747</v>
      </c>
      <c r="Q57" s="1422">
        <f>N82/SUM(E79:G79)</f>
        <v>0.7380266363534953</v>
      </c>
      <c r="R57" s="250"/>
    </row>
    <row r="58" spans="2:32" x14ac:dyDescent="0.2">
      <c r="B58" s="284"/>
      <c r="C58" s="567"/>
      <c r="D58" s="567"/>
      <c r="E58" s="567"/>
      <c r="F58" s="567"/>
      <c r="G58" s="567"/>
      <c r="H58" s="567"/>
      <c r="I58" s="567"/>
      <c r="J58" s="567"/>
      <c r="K58" s="567"/>
      <c r="O58" s="567"/>
      <c r="P58" s="1415" t="s">
        <v>748</v>
      </c>
      <c r="Q58" s="1425">
        <f>NPV(Q52,E82:N82)-SUM(E79:G79)</f>
        <v>5053692.2116939146</v>
      </c>
      <c r="R58" s="250"/>
    </row>
    <row r="59" spans="2:32" ht="17" thickBot="1" x14ac:dyDescent="0.25">
      <c r="B59" s="284"/>
      <c r="C59" s="1410" t="s">
        <v>749</v>
      </c>
      <c r="D59" s="567"/>
      <c r="E59" s="1426"/>
      <c r="F59" s="1427"/>
      <c r="G59" s="1427"/>
      <c r="H59" s="1427"/>
      <c r="I59" s="1427"/>
      <c r="J59" s="1427"/>
      <c r="K59" s="1427"/>
      <c r="O59" s="1409"/>
      <c r="P59" s="1428" t="s">
        <v>269</v>
      </c>
      <c r="Q59" s="1429">
        <f>IRR(E83:N83)</f>
        <v>0.56069018336017429</v>
      </c>
      <c r="R59" s="250"/>
    </row>
    <row r="60" spans="2:32" x14ac:dyDescent="0.2">
      <c r="B60" s="284"/>
      <c r="C60" s="567" t="s">
        <v>736</v>
      </c>
      <c r="D60" s="1414">
        <v>2025</v>
      </c>
      <c r="E60" s="1414">
        <v>2026</v>
      </c>
      <c r="F60" s="1414">
        <v>2027</v>
      </c>
      <c r="G60" s="1414">
        <v>2028</v>
      </c>
      <c r="H60" s="1414">
        <v>2029</v>
      </c>
      <c r="I60" s="1414">
        <v>2030</v>
      </c>
      <c r="J60" s="1414">
        <v>2031</v>
      </c>
      <c r="K60" s="1414">
        <v>2032</v>
      </c>
      <c r="L60" s="1414">
        <v>2033</v>
      </c>
      <c r="M60" s="1414">
        <v>2034</v>
      </c>
      <c r="N60" s="1414">
        <v>2035</v>
      </c>
      <c r="O60" s="1406"/>
      <c r="R60" s="250"/>
    </row>
    <row r="61" spans="2:32" x14ac:dyDescent="0.2">
      <c r="B61" s="284"/>
      <c r="C61" s="567" t="s">
        <v>767</v>
      </c>
      <c r="E61" s="567">
        <v>365</v>
      </c>
      <c r="F61" s="567">
        <v>365</v>
      </c>
      <c r="G61" s="567">
        <v>365</v>
      </c>
      <c r="H61" s="567">
        <v>366</v>
      </c>
      <c r="I61" s="567">
        <v>365</v>
      </c>
      <c r="J61" s="567">
        <v>365</v>
      </c>
      <c r="K61" s="567">
        <v>365</v>
      </c>
      <c r="L61" s="567">
        <v>366</v>
      </c>
      <c r="M61" s="567">
        <v>365</v>
      </c>
      <c r="N61" s="567">
        <v>365</v>
      </c>
      <c r="O61" s="567"/>
      <c r="R61" s="250"/>
    </row>
    <row r="62" spans="2:32" x14ac:dyDescent="0.2">
      <c r="B62" s="284"/>
      <c r="C62" s="567" t="s">
        <v>768</v>
      </c>
      <c r="D62" s="225">
        <f>' P&amp;L Normal Situation'!AB18</f>
        <v>4654795.4913258404</v>
      </c>
      <c r="E62" s="1443">
        <f>' P&amp;L Normal Situation'!AF18</f>
        <v>4700884.5938045206</v>
      </c>
      <c r="F62" s="1443">
        <f>' P&amp;L Normal Situation'!AJ18</f>
        <v>4747413.5716052325</v>
      </c>
      <c r="G62" s="1443">
        <f>' P&amp;L Normal Situation'!AN18</f>
        <v>4807609.171181934</v>
      </c>
      <c r="H62" s="1443">
        <f>' P&amp;L Normal Situation'!AR18</f>
        <v>4841932.1224971619</v>
      </c>
      <c r="I62" s="1443">
        <f>' P&amp;L Normal Situation'!AV18</f>
        <v>4889931.9883681554</v>
      </c>
      <c r="J62" s="1443">
        <f>' P&amp;L Normal Situation'!AZ18</f>
        <v>4929150.4787066979</v>
      </c>
      <c r="K62" s="1443">
        <f>' P&amp;L Normal Situation'!BD18</f>
        <v>4982335.4932665201</v>
      </c>
      <c r="L62" s="1443">
        <f>' P&amp;L Normal Situation'!BH18</f>
        <v>5008533.6087033842</v>
      </c>
      <c r="M62" s="1443">
        <f>' P&amp;L Normal Situation'!BL18</f>
        <v>5048703.3140102159</v>
      </c>
      <c r="N62" s="1443">
        <f>' P&amp;L Normal Situation'!BP18</f>
        <v>5089195.1905053649</v>
      </c>
      <c r="O62" s="1417"/>
      <c r="R62" s="250"/>
    </row>
    <row r="63" spans="2:32" x14ac:dyDescent="0.2">
      <c r="B63" s="284"/>
      <c r="C63" s="567" t="s">
        <v>769</v>
      </c>
      <c r="D63" s="225">
        <f>' P&amp;L Normal Situation'!AB24</f>
        <v>1591873.6041068903</v>
      </c>
      <c r="E63" s="1443">
        <f>' P&amp;L Normal Situation'!AF24</f>
        <v>1607635.4191661144</v>
      </c>
      <c r="F63" s="1443">
        <f>' P&amp;L Normal Situation'!AJ24</f>
        <v>1623547.6653056182</v>
      </c>
      <c r="G63" s="1443">
        <f>' P&amp;L Normal Situation'!AN24</f>
        <v>1644133.7009817515</v>
      </c>
      <c r="H63" s="1443">
        <f>' P&amp;L Normal Situation'!AR24</f>
        <v>1655871.6603218718</v>
      </c>
      <c r="I63" s="1443">
        <f>' P&amp;L Normal Situation'!AV24</f>
        <v>1672286.9291823606</v>
      </c>
      <c r="J63" s="1443">
        <f>' P&amp;L Normal Situation'!AZ24</f>
        <v>1685699.0929775664</v>
      </c>
      <c r="K63" s="1443">
        <f>' P&amp;L Normal Situation'!BD24</f>
        <v>1703887.6086641506</v>
      </c>
      <c r="L63" s="1443">
        <f>' P&amp;L Normal Situation'!BH24</f>
        <v>1712846.9901276336</v>
      </c>
      <c r="M63" s="1443">
        <f>' P&amp;L Normal Situation'!BL24</f>
        <v>1726584.4558620271</v>
      </c>
      <c r="N63" s="1443">
        <f>' P&amp;L Normal Situation'!BP24</f>
        <v>1740432.0995433661</v>
      </c>
      <c r="O63" s="1417"/>
      <c r="R63" s="250"/>
    </row>
    <row r="64" spans="2:32" x14ac:dyDescent="0.2">
      <c r="B64" s="284"/>
      <c r="C64" s="567" t="s">
        <v>770</v>
      </c>
      <c r="D64" s="1443">
        <f t="shared" ref="D64:N64" si="6">D62-D63</f>
        <v>3062921.8872189503</v>
      </c>
      <c r="E64" s="1443">
        <f t="shared" si="6"/>
        <v>3093249.1746384064</v>
      </c>
      <c r="F64" s="1443">
        <f>F62-F63</f>
        <v>3123865.9062996143</v>
      </c>
      <c r="G64" s="1443">
        <f t="shared" si="6"/>
        <v>3163475.4702001824</v>
      </c>
      <c r="H64" s="1443">
        <f t="shared" si="6"/>
        <v>3186060.4621752901</v>
      </c>
      <c r="I64" s="1443">
        <f t="shared" si="6"/>
        <v>3217645.0591857946</v>
      </c>
      <c r="J64" s="1443">
        <f t="shared" si="6"/>
        <v>3243451.3857291313</v>
      </c>
      <c r="K64" s="1443">
        <f t="shared" si="6"/>
        <v>3278447.8846023697</v>
      </c>
      <c r="L64" s="1443">
        <f t="shared" si="6"/>
        <v>3295686.6185757509</v>
      </c>
      <c r="M64" s="1443">
        <f t="shared" si="6"/>
        <v>3322118.8581481888</v>
      </c>
      <c r="N64" s="1443">
        <f t="shared" si="6"/>
        <v>3348763.0909619988</v>
      </c>
      <c r="O64" s="1417"/>
      <c r="R64" s="250"/>
    </row>
    <row r="65" spans="2:22" x14ac:dyDescent="0.2">
      <c r="B65" s="284"/>
      <c r="C65" s="567"/>
      <c r="D65" s="567"/>
      <c r="E65" s="567"/>
      <c r="F65" s="567"/>
      <c r="G65" s="567"/>
      <c r="H65" s="567"/>
      <c r="I65" s="567"/>
      <c r="J65" s="567"/>
      <c r="K65" s="567"/>
      <c r="L65" s="567"/>
      <c r="M65" s="567"/>
      <c r="Q65" s="1203"/>
      <c r="R65" s="1433"/>
    </row>
    <row r="66" spans="2:22" x14ac:dyDescent="0.2">
      <c r="B66" s="284"/>
      <c r="C66" s="567"/>
      <c r="D66" s="567"/>
      <c r="E66" s="1434"/>
      <c r="F66" s="1434"/>
      <c r="G66" s="1434"/>
      <c r="H66" s="1434"/>
      <c r="I66" s="1434"/>
      <c r="J66" s="1434"/>
      <c r="K66" s="567"/>
      <c r="L66" s="567"/>
      <c r="M66" s="567"/>
      <c r="Q66" s="1408"/>
      <c r="R66" s="1435"/>
    </row>
    <row r="67" spans="2:22" x14ac:dyDescent="0.2">
      <c r="B67" s="284"/>
      <c r="C67" s="567"/>
      <c r="D67" s="567"/>
      <c r="E67" s="567"/>
      <c r="F67" s="567"/>
      <c r="G67" s="567"/>
      <c r="H67" s="567"/>
      <c r="I67" s="567"/>
      <c r="J67" s="567"/>
      <c r="K67" s="567"/>
      <c r="M67" s="1436"/>
      <c r="Q67" s="1437"/>
      <c r="R67" s="1438"/>
    </row>
    <row r="68" spans="2:22" ht="17" thickBot="1" x14ac:dyDescent="0.25">
      <c r="B68" s="284"/>
      <c r="C68" s="1410" t="s">
        <v>753</v>
      </c>
      <c r="D68" s="1411"/>
      <c r="E68" s="1411"/>
      <c r="F68" s="1411"/>
      <c r="G68" s="1411"/>
      <c r="H68" s="1411"/>
      <c r="I68" s="1411"/>
      <c r="J68" s="1411"/>
      <c r="K68" s="1411"/>
      <c r="L68" s="1412"/>
      <c r="M68" s="1458"/>
      <c r="N68" s="1412"/>
      <c r="Q68" s="1437"/>
      <c r="R68" s="1438"/>
    </row>
    <row r="69" spans="2:22" x14ac:dyDescent="0.2">
      <c r="B69" s="284"/>
      <c r="C69" s="567" t="s">
        <v>736</v>
      </c>
      <c r="D69" s="1414">
        <v>2025</v>
      </c>
      <c r="E69" s="1414">
        <v>2026</v>
      </c>
      <c r="F69" s="1414">
        <v>2027</v>
      </c>
      <c r="G69" s="1414">
        <v>2028</v>
      </c>
      <c r="H69" s="1414">
        <v>2029</v>
      </c>
      <c r="I69" s="1414">
        <v>2030</v>
      </c>
      <c r="J69" s="1414">
        <v>2031</v>
      </c>
      <c r="K69" s="1414">
        <v>2032</v>
      </c>
      <c r="L69" s="1414">
        <v>2033</v>
      </c>
      <c r="M69" s="1414">
        <v>2034</v>
      </c>
      <c r="N69" s="1414">
        <v>2035</v>
      </c>
      <c r="O69" s="1406"/>
      <c r="Q69" s="1437"/>
      <c r="R69" s="1440"/>
    </row>
    <row r="70" spans="2:22" ht="17" customHeight="1" x14ac:dyDescent="0.2">
      <c r="B70" s="284"/>
      <c r="C70" s="567" t="s">
        <v>754</v>
      </c>
      <c r="E70" s="1441">
        <f>SUM('1-CAPEX'!P23:P24)</f>
        <v>305554.24413404503</v>
      </c>
      <c r="F70" s="1442">
        <f>'1-CAPEX'!P25</f>
        <v>143698.1311306243</v>
      </c>
      <c r="G70" s="1442">
        <f>SUM('1-CAPEX'!P26:P27)</f>
        <v>279275.92966157757</v>
      </c>
      <c r="H70" s="225"/>
      <c r="I70" s="225"/>
      <c r="J70" s="225"/>
      <c r="K70" s="1443"/>
      <c r="L70" s="1443"/>
      <c r="M70" s="1443"/>
      <c r="N70" s="1443"/>
      <c r="R70" s="250"/>
    </row>
    <row r="71" spans="2:22" x14ac:dyDescent="0.2">
      <c r="B71" s="284"/>
      <c r="C71" s="567" t="s">
        <v>755</v>
      </c>
      <c r="E71" s="1441">
        <f>SUM('1-CAPEX'!Q23:Q24)</f>
        <v>82972.144074429118</v>
      </c>
      <c r="F71" s="1442">
        <f>'1-CAPEX'!Q25</f>
        <v>42922.844279674267</v>
      </c>
      <c r="G71" s="1442">
        <f>SUM('1-CAPEX'!Q26:Q27)</f>
        <v>83411.015986195911</v>
      </c>
      <c r="H71" s="1442"/>
      <c r="I71" s="1443"/>
      <c r="J71" s="1443"/>
      <c r="K71" s="1443"/>
      <c r="L71" s="1443"/>
      <c r="M71" s="1443"/>
      <c r="N71" s="1443"/>
      <c r="R71" s="250"/>
    </row>
    <row r="72" spans="2:22" x14ac:dyDescent="0.2">
      <c r="B72" s="284"/>
      <c r="C72" s="567" t="s">
        <v>483</v>
      </c>
      <c r="E72" s="1441">
        <f>SUM('1-CAPEX'!R23:R24)</f>
        <v>166844.5983669993</v>
      </c>
      <c r="F72" s="1442">
        <f>'1-CAPEX'!R25</f>
        <v>73167.898681708553</v>
      </c>
      <c r="G72" s="1442">
        <f>SUM('1-CAPEX'!R26:R27)</f>
        <v>142190.66332650528</v>
      </c>
      <c r="H72" s="1442"/>
      <c r="I72" s="1443"/>
      <c r="J72" s="1443"/>
      <c r="K72" s="1443"/>
      <c r="L72" s="1443"/>
      <c r="M72" s="1443"/>
      <c r="N72" s="1443"/>
      <c r="R72" s="250"/>
    </row>
    <row r="73" spans="2:22" x14ac:dyDescent="0.2">
      <c r="B73" s="284"/>
      <c r="C73" s="1424" t="s">
        <v>392</v>
      </c>
      <c r="E73" s="1441">
        <f>SUM('1-CAPEX'!T23:T24)</f>
        <v>55537.098657547343</v>
      </c>
      <c r="F73" s="1442">
        <f>'1-CAPEX'!T25</f>
        <v>25978.887409200714</v>
      </c>
      <c r="G73" s="1442">
        <f>SUM('1-CAPEX'!T26:T27)</f>
        <v>50487.76089742787</v>
      </c>
      <c r="H73" s="225"/>
      <c r="I73" s="225"/>
      <c r="J73" s="225"/>
      <c r="K73" s="225"/>
      <c r="L73" s="225"/>
      <c r="M73" s="225"/>
      <c r="N73" s="1442"/>
      <c r="R73" s="250"/>
    </row>
    <row r="74" spans="2:22" x14ac:dyDescent="0.2">
      <c r="B74" s="284"/>
      <c r="C74" s="1424" t="s">
        <v>756</v>
      </c>
      <c r="E74" s="1441">
        <f>SUM('1-CAPEX'!U23:U24)</f>
        <v>45833.136620106758</v>
      </c>
      <c r="F74" s="1442">
        <f>'1-CAPEX'!U25</f>
        <v>21554.719669593644</v>
      </c>
      <c r="G74" s="1442">
        <f>SUM('1-CAPEX'!U26:U27)</f>
        <v>41891.389449236631</v>
      </c>
      <c r="H74" s="1442"/>
      <c r="I74" s="1443"/>
      <c r="J74" s="1443"/>
      <c r="K74" s="1443"/>
      <c r="L74" s="1443"/>
      <c r="M74" s="1443"/>
      <c r="N74" s="1443"/>
      <c r="R74" s="250"/>
    </row>
    <row r="75" spans="2:22" x14ac:dyDescent="0.2">
      <c r="B75" s="284"/>
      <c r="C75" s="1424" t="s">
        <v>757</v>
      </c>
      <c r="E75" s="1441">
        <f>SUM('1-CAPEX'!V23:V24)</f>
        <v>25026.689755049894</v>
      </c>
      <c r="F75" s="1442">
        <f>'1-CAPEX'!V25</f>
        <v>10975.184802256283</v>
      </c>
      <c r="G75" s="1442">
        <f>SUM('1-CAPEX'!V26:V27)</f>
        <v>21328.599498975789</v>
      </c>
      <c r="H75" s="1442"/>
      <c r="I75" s="1443"/>
      <c r="J75" s="1443"/>
      <c r="K75" s="1443"/>
      <c r="L75" s="1443"/>
      <c r="M75" s="1443"/>
      <c r="N75" s="1443"/>
      <c r="R75" s="250"/>
    </row>
    <row r="76" spans="2:22" x14ac:dyDescent="0.2">
      <c r="B76" s="284"/>
      <c r="C76" s="1424" t="s">
        <v>395</v>
      </c>
      <c r="E76" s="1441">
        <f>SUM('1-CAPEX'!W23:W24)</f>
        <v>93744.95642098019</v>
      </c>
      <c r="F76" s="1442">
        <f>'1-CAPEX'!W25</f>
        <v>43851.582580108523</v>
      </c>
      <c r="G76" s="1442">
        <f>SUM('1-CAPEX'!W26:W27)</f>
        <v>85221.825762031323</v>
      </c>
      <c r="H76" s="1442"/>
      <c r="I76" s="1443"/>
      <c r="J76" s="1443"/>
      <c r="K76" s="1443"/>
      <c r="L76" s="1443"/>
      <c r="M76" s="1443"/>
      <c r="N76" s="1443"/>
      <c r="R76" s="250"/>
    </row>
    <row r="77" spans="2:22" x14ac:dyDescent="0.2">
      <c r="B77" s="284"/>
      <c r="C77" s="1424" t="s">
        <v>758</v>
      </c>
      <c r="E77" s="1441">
        <f>SUM('1-CAPEX'!X23:X24)</f>
        <v>33322.259194528408</v>
      </c>
      <c r="F77" s="1442">
        <f>'1-CAPEX'!X25</f>
        <v>15587.332445520426</v>
      </c>
      <c r="G77" s="1442">
        <f>SUM('1-CAPEX'!X26:X27)</f>
        <v>30292.656538456722</v>
      </c>
      <c r="H77" s="1442"/>
      <c r="I77" s="1443"/>
      <c r="J77" s="1443"/>
      <c r="K77" s="1443"/>
      <c r="L77" s="1443"/>
      <c r="M77" s="1443"/>
      <c r="N77" s="1443"/>
      <c r="R77" s="250"/>
    </row>
    <row r="78" spans="2:22" x14ac:dyDescent="0.2">
      <c r="B78" s="284"/>
      <c r="C78" s="1465" t="s">
        <v>759</v>
      </c>
      <c r="D78" s="1446"/>
      <c r="E78" s="1448">
        <f>SUM('1-CAPEX'!Y23:Y24)</f>
        <v>55537.098657547343</v>
      </c>
      <c r="F78" s="1448">
        <f>'1-CAPEX'!Y25</f>
        <v>25978.887409200714</v>
      </c>
      <c r="G78" s="1448">
        <f>SUM('1-CAPEX'!Y26:Y27)</f>
        <v>50487.76089742787</v>
      </c>
      <c r="H78" s="1448"/>
      <c r="I78" s="1448"/>
      <c r="J78" s="1448"/>
      <c r="K78" s="1448"/>
      <c r="L78" s="1448"/>
      <c r="M78" s="1448"/>
      <c r="N78" s="1448"/>
      <c r="R78" s="250"/>
      <c r="V78" s="425"/>
    </row>
    <row r="79" spans="2:22" x14ac:dyDescent="0.2">
      <c r="B79" s="284"/>
      <c r="C79" s="1424" t="s">
        <v>760</v>
      </c>
      <c r="D79" s="1443">
        <f>SUM(D70:D77)</f>
        <v>0</v>
      </c>
      <c r="E79" s="1443">
        <f>SUM(E70:E78)</f>
        <v>864372.22588123346</v>
      </c>
      <c r="F79" s="1443">
        <f>SUM(F70:F78)</f>
        <v>403715.46840788744</v>
      </c>
      <c r="G79" s="1443">
        <f>SUM(G70:G78)</f>
        <v>784587.60201783502</v>
      </c>
      <c r="H79" s="1443">
        <v>0</v>
      </c>
      <c r="I79" s="1443">
        <v>0</v>
      </c>
      <c r="J79" s="1443">
        <v>0</v>
      </c>
      <c r="K79" s="1443">
        <v>0</v>
      </c>
      <c r="L79" s="1443">
        <v>0</v>
      </c>
      <c r="M79" s="1443">
        <v>0</v>
      </c>
      <c r="N79" s="1443">
        <v>0</v>
      </c>
      <c r="R79" s="250"/>
    </row>
    <row r="80" spans="2:22" x14ac:dyDescent="0.2">
      <c r="B80" s="284"/>
      <c r="C80" s="1424"/>
      <c r="D80" s="567"/>
      <c r="E80" s="1450"/>
      <c r="F80" s="1450"/>
      <c r="G80" s="1417"/>
      <c r="H80" s="1417"/>
      <c r="I80" s="1450"/>
      <c r="J80" s="1450"/>
      <c r="K80" s="567"/>
      <c r="L80" s="567"/>
      <c r="M80" s="567"/>
      <c r="R80" s="250"/>
    </row>
    <row r="81" spans="2:29" x14ac:dyDescent="0.2">
      <c r="B81" s="284"/>
      <c r="H81" s="225"/>
      <c r="R81" s="250"/>
    </row>
    <row r="82" spans="2:29" ht="17" thickBot="1" x14ac:dyDescent="0.25">
      <c r="B82" s="284"/>
      <c r="C82" s="1451" t="s">
        <v>771</v>
      </c>
      <c r="D82" s="1452">
        <f t="shared" ref="D82:N82" si="7">D55-D64</f>
        <v>0</v>
      </c>
      <c r="E82" s="1484">
        <f t="shared" si="7"/>
        <v>75175.465283616446</v>
      </c>
      <c r="F82" s="1484">
        <f t="shared" si="7"/>
        <v>307474.32400729135</v>
      </c>
      <c r="G82" s="1484">
        <f t="shared" si="7"/>
        <v>490496.16563016502</v>
      </c>
      <c r="H82" s="1484">
        <f t="shared" si="7"/>
        <v>1255411.0545922304</v>
      </c>
      <c r="I82" s="1484">
        <f t="shared" si="7"/>
        <v>1446937.3763342332</v>
      </c>
      <c r="J82" s="1484">
        <f t="shared" si="7"/>
        <v>1467287.6447409177</v>
      </c>
      <c r="K82" s="1484">
        <f t="shared" si="7"/>
        <v>1483124.1395400893</v>
      </c>
      <c r="L82" s="1484">
        <f t="shared" si="7"/>
        <v>1490918.0626695594</v>
      </c>
      <c r="M82" s="1484">
        <f t="shared" si="7"/>
        <v>1502875.6023194878</v>
      </c>
      <c r="N82" s="1484">
        <f t="shared" si="7"/>
        <v>1514929.0444593369</v>
      </c>
      <c r="O82" s="1450"/>
      <c r="R82" s="250"/>
    </row>
    <row r="83" spans="2:29" x14ac:dyDescent="0.2">
      <c r="B83" s="284"/>
      <c r="C83" s="567" t="s">
        <v>762</v>
      </c>
      <c r="D83" s="1453">
        <f t="shared" ref="D83:N83" si="8">D82-D79</f>
        <v>0</v>
      </c>
      <c r="E83" s="226">
        <f t="shared" si="8"/>
        <v>-789196.76059761702</v>
      </c>
      <c r="F83" s="226">
        <f>F82-F79</f>
        <v>-96241.144400596095</v>
      </c>
      <c r="G83" s="226">
        <f>G82-G79</f>
        <v>-294091.43638766999</v>
      </c>
      <c r="H83" s="226">
        <f>H82-H79</f>
        <v>1255411.0545922304</v>
      </c>
      <c r="I83" s="226">
        <f t="shared" si="8"/>
        <v>1446937.3763342332</v>
      </c>
      <c r="J83" s="226">
        <f t="shared" si="8"/>
        <v>1467287.6447409177</v>
      </c>
      <c r="K83" s="226">
        <f t="shared" si="8"/>
        <v>1483124.1395400893</v>
      </c>
      <c r="L83" s="226">
        <f t="shared" si="8"/>
        <v>1490918.0626695594</v>
      </c>
      <c r="M83" s="226">
        <f t="shared" si="8"/>
        <v>1502875.6023194878</v>
      </c>
      <c r="N83" s="226">
        <f t="shared" si="8"/>
        <v>1514929.0444593369</v>
      </c>
      <c r="O83" s="1417"/>
      <c r="R83" s="250"/>
    </row>
    <row r="84" spans="2:29" x14ac:dyDescent="0.2">
      <c r="B84" s="284"/>
      <c r="C84" s="567" t="s">
        <v>763</v>
      </c>
      <c r="D84" s="1450"/>
      <c r="E84" s="226">
        <f t="shared" ref="E84:N84" si="9">D84+E83</f>
        <v>-789196.76059761702</v>
      </c>
      <c r="F84" s="226">
        <f t="shared" si="9"/>
        <v>-885437.90499821305</v>
      </c>
      <c r="G84" s="226">
        <f t="shared" si="9"/>
        <v>-1179529.341385883</v>
      </c>
      <c r="H84" s="226">
        <f>G84+H83</f>
        <v>75881.713206347311</v>
      </c>
      <c r="I84" s="226">
        <f t="shared" si="9"/>
        <v>1522819.0895405805</v>
      </c>
      <c r="J84" s="226">
        <f t="shared" si="9"/>
        <v>2990106.734281498</v>
      </c>
      <c r="K84" s="226">
        <f t="shared" si="9"/>
        <v>4473230.8738215873</v>
      </c>
      <c r="L84" s="226">
        <f t="shared" si="9"/>
        <v>5964148.9364911467</v>
      </c>
      <c r="M84" s="226">
        <f t="shared" si="9"/>
        <v>7467024.538810635</v>
      </c>
      <c r="N84" s="226">
        <f t="shared" si="9"/>
        <v>8981953.5832699724</v>
      </c>
      <c r="O84" s="1417"/>
      <c r="R84" s="250"/>
    </row>
    <row r="85" spans="2:29" ht="17" thickBot="1" x14ac:dyDescent="0.25">
      <c r="B85" s="518"/>
      <c r="C85" s="611"/>
      <c r="D85" s="611"/>
      <c r="E85" s="611"/>
      <c r="F85" s="611"/>
      <c r="G85" s="611"/>
      <c r="H85" s="611"/>
      <c r="I85" s="611"/>
      <c r="J85" s="611"/>
      <c r="K85" s="611"/>
      <c r="L85" s="611"/>
      <c r="M85" s="611"/>
      <c r="N85" s="611"/>
      <c r="O85" s="611"/>
      <c r="P85" s="611"/>
      <c r="Q85" s="611"/>
      <c r="R85" s="575"/>
    </row>
    <row r="86" spans="2:29" ht="17" thickBot="1" x14ac:dyDescent="0.25"/>
    <row r="87" spans="2:29" ht="21" customHeight="1" x14ac:dyDescent="0.45">
      <c r="B87" s="2075" t="s">
        <v>772</v>
      </c>
      <c r="C87" s="2076"/>
      <c r="D87" s="2076"/>
      <c r="E87" s="2076"/>
      <c r="F87" s="2076"/>
      <c r="G87" s="2076"/>
      <c r="H87" s="2076"/>
      <c r="I87" s="2076"/>
      <c r="J87" s="2076"/>
      <c r="K87" s="2076"/>
      <c r="L87" s="2076"/>
      <c r="M87" s="2076"/>
      <c r="N87" s="2076"/>
      <c r="O87" s="2076"/>
      <c r="P87" s="2076"/>
      <c r="Q87" s="2076"/>
      <c r="R87" s="2077"/>
      <c r="S87" s="1399"/>
    </row>
    <row r="88" spans="2:29" ht="21" customHeight="1" thickBot="1" x14ac:dyDescent="0.5">
      <c r="B88" s="2081"/>
      <c r="C88" s="2082"/>
      <c r="D88" s="2082"/>
      <c r="E88" s="2082"/>
      <c r="F88" s="2082"/>
      <c r="G88" s="2082"/>
      <c r="H88" s="2082"/>
      <c r="I88" s="2082"/>
      <c r="J88" s="2082"/>
      <c r="K88" s="2082"/>
      <c r="L88" s="2082"/>
      <c r="M88" s="2082"/>
      <c r="N88" s="2082"/>
      <c r="O88" s="2082"/>
      <c r="P88" s="2082"/>
      <c r="Q88" s="2082"/>
      <c r="R88" s="2083"/>
      <c r="S88" s="1399"/>
    </row>
    <row r="89" spans="2:29" ht="18" customHeight="1" x14ac:dyDescent="0.4">
      <c r="B89" s="1400"/>
      <c r="C89" s="1401"/>
      <c r="D89" s="1402"/>
      <c r="E89" s="1402"/>
      <c r="F89" s="1402"/>
      <c r="G89" s="1402"/>
      <c r="H89" s="1402"/>
      <c r="I89" s="1402"/>
      <c r="J89" s="1402"/>
      <c r="K89" s="1402"/>
      <c r="L89" s="1402"/>
      <c r="M89" s="1402"/>
      <c r="N89" s="1403"/>
      <c r="O89" s="1402"/>
      <c r="P89" s="1402"/>
      <c r="Q89" s="1402"/>
      <c r="R89" s="1404"/>
    </row>
    <row r="90" spans="2:29" x14ac:dyDescent="0.2">
      <c r="B90" s="1405"/>
      <c r="C90" s="567"/>
      <c r="D90" s="567"/>
      <c r="E90" s="567"/>
      <c r="F90" s="567"/>
      <c r="G90" s="567"/>
      <c r="H90" s="567"/>
      <c r="I90" s="567"/>
      <c r="J90" s="567"/>
      <c r="N90" s="1406"/>
      <c r="O90" s="1407"/>
      <c r="R90" s="250"/>
    </row>
    <row r="91" spans="2:29" ht="19" x14ac:dyDescent="0.25">
      <c r="B91" s="1405"/>
      <c r="C91" s="567"/>
      <c r="D91" s="567"/>
      <c r="E91" s="567"/>
      <c r="F91" s="567"/>
      <c r="G91" s="567"/>
      <c r="H91" s="567"/>
      <c r="I91" s="567"/>
      <c r="J91" s="567"/>
      <c r="N91" s="1408"/>
      <c r="O91" s="1409"/>
      <c r="R91" s="250"/>
      <c r="AC91" s="513"/>
    </row>
    <row r="92" spans="2:29" ht="17" thickBot="1" x14ac:dyDescent="0.25">
      <c r="B92" s="284"/>
      <c r="C92" s="1410" t="s">
        <v>735</v>
      </c>
      <c r="D92" s="1411"/>
      <c r="E92" s="1412"/>
      <c r="F92" s="1413"/>
      <c r="G92" s="1413"/>
      <c r="H92" s="1413"/>
      <c r="I92" s="1413"/>
      <c r="J92" s="1413"/>
      <c r="K92" s="1413"/>
      <c r="L92" s="1412"/>
      <c r="M92" s="1412"/>
      <c r="N92" s="1412"/>
      <c r="O92" s="1049"/>
      <c r="R92" s="250"/>
      <c r="T92" s="567"/>
    </row>
    <row r="93" spans="2:29" x14ac:dyDescent="0.2">
      <c r="B93" s="284"/>
      <c r="C93" s="567" t="s">
        <v>736</v>
      </c>
      <c r="D93" s="1414">
        <v>2025</v>
      </c>
      <c r="E93" s="1414">
        <v>2026</v>
      </c>
      <c r="F93" s="1414">
        <v>2027</v>
      </c>
      <c r="G93" s="1414">
        <v>2028</v>
      </c>
      <c r="H93" s="1414">
        <v>2029</v>
      </c>
      <c r="I93" s="1414">
        <v>2030</v>
      </c>
      <c r="J93" s="1414">
        <v>2031</v>
      </c>
      <c r="K93" s="1414">
        <v>2032</v>
      </c>
      <c r="L93" s="1414">
        <v>2033</v>
      </c>
      <c r="M93" s="1414">
        <v>2034</v>
      </c>
      <c r="N93" s="1414">
        <v>2035</v>
      </c>
      <c r="O93" s="1406"/>
      <c r="P93" s="2073" t="s">
        <v>737</v>
      </c>
      <c r="Q93" s="2074"/>
      <c r="R93" s="250"/>
      <c r="AC93" s="514"/>
    </row>
    <row r="94" spans="2:29" x14ac:dyDescent="0.2">
      <c r="B94" s="284"/>
      <c r="C94" s="567"/>
      <c r="E94" s="567"/>
      <c r="F94" s="567"/>
      <c r="G94" s="567"/>
      <c r="H94" s="567"/>
      <c r="I94" s="567"/>
      <c r="J94" s="567"/>
      <c r="K94" s="567"/>
      <c r="L94" s="567"/>
      <c r="M94" s="567"/>
      <c r="N94" s="567"/>
      <c r="P94" s="1415" t="s">
        <v>738</v>
      </c>
      <c r="Q94" s="1416">
        <f>'PRELIMINARY ANALYSIS'!$F$42</f>
        <v>6.9499999999999992E-2</v>
      </c>
      <c r="R94" s="250"/>
      <c r="T94" s="567"/>
    </row>
    <row r="95" spans="2:29" x14ac:dyDescent="0.2">
      <c r="B95" s="284"/>
      <c r="C95" s="567" t="s">
        <v>739</v>
      </c>
      <c r="D95" s="225">
        <f>'1-P&amp;L Modified'!AB18</f>
        <v>1128000.2048934312</v>
      </c>
      <c r="E95" s="1443">
        <f>'1-P&amp;L Modified'!AF18</f>
        <v>2161878.650723781</v>
      </c>
      <c r="F95" s="1443">
        <f>'1-P&amp;L Modified'!AJ18</f>
        <v>2187636.7646404919</v>
      </c>
      <c r="G95" s="1443">
        <f>'1-P&amp;L Modified'!AN18</f>
        <v>2529748.7590051051</v>
      </c>
      <c r="H95" s="1443">
        <f>'1-P&amp;L Modified'!AR18</f>
        <v>2640965.303176885</v>
      </c>
      <c r="I95" s="1443">
        <f>'1-P&amp;L Modified'!AV18</f>
        <v>2722401.90966288</v>
      </c>
      <c r="J95" s="1443">
        <f>'1-P&amp;L Modified'!AZ18</f>
        <v>2781272.1327282269</v>
      </c>
      <c r="K95" s="1443">
        <f>'1-P&amp;L Modified'!BD18</f>
        <v>2842006.0470747761</v>
      </c>
      <c r="L95" s="225">
        <f>'1-P&amp;L Modified'!BH18</f>
        <v>2900344.8057462312</v>
      </c>
      <c r="M95" s="225">
        <f>'1-P&amp;L Modified'!BL18</f>
        <v>2961779.3820861289</v>
      </c>
      <c r="N95" s="1443">
        <f>'1-P&amp;L Modified'!BP18</f>
        <v>3024515.2544521354</v>
      </c>
      <c r="O95" s="1417"/>
      <c r="P95" s="1415" t="s">
        <v>740</v>
      </c>
      <c r="Q95" s="1418">
        <v>0</v>
      </c>
      <c r="R95" s="250"/>
      <c r="AC95" s="512"/>
    </row>
    <row r="96" spans="2:29" ht="17" thickBot="1" x14ac:dyDescent="0.25">
      <c r="B96" s="284"/>
      <c r="C96" s="567" t="s">
        <v>765</v>
      </c>
      <c r="D96" s="225">
        <f>'1-P&amp;L Modified'!AB24</f>
        <v>1131996.6626609897</v>
      </c>
      <c r="E96" s="225">
        <f>'1-P&amp;L Modified'!AF24</f>
        <v>1648299.1675653916</v>
      </c>
      <c r="F96" s="1443">
        <f>'1-P&amp;L Modified'!AJ24</f>
        <v>1663830.6648453944</v>
      </c>
      <c r="G96" s="1443">
        <f>'1-P&amp;L Modified'!AN24</f>
        <v>1917987.5441331537</v>
      </c>
      <c r="H96" s="1443">
        <f>'1-P&amp;L Modified'!AR24</f>
        <v>1997112.0939977607</v>
      </c>
      <c r="I96" s="1443">
        <f>'1-P&amp;L Modified'!AV24</f>
        <v>2056445.993880752</v>
      </c>
      <c r="J96" s="1443">
        <f>'1-P&amp;L Modified'!AZ24</f>
        <v>2100810.0659562806</v>
      </c>
      <c r="K96" s="1443">
        <f>'1-P&amp;L Modified'!BD24</f>
        <v>2146525.8139708177</v>
      </c>
      <c r="L96" s="225">
        <f>'1-P&amp;L Modified'!BH24</f>
        <v>2190750.5888964674</v>
      </c>
      <c r="M96" s="225">
        <f>'1-P&amp;L Modified'!BL24</f>
        <v>2237154.6695521837</v>
      </c>
      <c r="N96" s="1443">
        <f>'1-P&amp;L Modified'!BP24</f>
        <v>2284541.6730072433</v>
      </c>
      <c r="O96" s="1417"/>
      <c r="P96" s="1415" t="s">
        <v>742</v>
      </c>
      <c r="Q96" s="1418">
        <f>Q95*12</f>
        <v>0</v>
      </c>
      <c r="R96" s="250"/>
      <c r="T96" s="567"/>
    </row>
    <row r="97" spans="2:32" ht="17" thickBot="1" x14ac:dyDescent="0.25">
      <c r="B97" s="284"/>
      <c r="C97" s="1406" t="s">
        <v>766</v>
      </c>
      <c r="D97" s="1443">
        <f>D95-D96</f>
        <v>-3996.4577675585169</v>
      </c>
      <c r="E97" s="1443">
        <f t="shared" ref="E97:N97" si="10">E95-E96</f>
        <v>513579.48315838934</v>
      </c>
      <c r="F97" s="1443">
        <f t="shared" si="10"/>
        <v>523806.09979509749</v>
      </c>
      <c r="G97" s="1443">
        <f t="shared" si="10"/>
        <v>611761.21487195138</v>
      </c>
      <c r="H97" s="1443">
        <f t="shared" si="10"/>
        <v>643853.20917912433</v>
      </c>
      <c r="I97" s="1443">
        <f t="shared" si="10"/>
        <v>665955.915782128</v>
      </c>
      <c r="J97" s="1443">
        <f t="shared" si="10"/>
        <v>680462.06677194638</v>
      </c>
      <c r="K97" s="1443">
        <f t="shared" si="10"/>
        <v>695480.23310395842</v>
      </c>
      <c r="L97" s="1443">
        <f>L95-L96</f>
        <v>709594.21684976388</v>
      </c>
      <c r="M97" s="1443">
        <f t="shared" si="10"/>
        <v>724624.71253394522</v>
      </c>
      <c r="N97" s="1443">
        <f t="shared" si="10"/>
        <v>739973.5814448921</v>
      </c>
      <c r="O97" s="1417"/>
      <c r="P97" s="1415" t="s">
        <v>744</v>
      </c>
      <c r="Q97" s="1459">
        <f>(SUM(E124:N124)-SUM(E121:G121))/SUM(E121:G121)</f>
        <v>5.0884490134086739</v>
      </c>
      <c r="R97" s="1633">
        <f>N126/SUM(E121:G121)</f>
        <v>5.0884490134086731</v>
      </c>
      <c r="AC97" s="514"/>
    </row>
    <row r="98" spans="2:32" x14ac:dyDescent="0.2">
      <c r="B98" s="284"/>
      <c r="P98" s="1415" t="s">
        <v>746</v>
      </c>
      <c r="Q98" s="1422">
        <f>Q97/COUNT(E93:N93)</f>
        <v>0.50884490134086735</v>
      </c>
      <c r="R98" s="250"/>
      <c r="T98" s="567"/>
      <c r="V98" s="425"/>
      <c r="W98" s="205"/>
      <c r="X98" s="205"/>
      <c r="Y98" s="205"/>
      <c r="Z98" s="205"/>
      <c r="AA98" s="205"/>
      <c r="AB98" s="205"/>
      <c r="AD98" s="205"/>
      <c r="AE98" s="205"/>
      <c r="AF98" s="205"/>
    </row>
    <row r="99" spans="2:32" x14ac:dyDescent="0.2">
      <c r="B99" s="284"/>
      <c r="C99" s="567"/>
      <c r="D99" s="567"/>
      <c r="E99" s="567"/>
      <c r="F99" s="567"/>
      <c r="G99" s="1423"/>
      <c r="H99" s="567"/>
      <c r="I99" s="567"/>
      <c r="J99" s="567"/>
      <c r="K99" s="567"/>
      <c r="L99" s="567"/>
      <c r="M99" s="567"/>
      <c r="P99" s="1415" t="s">
        <v>747</v>
      </c>
      <c r="Q99" s="1422">
        <f>N124/SUM(E121:F121)</f>
        <v>0.86443299390362716</v>
      </c>
      <c r="R99" s="250"/>
      <c r="AC99" s="512"/>
    </row>
    <row r="100" spans="2:32" ht="17" thickBot="1" x14ac:dyDescent="0.25">
      <c r="B100" s="284"/>
      <c r="C100" s="567"/>
      <c r="D100" s="567"/>
      <c r="E100" s="567"/>
      <c r="F100" s="567"/>
      <c r="G100" s="567"/>
      <c r="H100" s="567"/>
      <c r="I100" s="567"/>
      <c r="J100" s="567"/>
      <c r="K100" s="567"/>
      <c r="O100" s="1507"/>
      <c r="P100" s="1428" t="s">
        <v>748</v>
      </c>
      <c r="Q100" s="1634">
        <f>NPV(Q94,E124:N124)-SUM(E121:G121)</f>
        <v>3436406.4448508872</v>
      </c>
      <c r="R100" s="250"/>
      <c r="T100" s="567"/>
    </row>
    <row r="101" spans="2:32" ht="17" thickBot="1" x14ac:dyDescent="0.25">
      <c r="B101" s="284"/>
      <c r="C101" s="1410" t="s">
        <v>749</v>
      </c>
      <c r="D101" s="1411"/>
      <c r="E101" s="1460"/>
      <c r="F101" s="1413"/>
      <c r="G101" s="1413"/>
      <c r="H101" s="1413"/>
      <c r="I101" s="1413"/>
      <c r="J101" s="1413"/>
      <c r="K101" s="1413"/>
      <c r="L101" s="1412"/>
      <c r="M101" s="1412"/>
      <c r="N101" s="1412"/>
      <c r="O101" s="1049"/>
      <c r="P101" s="1637"/>
      <c r="Q101" s="1636"/>
      <c r="R101" s="250"/>
      <c r="AC101" s="512"/>
    </row>
    <row r="102" spans="2:32" x14ac:dyDescent="0.2">
      <c r="B102" s="284"/>
      <c r="C102" s="567" t="s">
        <v>736</v>
      </c>
      <c r="D102" s="1414">
        <v>2025</v>
      </c>
      <c r="E102" s="1414">
        <v>2026</v>
      </c>
      <c r="F102" s="1414">
        <v>2027</v>
      </c>
      <c r="G102" s="1414">
        <v>2028</v>
      </c>
      <c r="H102" s="1414">
        <v>2029</v>
      </c>
      <c r="I102" s="1414">
        <v>2030</v>
      </c>
      <c r="J102" s="1414">
        <v>2031</v>
      </c>
      <c r="K102" s="1414">
        <v>2032</v>
      </c>
      <c r="L102" s="1414">
        <v>2033</v>
      </c>
      <c r="M102" s="1414">
        <v>2034</v>
      </c>
      <c r="N102" s="1414">
        <v>2035</v>
      </c>
      <c r="O102" s="1406"/>
      <c r="R102" s="250"/>
      <c r="T102" s="567"/>
    </row>
    <row r="103" spans="2:32" x14ac:dyDescent="0.2">
      <c r="B103" s="284"/>
      <c r="C103" s="567"/>
      <c r="E103" s="567"/>
      <c r="F103" s="567"/>
      <c r="G103" s="567"/>
      <c r="H103" s="567"/>
      <c r="I103" s="567"/>
      <c r="J103" s="567"/>
      <c r="K103" s="567"/>
      <c r="L103" s="567"/>
      <c r="M103" s="567"/>
      <c r="N103" s="567"/>
      <c r="O103" s="567"/>
      <c r="R103" s="250"/>
      <c r="AC103" s="514"/>
    </row>
    <row r="104" spans="2:32" x14ac:dyDescent="0.2">
      <c r="B104" s="284"/>
      <c r="C104" s="567" t="s">
        <v>768</v>
      </c>
      <c r="D104" s="225">
        <f>' P&amp;L Normal Situation'!AB19</f>
        <v>1128000.2048934312</v>
      </c>
      <c r="E104" s="1443">
        <f>' P&amp;L Normal Situation'!AF19</f>
        <v>1130105.2829046887</v>
      </c>
      <c r="F104" s="1443">
        <f>' P&amp;L Normal Situation'!AJ19</f>
        <v>1132210.3609159463</v>
      </c>
      <c r="G104" s="1443">
        <f>' P&amp;L Normal Situation'!AN19</f>
        <v>1137443.8187494893</v>
      </c>
      <c r="H104" s="1443">
        <f>' P&amp;L Normal Situation'!AR19</f>
        <v>1136449.7541330622</v>
      </c>
      <c r="I104" s="1443">
        <f>' P&amp;L Normal Situation'!AV19</f>
        <v>1138584.0693389205</v>
      </c>
      <c r="J104" s="1443">
        <f>' P&amp;L Normal Situation'!AZ19</f>
        <v>1138584.0693389205</v>
      </c>
      <c r="K104" s="1443">
        <f>' P&amp;L Normal Situation'!BD19</f>
        <v>1141712.4491612059</v>
      </c>
      <c r="L104" s="1443">
        <f>' P&amp;L Normal Situation'!BH19</f>
        <v>1138584.0693389205</v>
      </c>
      <c r="M104" s="1443">
        <f>' P&amp;L Normal Situation'!BL19</f>
        <v>1138584.0693389205</v>
      </c>
      <c r="N104" s="1443">
        <f>' P&amp;L Normal Situation'!BP19</f>
        <v>1138584.0693389205</v>
      </c>
      <c r="O104" s="1417"/>
      <c r="R104" s="250"/>
      <c r="T104" s="567"/>
    </row>
    <row r="105" spans="2:32" x14ac:dyDescent="0.2">
      <c r="B105" s="284"/>
      <c r="C105" s="567" t="s">
        <v>769</v>
      </c>
      <c r="D105" s="225">
        <f>' P&amp;L Normal Situation'!AB25</f>
        <v>1131996.6626609897</v>
      </c>
      <c r="E105" s="1443">
        <f>' P&amp;L Normal Situation'!AF25</f>
        <v>1134109.1988760072</v>
      </c>
      <c r="F105" s="1443">
        <f>' P&amp;L Normal Situation'!AJ25</f>
        <v>1136221.735091025</v>
      </c>
      <c r="G105" s="1443">
        <f>' P&amp;L Normal Situation'!AN25</f>
        <v>1141473.7348478045</v>
      </c>
      <c r="H105" s="1443">
        <f>' P&amp;L Normal Situation'!AR25</f>
        <v>1140476.148301824</v>
      </c>
      <c r="I105" s="1443">
        <f>' P&amp;L Normal Situation'!AV25</f>
        <v>1142618.0252976057</v>
      </c>
      <c r="J105" s="1443">
        <f>' P&amp;L Normal Situation'!AZ25</f>
        <v>1142618.0252976057</v>
      </c>
      <c r="K105" s="1443">
        <f>' P&amp;L Normal Situation'!BD25</f>
        <v>1145757.4888393679</v>
      </c>
      <c r="L105" s="1443">
        <f>' P&amp;L Normal Situation'!BH25</f>
        <v>1142618.0252976057</v>
      </c>
      <c r="M105" s="1443">
        <f>' P&amp;L Normal Situation'!BL25</f>
        <v>1142618.0252976057</v>
      </c>
      <c r="N105" s="1443">
        <f>' P&amp;L Normal Situation'!BP25</f>
        <v>1142618.0252976057</v>
      </c>
      <c r="O105" s="1417"/>
      <c r="R105" s="250"/>
      <c r="AC105" s="512"/>
    </row>
    <row r="106" spans="2:32" x14ac:dyDescent="0.2">
      <c r="B106" s="284"/>
      <c r="C106" s="567" t="s">
        <v>770</v>
      </c>
      <c r="D106" s="1443">
        <f t="shared" ref="D106:N106" si="11">D104-D105</f>
        <v>-3996.4577675585169</v>
      </c>
      <c r="E106" s="1443">
        <f t="shared" si="11"/>
        <v>-4003.9159713184927</v>
      </c>
      <c r="F106" s="1443">
        <f t="shared" si="11"/>
        <v>-4011.3741750787012</v>
      </c>
      <c r="G106" s="1443">
        <f t="shared" si="11"/>
        <v>-4029.9160983152688</v>
      </c>
      <c r="H106" s="1443">
        <f t="shared" si="11"/>
        <v>-4026.3941687617917</v>
      </c>
      <c r="I106" s="1443">
        <f t="shared" si="11"/>
        <v>-4033.9559586851392</v>
      </c>
      <c r="J106" s="1443">
        <f t="shared" si="11"/>
        <v>-4033.9559586851392</v>
      </c>
      <c r="K106" s="1443">
        <f t="shared" si="11"/>
        <v>-4045.0396781619638</v>
      </c>
      <c r="L106" s="1443">
        <f t="shared" si="11"/>
        <v>-4033.9559586851392</v>
      </c>
      <c r="M106" s="1443">
        <f t="shared" si="11"/>
        <v>-4033.9559586851392</v>
      </c>
      <c r="N106" s="1443">
        <f t="shared" si="11"/>
        <v>-4033.9559586851392</v>
      </c>
      <c r="O106" s="1417"/>
      <c r="R106" s="250"/>
      <c r="T106" s="567"/>
    </row>
    <row r="107" spans="2:32" x14ac:dyDescent="0.2">
      <c r="B107" s="284"/>
      <c r="C107" s="567"/>
      <c r="D107" s="567"/>
      <c r="E107" s="567"/>
      <c r="F107" s="567"/>
      <c r="G107" s="567"/>
      <c r="H107" s="567"/>
      <c r="I107" s="567"/>
      <c r="J107" s="567"/>
      <c r="K107" s="567"/>
      <c r="L107" s="567"/>
      <c r="M107" s="567"/>
      <c r="Q107" s="1203"/>
      <c r="R107" s="1433"/>
      <c r="AC107" s="512"/>
    </row>
    <row r="108" spans="2:32" x14ac:dyDescent="0.2">
      <c r="B108" s="284"/>
      <c r="C108" s="567"/>
      <c r="D108" s="567"/>
      <c r="E108" s="1434"/>
      <c r="F108" s="1434"/>
      <c r="G108" s="1434"/>
      <c r="H108" s="1434"/>
      <c r="I108" s="1434"/>
      <c r="J108" s="1434"/>
      <c r="K108" s="567"/>
      <c r="L108" s="567"/>
      <c r="M108" s="567"/>
      <c r="Q108" s="1408"/>
      <c r="R108" s="1435"/>
      <c r="T108" s="567"/>
    </row>
    <row r="109" spans="2:32" x14ac:dyDescent="0.2">
      <c r="B109" s="284"/>
      <c r="C109" s="567"/>
      <c r="D109" s="567"/>
      <c r="E109" s="567"/>
      <c r="F109" s="567"/>
      <c r="G109" s="567"/>
      <c r="H109" s="567"/>
      <c r="I109" s="567"/>
      <c r="J109" s="567"/>
      <c r="K109" s="567"/>
      <c r="M109" s="1436"/>
      <c r="Q109" s="1437"/>
      <c r="R109" s="1438"/>
      <c r="AC109" s="512"/>
    </row>
    <row r="110" spans="2:32" ht="17" thickBot="1" x14ac:dyDescent="0.25">
      <c r="B110" s="284"/>
      <c r="C110" s="1410" t="s">
        <v>753</v>
      </c>
      <c r="D110" s="1411"/>
      <c r="E110" s="1411"/>
      <c r="F110" s="1411"/>
      <c r="G110" s="1411"/>
      <c r="H110" s="1411"/>
      <c r="I110" s="1411"/>
      <c r="J110" s="1411"/>
      <c r="K110" s="1411"/>
      <c r="L110" s="1412"/>
      <c r="M110" s="1458"/>
      <c r="N110" s="1412"/>
      <c r="Q110" s="1437"/>
      <c r="R110" s="1438"/>
      <c r="T110" s="567"/>
    </row>
    <row r="111" spans="2:32" x14ac:dyDescent="0.2">
      <c r="B111" s="284"/>
      <c r="C111" s="567" t="s">
        <v>736</v>
      </c>
      <c r="D111" s="1414">
        <v>2025</v>
      </c>
      <c r="E111" s="1414">
        <v>2026</v>
      </c>
      <c r="F111" s="1414">
        <v>2027</v>
      </c>
      <c r="G111" s="1414">
        <v>2028</v>
      </c>
      <c r="H111" s="1414">
        <v>2029</v>
      </c>
      <c r="I111" s="1414">
        <v>2030</v>
      </c>
      <c r="J111" s="1414">
        <v>2031</v>
      </c>
      <c r="K111" s="1414">
        <v>2032</v>
      </c>
      <c r="L111" s="1414">
        <v>2033</v>
      </c>
      <c r="M111" s="1414">
        <v>2034</v>
      </c>
      <c r="N111" s="1414">
        <v>2035</v>
      </c>
      <c r="O111" s="1406"/>
      <c r="Q111" s="1437"/>
      <c r="R111" s="1440"/>
      <c r="AC111" s="512"/>
    </row>
    <row r="112" spans="2:32" x14ac:dyDescent="0.2">
      <c r="B112" s="284"/>
      <c r="C112" s="567" t="s">
        <v>754</v>
      </c>
      <c r="D112" s="225"/>
      <c r="E112" s="1441">
        <f>'1-CAPEX'!P29</f>
        <v>152793.47110965202</v>
      </c>
      <c r="F112" s="225">
        <f>SUM('1-CAPEX'!P28,('1-CAPEX'!P31*(2/9)))</f>
        <v>189009.78796370709</v>
      </c>
      <c r="G112" s="225">
        <f>'1-CAPEX'!P31*(7/9)</f>
        <v>47855.562432569131</v>
      </c>
      <c r="R112" s="250"/>
      <c r="T112" s="567"/>
    </row>
    <row r="113" spans="2:29" x14ac:dyDescent="0.2">
      <c r="B113" s="284"/>
      <c r="C113" s="567" t="s">
        <v>755</v>
      </c>
      <c r="D113" s="225"/>
      <c r="E113" s="1441">
        <f>'1-CAPEX'!Q29</f>
        <v>17894.601991683081</v>
      </c>
      <c r="F113" s="225">
        <f>SUM('1-CAPEX'!Q28,('1-CAPEX'!Q31*(2/9)))</f>
        <v>21493.098272611012</v>
      </c>
      <c r="G113" s="225">
        <f>'1-CAPEX'!Q31*(7/9)</f>
        <v>3354.0818563949997</v>
      </c>
      <c r="H113" s="1442"/>
      <c r="I113" s="1443"/>
      <c r="J113" s="1443"/>
      <c r="K113" s="1443"/>
      <c r="L113" s="1443"/>
      <c r="M113" s="1443"/>
      <c r="N113" s="1443"/>
      <c r="R113" s="250"/>
      <c r="AC113" s="512"/>
    </row>
    <row r="114" spans="2:29" x14ac:dyDescent="0.2">
      <c r="B114" s="284"/>
      <c r="C114" s="567" t="s">
        <v>483</v>
      </c>
      <c r="D114" s="225"/>
      <c r="E114" s="1441">
        <f>'1-CAPEX'!R29</f>
        <v>66743.60428977893</v>
      </c>
      <c r="F114" s="225">
        <f>SUM('1-CAPEX'!R28,('1-CAPEX'!R31*(2/9)))</f>
        <v>100962.25822676602</v>
      </c>
      <c r="G114" s="225">
        <f>'1-CAPEX'!R31*(7/9)</f>
        <v>85299.329187191805</v>
      </c>
      <c r="N114" s="225"/>
      <c r="R114" s="250"/>
    </row>
    <row r="115" spans="2:29" x14ac:dyDescent="0.2">
      <c r="B115" s="284"/>
      <c r="C115" s="1424" t="s">
        <v>392</v>
      </c>
      <c r="D115" s="225"/>
      <c r="E115" s="1441">
        <f>'1-CAPEX'!T29</f>
        <v>23743.167739111403</v>
      </c>
      <c r="F115" s="225">
        <f>SUM('1-CAPEX'!T28,('1-CAPEX'!T31*(2/9)))</f>
        <v>31146.514446308414</v>
      </c>
      <c r="G115" s="225">
        <f>'1-CAPEX'!T31*(7/9)</f>
        <v>13650.897347615595</v>
      </c>
      <c r="H115" s="225"/>
      <c r="I115" s="225"/>
      <c r="J115" s="225"/>
      <c r="K115" s="225"/>
      <c r="L115" s="225"/>
      <c r="M115" s="225"/>
      <c r="N115" s="1442"/>
      <c r="O115" s="1031"/>
      <c r="P115" s="1206"/>
      <c r="R115" s="250"/>
      <c r="AC115" s="512"/>
    </row>
    <row r="116" spans="2:29" x14ac:dyDescent="0.2">
      <c r="B116" s="284"/>
      <c r="C116" s="1424" t="s">
        <v>756</v>
      </c>
      <c r="D116" s="225"/>
      <c r="E116" s="1441">
        <f>'1-CAPEX'!U29</f>
        <v>22919.020666447803</v>
      </c>
      <c r="F116" s="225">
        <f>SUM('1-CAPEX'!U28,('1-CAPEX'!U31*(2/9)))</f>
        <v>28351.468194556066</v>
      </c>
      <c r="G116" s="225">
        <f>'1-CAPEX'!U31*(7/9)</f>
        <v>7178.3343648853697</v>
      </c>
      <c r="H116" s="1442"/>
      <c r="I116" s="1443"/>
      <c r="J116" s="1443"/>
      <c r="K116" s="1443"/>
      <c r="L116" s="1443"/>
      <c r="M116" s="1443"/>
      <c r="N116" s="1443"/>
      <c r="R116" s="250"/>
    </row>
    <row r="117" spans="2:29" x14ac:dyDescent="0.2">
      <c r="B117" s="284"/>
      <c r="C117" s="1424" t="s">
        <v>757</v>
      </c>
      <c r="D117" s="225"/>
      <c r="E117" s="1441">
        <f>'1-CAPEX'!V29</f>
        <v>10011.540643466838</v>
      </c>
      <c r="F117" s="225">
        <f>SUM('1-CAPEX'!V28,('1-CAPEX'!V31*(2/9)))</f>
        <v>15144.3387340149</v>
      </c>
      <c r="G117" s="225">
        <f>'1-CAPEX'!V31*(7/9)</f>
        <v>12794.899378078771</v>
      </c>
      <c r="H117" s="1442"/>
      <c r="I117" s="1443"/>
      <c r="J117" s="1443"/>
      <c r="K117" s="1443"/>
      <c r="L117" s="1443"/>
      <c r="M117" s="1443"/>
      <c r="N117" s="1443"/>
      <c r="R117" s="250"/>
      <c r="AC117" s="512"/>
    </row>
    <row r="118" spans="2:29" x14ac:dyDescent="0.2">
      <c r="B118" s="284"/>
      <c r="C118" s="1424" t="s">
        <v>395</v>
      </c>
      <c r="D118" s="225"/>
      <c r="E118" s="1441">
        <f>'1-CAPEX'!W29</f>
        <v>40077.754848587872</v>
      </c>
      <c r="F118" s="225">
        <f>SUM('1-CAPEX'!W28,('1-CAPEX'!W31*(2/9)))</f>
        <v>52574.381989935209</v>
      </c>
      <c r="G118" s="225">
        <f>'1-CAPEX'!W31*(7/9)</f>
        <v>23042.305195854693</v>
      </c>
      <c r="H118" s="1442"/>
      <c r="I118" s="1443"/>
      <c r="J118" s="1443"/>
      <c r="K118" s="1443"/>
      <c r="L118" s="1443"/>
      <c r="M118" s="1443"/>
      <c r="N118" s="1443"/>
      <c r="R118" s="250"/>
    </row>
    <row r="119" spans="2:29" x14ac:dyDescent="0.2">
      <c r="B119" s="284"/>
      <c r="C119" s="1424" t="s">
        <v>758</v>
      </c>
      <c r="D119" s="225"/>
      <c r="E119" s="1441">
        <f>'1-CAPEX'!X29</f>
        <v>14245.900643466839</v>
      </c>
      <c r="F119" s="225">
        <f>SUM('1-CAPEX'!X28,('1-CAPEX'!X31*(2/9)))</f>
        <v>18687.908667785046</v>
      </c>
      <c r="G119" s="225">
        <f>'1-CAPEX'!X31*(7/9)</f>
        <v>8190.5384085693568</v>
      </c>
      <c r="H119" s="1442"/>
      <c r="I119" s="1443"/>
      <c r="J119" s="1443"/>
      <c r="K119" s="1443"/>
      <c r="L119" s="1443"/>
      <c r="M119" s="1443"/>
      <c r="N119" s="1443"/>
      <c r="R119" s="250"/>
    </row>
    <row r="120" spans="2:29" x14ac:dyDescent="0.2">
      <c r="B120" s="284"/>
      <c r="C120" s="1465" t="s">
        <v>759</v>
      </c>
      <c r="D120" s="1461"/>
      <c r="E120" s="1448">
        <f>'1-CAPEX'!Y29</f>
        <v>23743.167739111403</v>
      </c>
      <c r="F120" s="291">
        <f>SUM('1-CAPEX'!Y28,('1-CAPEX'!Y31*(2/9)))</f>
        <v>31146.514446308414</v>
      </c>
      <c r="G120" s="291">
        <f>'1-CAPEX'!Y31*(7/9)</f>
        <v>13650.897347615595</v>
      </c>
      <c r="H120" s="1448"/>
      <c r="I120" s="1448"/>
      <c r="J120" s="1448"/>
      <c r="K120" s="1448"/>
      <c r="L120" s="1448"/>
      <c r="M120" s="1448"/>
      <c r="N120" s="1448"/>
      <c r="R120" s="250"/>
    </row>
    <row r="121" spans="2:29" x14ac:dyDescent="0.2">
      <c r="B121" s="284"/>
      <c r="C121" s="1424" t="s">
        <v>760</v>
      </c>
      <c r="D121" s="1443">
        <f>SUM(D112:D119)</f>
        <v>0</v>
      </c>
      <c r="E121" s="1443">
        <f>SUM(E112:E120)</f>
        <v>372172.22967130615</v>
      </c>
      <c r="F121" s="1443">
        <f>SUM(F112:F120)</f>
        <v>488516.27094199217</v>
      </c>
      <c r="G121" s="1443">
        <f>SUM(G112:G120)</f>
        <v>215016.84551877531</v>
      </c>
      <c r="H121" s="1443">
        <v>0</v>
      </c>
      <c r="I121" s="1443">
        <v>0</v>
      </c>
      <c r="J121" s="1443">
        <v>0</v>
      </c>
      <c r="K121" s="1443">
        <v>0</v>
      </c>
      <c r="L121" s="1443">
        <v>0</v>
      </c>
      <c r="M121" s="1443">
        <v>0</v>
      </c>
      <c r="N121" s="1443">
        <v>0</v>
      </c>
      <c r="R121" s="250"/>
    </row>
    <row r="122" spans="2:29" x14ac:dyDescent="0.2">
      <c r="B122" s="284"/>
      <c r="C122" s="1424"/>
      <c r="D122" s="567"/>
      <c r="E122" s="1450"/>
      <c r="F122" s="1450"/>
      <c r="G122" s="1417"/>
      <c r="H122" s="1417"/>
      <c r="I122" s="1450"/>
      <c r="J122" s="1450"/>
      <c r="K122" s="567"/>
      <c r="L122" s="567"/>
      <c r="M122" s="567"/>
      <c r="R122" s="250"/>
    </row>
    <row r="123" spans="2:29" x14ac:dyDescent="0.2">
      <c r="B123" s="284"/>
      <c r="R123" s="250"/>
    </row>
    <row r="124" spans="2:29" ht="17" thickBot="1" x14ac:dyDescent="0.25">
      <c r="B124" s="284"/>
      <c r="C124" s="1451" t="s">
        <v>771</v>
      </c>
      <c r="D124" s="1452">
        <f t="shared" ref="D124:N124" si="12">D97-D106</f>
        <v>0</v>
      </c>
      <c r="E124" s="1484">
        <f t="shared" si="12"/>
        <v>517583.39912970783</v>
      </c>
      <c r="F124" s="1484">
        <f t="shared" si="12"/>
        <v>527817.47397017619</v>
      </c>
      <c r="G124" s="1484">
        <f t="shared" si="12"/>
        <v>615791.13097026665</v>
      </c>
      <c r="H124" s="1484">
        <f t="shared" si="12"/>
        <v>647879.60334788612</v>
      </c>
      <c r="I124" s="1484">
        <f t="shared" si="12"/>
        <v>669989.87174081313</v>
      </c>
      <c r="J124" s="1484">
        <f t="shared" si="12"/>
        <v>684496.02273063152</v>
      </c>
      <c r="K124" s="1484">
        <f t="shared" si="12"/>
        <v>699525.27278212039</v>
      </c>
      <c r="L124" s="1484">
        <f t="shared" si="12"/>
        <v>713628.17280844902</v>
      </c>
      <c r="M124" s="1484">
        <f t="shared" si="12"/>
        <v>728658.66849263036</v>
      </c>
      <c r="N124" s="1484">
        <f t="shared" si="12"/>
        <v>744007.53740357724</v>
      </c>
      <c r="O124" s="1450"/>
      <c r="R124" s="250"/>
    </row>
    <row r="125" spans="2:29" x14ac:dyDescent="0.2">
      <c r="B125" s="284"/>
      <c r="C125" s="567" t="s">
        <v>762</v>
      </c>
      <c r="D125" s="1453">
        <f t="shared" ref="D125:N125" si="13">D124-D121</f>
        <v>0</v>
      </c>
      <c r="E125" s="226">
        <f>E124-E121</f>
        <v>145411.16945840168</v>
      </c>
      <c r="F125" s="226">
        <f t="shared" si="13"/>
        <v>39301.203028184013</v>
      </c>
      <c r="G125" s="226">
        <f t="shared" si="13"/>
        <v>400774.28545149136</v>
      </c>
      <c r="H125" s="226">
        <f t="shared" si="13"/>
        <v>647879.60334788612</v>
      </c>
      <c r="I125" s="226">
        <f>I124-I121</f>
        <v>669989.87174081313</v>
      </c>
      <c r="J125" s="226">
        <f t="shared" si="13"/>
        <v>684496.02273063152</v>
      </c>
      <c r="K125" s="226">
        <f t="shared" si="13"/>
        <v>699525.27278212039</v>
      </c>
      <c r="L125" s="226">
        <f t="shared" si="13"/>
        <v>713628.17280844902</v>
      </c>
      <c r="M125" s="226">
        <f t="shared" si="13"/>
        <v>728658.66849263036</v>
      </c>
      <c r="N125" s="226">
        <f t="shared" si="13"/>
        <v>744007.53740357724</v>
      </c>
      <c r="O125" s="226"/>
      <c r="R125" s="250"/>
    </row>
    <row r="126" spans="2:29" x14ac:dyDescent="0.2">
      <c r="B126" s="284"/>
      <c r="C126" s="567" t="s">
        <v>763</v>
      </c>
      <c r="E126" s="226">
        <f t="shared" ref="E126:N126" si="14">D126+E125</f>
        <v>145411.16945840168</v>
      </c>
      <c r="F126" s="226">
        <f t="shared" si="14"/>
        <v>184712.37248658569</v>
      </c>
      <c r="G126" s="226">
        <f>F126+G125</f>
        <v>585486.65793807711</v>
      </c>
      <c r="H126" s="226">
        <f t="shared" si="14"/>
        <v>1233366.2612859632</v>
      </c>
      <c r="I126" s="226">
        <f t="shared" si="14"/>
        <v>1903356.1330267764</v>
      </c>
      <c r="J126" s="226">
        <f t="shared" si="14"/>
        <v>2587852.1557574077</v>
      </c>
      <c r="K126" s="226">
        <f t="shared" si="14"/>
        <v>3287377.428539528</v>
      </c>
      <c r="L126" s="226">
        <f t="shared" si="14"/>
        <v>4001005.6013479773</v>
      </c>
      <c r="M126" s="226">
        <f t="shared" si="14"/>
        <v>4729664.2698406074</v>
      </c>
      <c r="N126" s="226">
        <f t="shared" si="14"/>
        <v>5473671.8072441844</v>
      </c>
      <c r="O126" s="226"/>
      <c r="R126" s="250"/>
    </row>
    <row r="127" spans="2:29" ht="17" thickBot="1" x14ac:dyDescent="0.25">
      <c r="B127" s="518"/>
      <c r="C127" s="611"/>
      <c r="D127" s="611"/>
      <c r="E127" s="611"/>
      <c r="F127" s="611"/>
      <c r="G127" s="611"/>
      <c r="H127" s="611"/>
      <c r="I127" s="611"/>
      <c r="J127" s="611"/>
      <c r="K127" s="611"/>
      <c r="L127" s="611"/>
      <c r="M127" s="611"/>
      <c r="N127" s="611"/>
      <c r="O127" s="611"/>
      <c r="P127" s="611"/>
      <c r="Q127" s="611"/>
      <c r="R127" s="575"/>
    </row>
    <row r="128" spans="2:29" ht="17" thickBot="1" x14ac:dyDescent="0.25">
      <c r="B128" s="1424"/>
      <c r="C128" s="567"/>
      <c r="D128" s="1450"/>
      <c r="E128" s="1450"/>
      <c r="F128" s="1417"/>
      <c r="G128" s="1417"/>
      <c r="H128" s="567"/>
      <c r="I128" s="567"/>
      <c r="J128" s="567"/>
      <c r="K128" s="567"/>
      <c r="L128" s="567"/>
    </row>
    <row r="129" spans="2:19" ht="22" customHeight="1" x14ac:dyDescent="0.45">
      <c r="B129" s="2075" t="s">
        <v>773</v>
      </c>
      <c r="C129" s="2076"/>
      <c r="D129" s="2076"/>
      <c r="E129" s="2076"/>
      <c r="F129" s="2076"/>
      <c r="G129" s="2076"/>
      <c r="H129" s="2076"/>
      <c r="I129" s="2076"/>
      <c r="J129" s="2076"/>
      <c r="K129" s="2076"/>
      <c r="L129" s="2076"/>
      <c r="M129" s="2076"/>
      <c r="N129" s="2076"/>
      <c r="O129" s="2076"/>
      <c r="P129" s="2076"/>
      <c r="Q129" s="2076"/>
      <c r="R129" s="2077"/>
      <c r="S129" s="1399"/>
    </row>
    <row r="130" spans="2:19" ht="20" customHeight="1" thickBot="1" x14ac:dyDescent="0.5">
      <c r="B130" s="2081"/>
      <c r="C130" s="2082"/>
      <c r="D130" s="2082"/>
      <c r="E130" s="2082"/>
      <c r="F130" s="2082"/>
      <c r="G130" s="2082"/>
      <c r="H130" s="2082"/>
      <c r="I130" s="2082"/>
      <c r="J130" s="2082"/>
      <c r="K130" s="2082"/>
      <c r="L130" s="2082"/>
      <c r="M130" s="2082"/>
      <c r="N130" s="2082"/>
      <c r="O130" s="2082"/>
      <c r="P130" s="2082"/>
      <c r="Q130" s="2082"/>
      <c r="R130" s="2083"/>
      <c r="S130" s="1399"/>
    </row>
    <row r="131" spans="2:19" ht="19" customHeight="1" x14ac:dyDescent="0.4">
      <c r="B131" s="1400"/>
      <c r="C131" s="1401"/>
      <c r="D131" s="1402"/>
      <c r="E131" s="1402"/>
      <c r="F131" s="1402"/>
      <c r="G131" s="1402"/>
      <c r="H131" s="1402"/>
      <c r="I131" s="1402"/>
      <c r="J131" s="1402"/>
      <c r="K131" s="1402"/>
      <c r="L131" s="1402"/>
      <c r="M131" s="1402"/>
      <c r="N131" s="1403"/>
      <c r="O131" s="1402"/>
      <c r="P131" s="1402"/>
      <c r="Q131" s="1402"/>
      <c r="R131" s="1404"/>
    </row>
    <row r="132" spans="2:19" x14ac:dyDescent="0.2">
      <c r="B132" s="1405"/>
      <c r="C132" s="567"/>
      <c r="D132" s="567"/>
      <c r="E132" s="567"/>
      <c r="F132" s="567"/>
      <c r="G132" s="567"/>
      <c r="H132" s="567"/>
      <c r="I132" s="567"/>
      <c r="J132" s="567"/>
      <c r="N132" s="1406"/>
      <c r="O132" s="1407"/>
      <c r="R132" s="250"/>
    </row>
    <row r="133" spans="2:19" x14ac:dyDescent="0.2">
      <c r="B133" s="1405"/>
      <c r="C133" s="567"/>
      <c r="D133" s="567"/>
      <c r="E133" s="567"/>
      <c r="F133" s="567"/>
      <c r="G133" s="567"/>
      <c r="H133" s="567"/>
      <c r="I133" s="567"/>
      <c r="J133" s="567"/>
      <c r="N133" s="1408"/>
      <c r="O133" s="1409"/>
      <c r="R133" s="250"/>
    </row>
    <row r="134" spans="2:19" ht="17" thickBot="1" x14ac:dyDescent="0.25">
      <c r="B134" s="284"/>
      <c r="C134" s="1410" t="s">
        <v>735</v>
      </c>
      <c r="D134" s="1411"/>
      <c r="E134" s="1412"/>
      <c r="F134" s="1413"/>
      <c r="G134" s="1413"/>
      <c r="H134" s="1413"/>
      <c r="I134" s="1413"/>
      <c r="J134" s="1413"/>
      <c r="K134" s="1413"/>
      <c r="L134" s="1412"/>
      <c r="M134" s="1412"/>
      <c r="N134" s="1412"/>
      <c r="O134" s="1049"/>
      <c r="R134" s="250"/>
    </row>
    <row r="135" spans="2:19" x14ac:dyDescent="0.2">
      <c r="B135" s="284"/>
      <c r="C135" s="567" t="s">
        <v>736</v>
      </c>
      <c r="D135" s="1414">
        <v>2025</v>
      </c>
      <c r="E135" s="1414">
        <v>2026</v>
      </c>
      <c r="F135" s="1414">
        <v>2027</v>
      </c>
      <c r="G135" s="1414">
        <v>2028</v>
      </c>
      <c r="H135" s="1414">
        <v>2029</v>
      </c>
      <c r="I135" s="1414">
        <v>2030</v>
      </c>
      <c r="J135" s="1414">
        <v>2031</v>
      </c>
      <c r="K135" s="1414">
        <v>2032</v>
      </c>
      <c r="L135" s="1414">
        <v>2033</v>
      </c>
      <c r="M135" s="1414">
        <v>2034</v>
      </c>
      <c r="N135" s="1414">
        <v>2035</v>
      </c>
      <c r="O135" s="1406"/>
      <c r="P135" s="2073" t="s">
        <v>737</v>
      </c>
      <c r="Q135" s="2074"/>
      <c r="R135" s="250"/>
    </row>
    <row r="136" spans="2:19" x14ac:dyDescent="0.2">
      <c r="B136" s="284"/>
      <c r="C136" s="567"/>
      <c r="E136" s="567"/>
      <c r="F136" s="567"/>
      <c r="G136" s="567"/>
      <c r="H136" s="567"/>
      <c r="I136" s="567"/>
      <c r="J136" s="567"/>
      <c r="K136" s="567"/>
      <c r="L136" s="567"/>
      <c r="M136" s="567"/>
      <c r="N136" s="567"/>
      <c r="P136" s="1415" t="s">
        <v>738</v>
      </c>
      <c r="Q136" s="1416">
        <f>'PRELIMINARY ANALYSIS'!$F$42</f>
        <v>6.9499999999999992E-2</v>
      </c>
      <c r="R136" s="250"/>
    </row>
    <row r="137" spans="2:19" x14ac:dyDescent="0.2">
      <c r="B137" s="284"/>
      <c r="C137" s="567" t="s">
        <v>739</v>
      </c>
      <c r="D137" s="225">
        <f>'1-P&amp;L Modified'!AB20</f>
        <v>231794.55051840216</v>
      </c>
      <c r="E137" s="1443">
        <f>'1-P&amp;L Modified'!AF20</f>
        <v>249822.74853661237</v>
      </c>
      <c r="F137" s="1443">
        <f>'1-P&amp;L Modified'!AJ20</f>
        <v>255716.29365807181</v>
      </c>
      <c r="G137" s="1443">
        <f>'1-P&amp;L Modified'!AN20</f>
        <v>247998.7205037105</v>
      </c>
      <c r="H137" s="1443">
        <f>'1-P&amp;L Modified'!AR20</f>
        <v>274536.94654301379</v>
      </c>
      <c r="I137" s="1443">
        <f>'1-P&amp;L Modified'!AV20</f>
        <v>286033.85050797102</v>
      </c>
      <c r="J137" s="1443">
        <f>'1-P&amp;L Modified'!AZ20</f>
        <v>286565.85868423403</v>
      </c>
      <c r="K137" s="1443">
        <f>'1-P&amp;L Modified'!BD20</f>
        <v>287353.50715298712</v>
      </c>
      <c r="L137" s="1443">
        <f>'1-P&amp;L Modified'!BH20</f>
        <v>286565.85868423403</v>
      </c>
      <c r="M137" s="1443">
        <f>'1-P&amp;L Modified'!BL20</f>
        <v>286565.85868423403</v>
      </c>
      <c r="N137" s="1443">
        <f>'1-P&amp;L Modified'!BP20</f>
        <v>286565.85868423403</v>
      </c>
      <c r="O137" s="1417"/>
      <c r="P137" s="1415" t="s">
        <v>740</v>
      </c>
      <c r="Q137" s="1418">
        <f>COUNT(F168:I168)+ABS(I168/J167)</f>
        <v>4.4525104153911697</v>
      </c>
      <c r="R137" s="250"/>
    </row>
    <row r="138" spans="2:19" ht="17" thickBot="1" x14ac:dyDescent="0.25">
      <c r="B138" s="284"/>
      <c r="C138" s="567" t="s">
        <v>765</v>
      </c>
      <c r="D138" s="225">
        <f>'1-P&amp;L Modified'!AB26</f>
        <v>124889.30523620808</v>
      </c>
      <c r="E138" s="225">
        <f>'1-P&amp;L Modified'!AF26</f>
        <v>92132.906744795502</v>
      </c>
      <c r="F138" s="1443">
        <f>'1-P&amp;L Modified'!AJ26</f>
        <v>94306.405540450971</v>
      </c>
      <c r="G138" s="1443">
        <f>'1-P&amp;L Modified'!AN26</f>
        <v>91460.217785764966</v>
      </c>
      <c r="H138" s="1443">
        <f>'1-P&amp;L Modified'!AR26</f>
        <v>101247.33252681147</v>
      </c>
      <c r="I138" s="1443">
        <f>'1-P&amp;L Modified'!AV26</f>
        <v>105487.31142009483</v>
      </c>
      <c r="J138" s="1443">
        <f>'1-P&amp;L Modified'!AZ26</f>
        <v>105683.51236647872</v>
      </c>
      <c r="K138" s="1443">
        <f>'1-P&amp;L Modified'!BD26</f>
        <v>105973.99168969646</v>
      </c>
      <c r="L138" s="1443">
        <f>'1-P&amp;L Modified'!BH26</f>
        <v>105683.51236647872</v>
      </c>
      <c r="M138" s="1443">
        <f>'1-P&amp;L Modified'!BL26</f>
        <v>105683.51236647872</v>
      </c>
      <c r="N138" s="1443">
        <f>'1-P&amp;L Modified'!BP26</f>
        <v>105683.51236647872</v>
      </c>
      <c r="O138" s="1417"/>
      <c r="P138" s="1415" t="s">
        <v>742</v>
      </c>
      <c r="Q138" s="1418">
        <f>Q137*12</f>
        <v>53.430124984694032</v>
      </c>
      <c r="R138" s="250"/>
    </row>
    <row r="139" spans="2:19" ht="17" thickBot="1" x14ac:dyDescent="0.25">
      <c r="B139" s="284"/>
      <c r="C139" s="1406" t="s">
        <v>766</v>
      </c>
      <c r="D139" s="1443">
        <f t="shared" ref="D139:N139" si="15">D137-D138</f>
        <v>106905.24528219408</v>
      </c>
      <c r="E139" s="1443">
        <f t="shared" si="15"/>
        <v>157689.84179181687</v>
      </c>
      <c r="F139" s="1443">
        <f t="shared" si="15"/>
        <v>161409.88811762084</v>
      </c>
      <c r="G139" s="1443">
        <f t="shared" si="15"/>
        <v>156538.50271794555</v>
      </c>
      <c r="H139" s="1443">
        <f t="shared" si="15"/>
        <v>173289.61401620234</v>
      </c>
      <c r="I139" s="1443">
        <f t="shared" si="15"/>
        <v>180546.53908787618</v>
      </c>
      <c r="J139" s="1443">
        <f t="shared" si="15"/>
        <v>180882.34631775529</v>
      </c>
      <c r="K139" s="1443">
        <f t="shared" si="15"/>
        <v>181379.51546329068</v>
      </c>
      <c r="L139" s="1443">
        <f t="shared" si="15"/>
        <v>180882.34631775529</v>
      </c>
      <c r="M139" s="1443">
        <f t="shared" si="15"/>
        <v>180882.34631775529</v>
      </c>
      <c r="N139" s="1443">
        <f t="shared" si="15"/>
        <v>180882.34631775529</v>
      </c>
      <c r="O139" s="1417"/>
      <c r="P139" s="1415" t="s">
        <v>744</v>
      </c>
      <c r="Q139" s="1422">
        <f>(SUM(F166:N166)-SUM(F163))/SUM(F163)</f>
        <v>1.2114733297502573</v>
      </c>
      <c r="R139" s="1633">
        <f>N168/F163</f>
        <v>1.2114733297502573</v>
      </c>
    </row>
    <row r="140" spans="2:19" x14ac:dyDescent="0.2">
      <c r="B140" s="284"/>
      <c r="P140" s="1415" t="s">
        <v>746</v>
      </c>
      <c r="Q140" s="1422">
        <f>Q139/COUNT(E135:N135)</f>
        <v>0.12114733297502574</v>
      </c>
      <c r="R140" s="250"/>
    </row>
    <row r="141" spans="2:19" x14ac:dyDescent="0.2">
      <c r="B141" s="284"/>
      <c r="C141" s="567"/>
      <c r="D141" s="567"/>
      <c r="E141" s="567"/>
      <c r="F141" s="567"/>
      <c r="G141" s="1423"/>
      <c r="H141" s="567"/>
      <c r="I141" s="567"/>
      <c r="J141" s="567"/>
      <c r="K141" s="567"/>
      <c r="L141" s="567"/>
      <c r="M141" s="567"/>
      <c r="P141" s="1415" t="s">
        <v>747</v>
      </c>
      <c r="Q141" s="1422">
        <f>N166/SUM(F163)</f>
        <v>0.26624385447725785</v>
      </c>
      <c r="R141" s="250"/>
    </row>
    <row r="142" spans="2:19" x14ac:dyDescent="0.2">
      <c r="B142" s="284"/>
      <c r="C142" s="567"/>
      <c r="D142" s="567"/>
      <c r="E142" s="567"/>
      <c r="F142" s="567"/>
      <c r="G142" s="567"/>
      <c r="H142" s="567"/>
      <c r="I142" s="567"/>
      <c r="J142" s="567"/>
      <c r="K142" s="567"/>
      <c r="O142" s="1406"/>
      <c r="P142" s="1415" t="s">
        <v>748</v>
      </c>
      <c r="Q142" s="1425">
        <f>NPV(Q136,F166:N166)-SUM(F163)</f>
        <v>157374.09104069887</v>
      </c>
      <c r="R142" s="250"/>
    </row>
    <row r="143" spans="2:19" ht="17" thickBot="1" x14ac:dyDescent="0.25">
      <c r="B143" s="284"/>
      <c r="C143" s="1410" t="s">
        <v>749</v>
      </c>
      <c r="D143" s="1411"/>
      <c r="E143" s="1460"/>
      <c r="F143" s="1413"/>
      <c r="G143" s="1413"/>
      <c r="H143" s="1413"/>
      <c r="I143" s="1413"/>
      <c r="J143" s="1413"/>
      <c r="K143" s="1413"/>
      <c r="L143" s="1412"/>
      <c r="M143" s="1412"/>
      <c r="N143" s="1412"/>
      <c r="O143" s="1049"/>
      <c r="P143" s="1428" t="s">
        <v>269</v>
      </c>
      <c r="Q143" s="1429">
        <f>IRR(E167:N167)</f>
        <v>0.24799045599649561</v>
      </c>
      <c r="R143" s="250"/>
    </row>
    <row r="144" spans="2:19" x14ac:dyDescent="0.2">
      <c r="B144" s="284"/>
      <c r="C144" s="567" t="s">
        <v>736</v>
      </c>
      <c r="D144" s="1414">
        <v>2025</v>
      </c>
      <c r="E144" s="1414">
        <v>2026</v>
      </c>
      <c r="F144" s="1414">
        <v>2027</v>
      </c>
      <c r="G144" s="1414">
        <v>2028</v>
      </c>
      <c r="H144" s="1414">
        <v>2029</v>
      </c>
      <c r="I144" s="1414">
        <v>2030</v>
      </c>
      <c r="J144" s="1414">
        <v>2031</v>
      </c>
      <c r="K144" s="1414">
        <v>2032</v>
      </c>
      <c r="L144" s="1414">
        <v>2033</v>
      </c>
      <c r="M144" s="1414">
        <v>2034</v>
      </c>
      <c r="N144" s="1414">
        <v>2035</v>
      </c>
      <c r="O144" s="1406"/>
      <c r="R144" s="250"/>
    </row>
    <row r="145" spans="2:18" x14ac:dyDescent="0.2">
      <c r="B145" s="284"/>
      <c r="C145" s="567"/>
      <c r="E145" s="567"/>
      <c r="F145" s="567"/>
      <c r="G145" s="567"/>
      <c r="H145" s="567"/>
      <c r="I145" s="567"/>
      <c r="J145" s="567"/>
      <c r="K145" s="567"/>
      <c r="L145" s="567"/>
      <c r="M145" s="567"/>
      <c r="N145" s="567"/>
      <c r="O145" s="567"/>
      <c r="R145" s="250"/>
    </row>
    <row r="146" spans="2:18" x14ac:dyDescent="0.2">
      <c r="B146" s="284"/>
      <c r="C146" s="567" t="s">
        <v>768</v>
      </c>
      <c r="D146" s="225">
        <f>' P&amp;L Normal Situation'!AB21</f>
        <v>231794.55051840216</v>
      </c>
      <c r="E146" s="1443">
        <f>' P&amp;L Normal Situation'!AF21</f>
        <v>232227.12633648166</v>
      </c>
      <c r="F146" s="1443">
        <f>' P&amp;L Normal Situation'!AJ21</f>
        <v>232659.70215456115</v>
      </c>
      <c r="G146" s="1443">
        <f>' P&amp;L Normal Situation'!AN21</f>
        <v>233735.13370228658</v>
      </c>
      <c r="H146" s="1443">
        <f>' P&amp;L Normal Situation'!AR21</f>
        <v>233530.86178819346</v>
      </c>
      <c r="I146" s="1443">
        <f>' P&amp;L Normal Situation'!AV21</f>
        <v>233969.44560374628</v>
      </c>
      <c r="J146" s="1443">
        <f>' P&amp;L Normal Situation'!AZ21</f>
        <v>233969.44560374628</v>
      </c>
      <c r="K146" s="1443">
        <f>' P&amp;L Normal Situation'!BD21</f>
        <v>234612.30133339221</v>
      </c>
      <c r="L146" s="1443">
        <f>' P&amp;L Normal Situation'!BH21</f>
        <v>233969.44560374628</v>
      </c>
      <c r="M146" s="1443">
        <f>' P&amp;L Normal Situation'!BL21</f>
        <v>233969.44560374628</v>
      </c>
      <c r="N146" s="1443">
        <f>' P&amp;L Normal Situation'!BP21</f>
        <v>233969.44560374628</v>
      </c>
      <c r="O146" s="1417"/>
      <c r="R146" s="250"/>
    </row>
    <row r="147" spans="2:18" x14ac:dyDescent="0.2">
      <c r="B147" s="284"/>
      <c r="C147" s="567" t="s">
        <v>769</v>
      </c>
      <c r="D147" s="225">
        <f>' P&amp;L Normal Situation'!AB27</f>
        <v>124889.30523620808</v>
      </c>
      <c r="E147" s="1443">
        <f>' P&amp;L Normal Situation'!AF27</f>
        <v>125122.3741037078</v>
      </c>
      <c r="F147" s="1443">
        <f>' P&amp;L Normal Situation'!AJ27</f>
        <v>125355.44297120752</v>
      </c>
      <c r="G147" s="1443">
        <f>' P&amp;L Normal Situation'!AN27</f>
        <v>125934.87807235269</v>
      </c>
      <c r="H147" s="1443">
        <f>' P&amp;L Normal Situation'!AR27</f>
        <v>125824.81777381114</v>
      </c>
      <c r="I147" s="1443">
        <f>' P&amp;L Normal Situation'!AV27</f>
        <v>126061.12370891504</v>
      </c>
      <c r="J147" s="1443">
        <f>' P&amp;L Normal Situation'!AZ27</f>
        <v>126061.12370891504</v>
      </c>
      <c r="K147" s="1443">
        <f>' P&amp;L Normal Situation'!BD27</f>
        <v>126407.48994256047</v>
      </c>
      <c r="L147" s="1443">
        <f>' P&amp;L Normal Situation'!BH27</f>
        <v>126061.12370891504</v>
      </c>
      <c r="M147" s="1443">
        <f>' P&amp;L Normal Situation'!BL27</f>
        <v>126061.12370891504</v>
      </c>
      <c r="N147" s="1443">
        <f>' P&amp;L Normal Situation'!BP27</f>
        <v>126061.12370891504</v>
      </c>
      <c r="O147" s="1417"/>
      <c r="R147" s="250"/>
    </row>
    <row r="148" spans="2:18" x14ac:dyDescent="0.2">
      <c r="B148" s="284"/>
      <c r="C148" s="567" t="s">
        <v>770</v>
      </c>
      <c r="D148" s="1443">
        <f t="shared" ref="D148:N148" si="16">D146-D147</f>
        <v>106905.24528219408</v>
      </c>
      <c r="E148" s="1443">
        <f t="shared" si="16"/>
        <v>107104.75223277386</v>
      </c>
      <c r="F148" s="1443">
        <f t="shared" si="16"/>
        <v>107304.25918335363</v>
      </c>
      <c r="G148" s="1443">
        <f t="shared" si="16"/>
        <v>107800.25562993389</v>
      </c>
      <c r="H148" s="1443">
        <f t="shared" si="16"/>
        <v>107706.04401438232</v>
      </c>
      <c r="I148" s="1443">
        <f t="shared" si="16"/>
        <v>107908.32189483124</v>
      </c>
      <c r="J148" s="1443">
        <f t="shared" si="16"/>
        <v>107908.32189483124</v>
      </c>
      <c r="K148" s="1443">
        <f t="shared" si="16"/>
        <v>108204.81139083175</v>
      </c>
      <c r="L148" s="1443">
        <f t="shared" si="16"/>
        <v>107908.32189483124</v>
      </c>
      <c r="M148" s="1443">
        <f t="shared" si="16"/>
        <v>107908.32189483124</v>
      </c>
      <c r="N148" s="1443">
        <f t="shared" si="16"/>
        <v>107908.32189483124</v>
      </c>
      <c r="O148" s="1417"/>
      <c r="R148" s="250"/>
    </row>
    <row r="149" spans="2:18" x14ac:dyDescent="0.2">
      <c r="B149" s="284"/>
      <c r="C149" s="567"/>
      <c r="D149" s="567"/>
      <c r="E149" s="567"/>
      <c r="F149" s="567"/>
      <c r="G149" s="567"/>
      <c r="H149" s="567"/>
      <c r="I149" s="567"/>
      <c r="J149" s="567"/>
      <c r="K149" s="567"/>
      <c r="L149" s="567"/>
      <c r="M149" s="567"/>
      <c r="Q149" s="1203"/>
      <c r="R149" s="1433"/>
    </row>
    <row r="150" spans="2:18" x14ac:dyDescent="0.2">
      <c r="B150" s="284"/>
      <c r="C150" s="567"/>
      <c r="D150" s="567"/>
      <c r="E150" s="1434"/>
      <c r="F150" s="1434"/>
      <c r="G150" s="1434"/>
      <c r="H150" s="1434"/>
      <c r="I150" s="1434"/>
      <c r="J150" s="1434"/>
      <c r="K150" s="567"/>
      <c r="L150" s="567"/>
      <c r="M150" s="567"/>
      <c r="Q150" s="1408"/>
      <c r="R150" s="1435"/>
    </row>
    <row r="151" spans="2:18" x14ac:dyDescent="0.2">
      <c r="B151" s="284"/>
      <c r="C151" s="567"/>
      <c r="D151" s="567"/>
      <c r="E151" s="567"/>
      <c r="F151" s="567"/>
      <c r="G151" s="567"/>
      <c r="H151" s="567"/>
      <c r="I151" s="567"/>
      <c r="J151" s="567"/>
      <c r="K151" s="567"/>
      <c r="M151" s="1436"/>
      <c r="Q151" s="1437"/>
      <c r="R151" s="1438"/>
    </row>
    <row r="152" spans="2:18" ht="17" thickBot="1" x14ac:dyDescent="0.25">
      <c r="B152" s="284"/>
      <c r="C152" s="1410" t="s">
        <v>753</v>
      </c>
      <c r="D152" s="1411"/>
      <c r="E152" s="1411"/>
      <c r="F152" s="1411"/>
      <c r="G152" s="1411"/>
      <c r="H152" s="1411"/>
      <c r="I152" s="1411"/>
      <c r="J152" s="1411"/>
      <c r="K152" s="1411"/>
      <c r="L152" s="1412"/>
      <c r="M152" s="1458"/>
      <c r="N152" s="1412"/>
      <c r="Q152" s="1437"/>
      <c r="R152" s="1438"/>
    </row>
    <row r="153" spans="2:18" x14ac:dyDescent="0.2">
      <c r="B153" s="284"/>
      <c r="C153" s="567" t="s">
        <v>736</v>
      </c>
      <c r="D153" s="1414">
        <v>2025</v>
      </c>
      <c r="E153" s="1414">
        <v>2026</v>
      </c>
      <c r="F153" s="1414">
        <v>2027</v>
      </c>
      <c r="G153" s="1414">
        <v>2028</v>
      </c>
      <c r="H153" s="1414">
        <v>2029</v>
      </c>
      <c r="I153" s="1414">
        <v>2030</v>
      </c>
      <c r="J153" s="1414">
        <v>2031</v>
      </c>
      <c r="K153" s="1414">
        <v>2032</v>
      </c>
      <c r="L153" s="1414">
        <v>2033</v>
      </c>
      <c r="M153" s="1414">
        <v>2034</v>
      </c>
      <c r="N153" s="1414">
        <v>2035</v>
      </c>
      <c r="O153" s="1406"/>
      <c r="Q153" s="1437"/>
      <c r="R153" s="1440"/>
    </row>
    <row r="154" spans="2:18" x14ac:dyDescent="0.2">
      <c r="B154" s="284"/>
      <c r="C154" s="567" t="s">
        <v>754</v>
      </c>
      <c r="E154" s="1441"/>
      <c r="F154" s="225">
        <f>'1-CAPEX'!P30</f>
        <v>24377.111140726312</v>
      </c>
      <c r="G154" s="225"/>
      <c r="H154" s="225"/>
      <c r="I154" s="225"/>
      <c r="J154" s="225"/>
      <c r="K154" s="1443"/>
      <c r="L154" s="1443"/>
      <c r="M154" s="1443"/>
      <c r="N154" s="1443"/>
      <c r="R154" s="250"/>
    </row>
    <row r="155" spans="2:18" x14ac:dyDescent="0.2">
      <c r="B155" s="284"/>
      <c r="C155" s="567" t="s">
        <v>755</v>
      </c>
      <c r="E155" s="1441"/>
      <c r="F155" s="225">
        <f>'1-CAPEX'!Q30</f>
        <v>126278.18972705603</v>
      </c>
      <c r="G155" s="1442"/>
      <c r="H155" s="1442"/>
      <c r="I155" s="1443"/>
      <c r="J155" s="1443"/>
      <c r="K155" s="1443"/>
      <c r="L155" s="1443"/>
      <c r="M155" s="1443"/>
      <c r="N155" s="1443"/>
      <c r="R155" s="250"/>
    </row>
    <row r="156" spans="2:18" x14ac:dyDescent="0.2">
      <c r="B156" s="284"/>
      <c r="C156" s="567" t="s">
        <v>483</v>
      </c>
      <c r="E156" s="1441"/>
      <c r="F156" s="225">
        <f>'1-CAPEX'!R30</f>
        <v>34947.343285066243</v>
      </c>
      <c r="G156" s="225"/>
      <c r="H156" s="225"/>
      <c r="I156" s="225"/>
      <c r="J156" s="225"/>
      <c r="K156" s="225"/>
      <c r="L156" s="225"/>
      <c r="M156" s="225"/>
      <c r="N156" s="1443"/>
      <c r="R156" s="250"/>
    </row>
    <row r="157" spans="2:18" x14ac:dyDescent="0.2">
      <c r="B157" s="284"/>
      <c r="C157" s="1424" t="s">
        <v>392</v>
      </c>
      <c r="E157" s="1441"/>
      <c r="F157" s="225">
        <f>'1-CAPEX'!T30</f>
        <v>18560.264415284862</v>
      </c>
      <c r="G157" s="1442"/>
      <c r="H157" s="225"/>
      <c r="I157" s="225"/>
      <c r="J157" s="225"/>
      <c r="K157" s="225"/>
      <c r="L157" s="225"/>
      <c r="M157" s="225"/>
      <c r="N157" s="1442"/>
      <c r="O157" s="1031"/>
      <c r="R157" s="250"/>
    </row>
    <row r="158" spans="2:18" x14ac:dyDescent="0.2">
      <c r="B158" s="284"/>
      <c r="C158" s="1424" t="s">
        <v>756</v>
      </c>
      <c r="E158" s="1441"/>
      <c r="F158" s="225">
        <f>'1-CAPEX'!U30</f>
        <v>3656.5666711089466</v>
      </c>
      <c r="G158" s="1442"/>
      <c r="H158" s="1442"/>
      <c r="I158" s="1443"/>
      <c r="J158" s="1443"/>
      <c r="K158" s="1443"/>
      <c r="L158" s="1443"/>
      <c r="M158" s="1443"/>
      <c r="N158" s="1443"/>
      <c r="R158" s="250"/>
    </row>
    <row r="159" spans="2:18" x14ac:dyDescent="0.2">
      <c r="B159" s="284"/>
      <c r="C159" s="1424" t="s">
        <v>757</v>
      </c>
      <c r="E159" s="1441"/>
      <c r="F159" s="225">
        <f>'1-CAPEX'!V30</f>
        <v>5242.1014927599363</v>
      </c>
      <c r="G159" s="1442"/>
      <c r="H159" s="1442"/>
      <c r="I159" s="1443"/>
      <c r="J159" s="1443"/>
      <c r="K159" s="1443"/>
      <c r="L159" s="1443"/>
      <c r="M159" s="1443"/>
      <c r="N159" s="1443"/>
      <c r="R159" s="250"/>
    </row>
    <row r="160" spans="2:18" x14ac:dyDescent="0.2">
      <c r="B160" s="284"/>
      <c r="C160" s="1424" t="s">
        <v>395</v>
      </c>
      <c r="E160" s="1441"/>
      <c r="F160" s="225">
        <f>'1-CAPEX'!W30</f>
        <v>31329.169525068388</v>
      </c>
      <c r="G160" s="1442"/>
      <c r="H160" s="1442"/>
      <c r="I160" s="1443"/>
      <c r="J160" s="1443"/>
      <c r="K160" s="1443"/>
      <c r="L160" s="1443"/>
      <c r="M160" s="1443"/>
      <c r="N160" s="1443"/>
      <c r="R160" s="250"/>
    </row>
    <row r="161" spans="2:19" x14ac:dyDescent="0.2">
      <c r="B161" s="284"/>
      <c r="C161" s="1424" t="s">
        <v>758</v>
      </c>
      <c r="E161" s="1441"/>
      <c r="F161" s="225">
        <f>'1-CAPEX'!X30</f>
        <v>11136.158649170915</v>
      </c>
      <c r="G161" s="1442"/>
      <c r="H161" s="1442"/>
      <c r="I161" s="1443"/>
      <c r="J161" s="1443"/>
      <c r="K161" s="1443"/>
      <c r="L161" s="1443"/>
      <c r="M161" s="1443"/>
      <c r="N161" s="1443"/>
      <c r="R161" s="250"/>
    </row>
    <row r="162" spans="2:19" x14ac:dyDescent="0.2">
      <c r="B162" s="284"/>
      <c r="C162" s="1465" t="s">
        <v>759</v>
      </c>
      <c r="D162" s="1446"/>
      <c r="E162" s="1448"/>
      <c r="F162" s="1448">
        <f>'1-CAPEX'!Y30</f>
        <v>18560.264415284862</v>
      </c>
      <c r="G162" s="1448"/>
      <c r="H162" s="1448"/>
      <c r="I162" s="1448"/>
      <c r="J162" s="1448"/>
      <c r="K162" s="1448"/>
      <c r="L162" s="1448"/>
      <c r="M162" s="1448"/>
      <c r="N162" s="1448"/>
      <c r="R162" s="250"/>
    </row>
    <row r="163" spans="2:19" x14ac:dyDescent="0.2">
      <c r="B163" s="284"/>
      <c r="C163" s="1424" t="s">
        <v>760</v>
      </c>
      <c r="D163" s="1443">
        <f>SUM(D154:D161)</f>
        <v>0</v>
      </c>
      <c r="E163" s="1443">
        <f>SUM(E154:E161)</f>
        <v>0</v>
      </c>
      <c r="F163" s="1443">
        <f>SUM(F154:F162)</f>
        <v>274087.16932152654</v>
      </c>
      <c r="G163" s="1443">
        <v>0</v>
      </c>
      <c r="H163" s="1443">
        <v>0</v>
      </c>
      <c r="I163" s="1443">
        <v>0</v>
      </c>
      <c r="J163" s="1443">
        <v>0</v>
      </c>
      <c r="K163" s="1443">
        <v>0</v>
      </c>
      <c r="L163" s="1443">
        <v>0</v>
      </c>
      <c r="M163" s="1443">
        <v>0</v>
      </c>
      <c r="N163" s="1443">
        <v>0</v>
      </c>
      <c r="R163" s="250"/>
    </row>
    <row r="164" spans="2:19" x14ac:dyDescent="0.2">
      <c r="B164" s="284"/>
      <c r="C164" s="1424"/>
      <c r="D164" s="567"/>
      <c r="E164" s="1450"/>
      <c r="F164" s="1450"/>
      <c r="G164" s="1417"/>
      <c r="H164" s="1417"/>
      <c r="I164" s="1450"/>
      <c r="J164" s="1450"/>
      <c r="K164" s="567"/>
      <c r="L164" s="567"/>
      <c r="M164" s="567"/>
      <c r="R164" s="250"/>
    </row>
    <row r="165" spans="2:19" x14ac:dyDescent="0.2">
      <c r="B165" s="284"/>
      <c r="F165" s="1482"/>
      <c r="G165" s="1482"/>
      <c r="H165" s="1482"/>
      <c r="I165" s="1482"/>
      <c r="J165" s="1482"/>
      <c r="K165" s="1482"/>
      <c r="L165" s="1482"/>
      <c r="M165" s="1482"/>
      <c r="N165" s="1482"/>
      <c r="R165" s="250"/>
    </row>
    <row r="166" spans="2:19" ht="17" thickBot="1" x14ac:dyDescent="0.25">
      <c r="B166" s="284"/>
      <c r="C166" s="1451" t="s">
        <v>771</v>
      </c>
      <c r="D166" s="1452"/>
      <c r="E166" s="1484"/>
      <c r="F166" s="1484">
        <f t="shared" ref="F166:N166" si="17">F139-F148</f>
        <v>54105.62893426721</v>
      </c>
      <c r="G166" s="1484">
        <f t="shared" si="17"/>
        <v>48738.24708801166</v>
      </c>
      <c r="H166" s="1484">
        <f t="shared" si="17"/>
        <v>65583.570001820015</v>
      </c>
      <c r="I166" s="1484">
        <f t="shared" si="17"/>
        <v>72638.21719304494</v>
      </c>
      <c r="J166" s="1484">
        <f t="shared" si="17"/>
        <v>72974.024422924049</v>
      </c>
      <c r="K166" s="1484">
        <f t="shared" si="17"/>
        <v>73174.704072458931</v>
      </c>
      <c r="L166" s="1484">
        <f t="shared" si="17"/>
        <v>72974.024422924049</v>
      </c>
      <c r="M166" s="1484">
        <f t="shared" si="17"/>
        <v>72974.024422924049</v>
      </c>
      <c r="N166" s="1484">
        <f t="shared" si="17"/>
        <v>72974.024422924049</v>
      </c>
      <c r="O166" s="1450"/>
      <c r="R166" s="250"/>
    </row>
    <row r="167" spans="2:19" x14ac:dyDescent="0.2">
      <c r="B167" s="284"/>
      <c r="C167" s="567" t="s">
        <v>762</v>
      </c>
      <c r="D167" s="1462"/>
      <c r="E167" s="1462"/>
      <c r="F167" s="226">
        <f t="shared" ref="F167:N167" si="18">F166-F163</f>
        <v>-219981.54038725933</v>
      </c>
      <c r="G167" s="226">
        <f t="shared" si="18"/>
        <v>48738.24708801166</v>
      </c>
      <c r="H167" s="226">
        <f t="shared" si="18"/>
        <v>65583.570001820015</v>
      </c>
      <c r="I167" s="226">
        <f t="shared" si="18"/>
        <v>72638.21719304494</v>
      </c>
      <c r="J167" s="226">
        <f t="shared" si="18"/>
        <v>72974.024422924049</v>
      </c>
      <c r="K167" s="226">
        <f t="shared" si="18"/>
        <v>73174.704072458931</v>
      </c>
      <c r="L167" s="226">
        <f t="shared" si="18"/>
        <v>72974.024422924049</v>
      </c>
      <c r="M167" s="226">
        <f t="shared" si="18"/>
        <v>72974.024422924049</v>
      </c>
      <c r="N167" s="226">
        <f t="shared" si="18"/>
        <v>72974.024422924049</v>
      </c>
      <c r="O167" s="1417"/>
      <c r="R167" s="250"/>
    </row>
    <row r="168" spans="2:19" x14ac:dyDescent="0.2">
      <c r="B168" s="284"/>
      <c r="C168" s="567" t="s">
        <v>763</v>
      </c>
      <c r="D168" s="1462"/>
      <c r="E168" s="1462"/>
      <c r="F168" s="226">
        <f t="shared" ref="F168:N168" si="19">E168+F167</f>
        <v>-219981.54038725933</v>
      </c>
      <c r="G168" s="226">
        <f t="shared" si="19"/>
        <v>-171243.29329924769</v>
      </c>
      <c r="H168" s="226">
        <f t="shared" si="19"/>
        <v>-105659.72329742767</v>
      </c>
      <c r="I168" s="226">
        <f t="shared" si="19"/>
        <v>-33021.50610438273</v>
      </c>
      <c r="J168" s="226">
        <f t="shared" si="19"/>
        <v>39952.518318541319</v>
      </c>
      <c r="K168" s="226">
        <f t="shared" si="19"/>
        <v>113127.22239100025</v>
      </c>
      <c r="L168" s="226">
        <f t="shared" si="19"/>
        <v>186101.24681392428</v>
      </c>
      <c r="M168" s="226">
        <f t="shared" si="19"/>
        <v>259075.27123684832</v>
      </c>
      <c r="N168" s="226">
        <f t="shared" si="19"/>
        <v>332049.29565977235</v>
      </c>
      <c r="O168" s="1417"/>
      <c r="R168" s="250"/>
    </row>
    <row r="169" spans="2:19" ht="17" thickBot="1" x14ac:dyDescent="0.25">
      <c r="B169" s="518"/>
      <c r="C169" s="611"/>
      <c r="D169" s="611"/>
      <c r="E169" s="611"/>
      <c r="F169" s="611"/>
      <c r="G169" s="611"/>
      <c r="H169" s="611"/>
      <c r="I169" s="611"/>
      <c r="J169" s="611"/>
      <c r="K169" s="611"/>
      <c r="L169" s="611"/>
      <c r="M169" s="611"/>
      <c r="N169" s="611"/>
      <c r="O169" s="611"/>
      <c r="P169" s="611"/>
      <c r="Q169" s="611"/>
      <c r="R169" s="575"/>
    </row>
    <row r="170" spans="2:19" ht="17" thickBot="1" x14ac:dyDescent="0.25"/>
    <row r="171" spans="2:19" ht="24" customHeight="1" x14ac:dyDescent="0.45">
      <c r="B171" s="2075" t="s">
        <v>774</v>
      </c>
      <c r="C171" s="2076"/>
      <c r="D171" s="2076"/>
      <c r="E171" s="2076"/>
      <c r="F171" s="2076"/>
      <c r="G171" s="2076"/>
      <c r="H171" s="2076"/>
      <c r="I171" s="2076"/>
      <c r="J171" s="2076"/>
      <c r="K171" s="2076"/>
      <c r="L171" s="2076"/>
      <c r="M171" s="2076"/>
      <c r="N171" s="2076"/>
      <c r="O171" s="2076"/>
      <c r="P171" s="2076"/>
      <c r="Q171" s="2076"/>
      <c r="R171" s="2077"/>
      <c r="S171" s="1399"/>
    </row>
    <row r="172" spans="2:19" ht="20" customHeight="1" thickBot="1" x14ac:dyDescent="0.5">
      <c r="B172" s="2081"/>
      <c r="C172" s="2082"/>
      <c r="D172" s="2082"/>
      <c r="E172" s="2082"/>
      <c r="F172" s="2082"/>
      <c r="G172" s="2082"/>
      <c r="H172" s="2082"/>
      <c r="I172" s="2082"/>
      <c r="J172" s="2082"/>
      <c r="K172" s="2082"/>
      <c r="L172" s="2082"/>
      <c r="M172" s="2082"/>
      <c r="N172" s="2082"/>
      <c r="O172" s="2082"/>
      <c r="P172" s="2082"/>
      <c r="Q172" s="2082"/>
      <c r="R172" s="2083"/>
      <c r="S172" s="1399"/>
    </row>
    <row r="173" spans="2:19" ht="22" customHeight="1" x14ac:dyDescent="0.4">
      <c r="B173" s="1400"/>
      <c r="C173" s="1401"/>
      <c r="D173" s="1402"/>
      <c r="E173" s="1402"/>
      <c r="F173" s="1402"/>
      <c r="G173" s="1402"/>
      <c r="H173" s="1402"/>
      <c r="I173" s="1402"/>
      <c r="J173" s="1402"/>
      <c r="K173" s="1402"/>
      <c r="L173" s="1402"/>
      <c r="M173" s="1402"/>
      <c r="N173" s="1403"/>
      <c r="O173" s="1402"/>
      <c r="P173" s="1402"/>
      <c r="Q173" s="1402"/>
      <c r="R173" s="1404"/>
    </row>
    <row r="174" spans="2:19" x14ac:dyDescent="0.2">
      <c r="B174" s="1405"/>
      <c r="C174" s="567"/>
      <c r="D174" s="567"/>
      <c r="E174" s="567"/>
      <c r="F174" s="567"/>
      <c r="G174" s="567"/>
      <c r="H174" s="567"/>
      <c r="I174" s="567"/>
      <c r="J174" s="567"/>
      <c r="N174" s="1406"/>
      <c r="O174" s="1407"/>
      <c r="R174" s="250"/>
    </row>
    <row r="175" spans="2:19" x14ac:dyDescent="0.2">
      <c r="B175" s="1405"/>
      <c r="C175" s="567"/>
      <c r="D175" s="567"/>
      <c r="E175" s="567"/>
      <c r="F175" s="567"/>
      <c r="G175" s="567"/>
      <c r="H175" s="567"/>
      <c r="I175" s="567"/>
      <c r="J175" s="567"/>
      <c r="N175" s="1408"/>
      <c r="O175" s="1409"/>
      <c r="R175" s="250"/>
    </row>
    <row r="176" spans="2:19" ht="17" thickBot="1" x14ac:dyDescent="0.25">
      <c r="B176" s="284"/>
      <c r="C176" s="1410" t="s">
        <v>735</v>
      </c>
      <c r="D176" s="1411"/>
      <c r="E176" s="1412"/>
      <c r="F176" s="1413"/>
      <c r="G176" s="1413"/>
      <c r="H176" s="1413"/>
      <c r="I176" s="1413"/>
      <c r="J176" s="1413"/>
      <c r="K176" s="1413"/>
      <c r="L176" s="1412"/>
      <c r="M176" s="1412"/>
      <c r="N176" s="1412"/>
      <c r="O176" s="1049"/>
      <c r="R176" s="250"/>
    </row>
    <row r="177" spans="2:18" x14ac:dyDescent="0.2">
      <c r="B177" s="284"/>
      <c r="C177" s="567" t="s">
        <v>736</v>
      </c>
      <c r="D177" s="1414">
        <v>2025</v>
      </c>
      <c r="E177" s="1414">
        <v>2026</v>
      </c>
      <c r="F177" s="1414">
        <v>2027</v>
      </c>
      <c r="G177" s="1414">
        <v>2028</v>
      </c>
      <c r="H177" s="1414">
        <v>2029</v>
      </c>
      <c r="I177" s="1414">
        <v>2030</v>
      </c>
      <c r="J177" s="1414">
        <v>2031</v>
      </c>
      <c r="K177" s="1414">
        <v>2032</v>
      </c>
      <c r="L177" s="1414">
        <v>2033</v>
      </c>
      <c r="M177" s="1414">
        <v>2034</v>
      </c>
      <c r="N177" s="1414">
        <v>2035</v>
      </c>
      <c r="O177" s="1406"/>
      <c r="P177" s="2073" t="s">
        <v>737</v>
      </c>
      <c r="Q177" s="2074"/>
      <c r="R177" s="250"/>
    </row>
    <row r="178" spans="2:18" x14ac:dyDescent="0.2">
      <c r="B178" s="284"/>
      <c r="C178" s="567"/>
      <c r="E178" s="567"/>
      <c r="F178" s="567"/>
      <c r="G178" s="567"/>
      <c r="H178" s="567"/>
      <c r="I178" s="567"/>
      <c r="J178" s="567"/>
      <c r="K178" s="567"/>
      <c r="L178" s="567"/>
      <c r="M178" s="567"/>
      <c r="N178" s="567"/>
      <c r="P178" s="1415" t="s">
        <v>738</v>
      </c>
      <c r="Q178" s="1416">
        <f>'PRELIMINARY ANALYSIS'!$F$42</f>
        <v>6.9499999999999992E-2</v>
      </c>
      <c r="R178" s="250"/>
    </row>
    <row r="179" spans="2:18" x14ac:dyDescent="0.2">
      <c r="B179" s="284"/>
      <c r="C179" s="567" t="s">
        <v>739</v>
      </c>
      <c r="D179" s="225">
        <f>'1-P&amp;L Modified'!AB19</f>
        <v>309180.95961496612</v>
      </c>
      <c r="E179" s="1443">
        <f>'1-P&amp;L Modified'!AF19</f>
        <v>333228.01141550596</v>
      </c>
      <c r="F179" s="1443">
        <f>'1-P&amp;L Modified'!AJ19</f>
        <v>341089.16230154573</v>
      </c>
      <c r="G179" s="1443">
        <f>'1-P&amp;L Modified'!AN19</f>
        <v>330795.01747187815</v>
      </c>
      <c r="H179" s="1443">
        <f>'1-P&amp;L Modified'!AR19</f>
        <v>366193.23617443244</v>
      </c>
      <c r="I179" s="1443">
        <f>'1-P&amp;L Modified'!AV19</f>
        <v>381528.47072820761</v>
      </c>
      <c r="J179" s="1443">
        <f>'1-P&amp;L Modified'!AZ19</f>
        <v>382238.09396176576</v>
      </c>
      <c r="K179" s="1443">
        <f>'1-P&amp;L Modified'!BD19</f>
        <v>383288.70498287771</v>
      </c>
      <c r="L179" s="1443">
        <f>'1-P&amp;L Modified'!BH19</f>
        <v>382238.09396176576</v>
      </c>
      <c r="M179" s="1443">
        <f>'1-P&amp;L Modified'!BL19</f>
        <v>382238.09396176576</v>
      </c>
      <c r="N179" s="1443">
        <f>'1-P&amp;L Modified'!BP19</f>
        <v>382238.09396176576</v>
      </c>
      <c r="O179" s="1417"/>
      <c r="P179" s="1415" t="s">
        <v>740</v>
      </c>
      <c r="Q179" s="1418">
        <f>COUNT(F210:I210)+ABS(I210/J209)</f>
        <v>4.5455463203408657</v>
      </c>
      <c r="R179" s="250"/>
    </row>
    <row r="180" spans="2:18" ht="17" thickBot="1" x14ac:dyDescent="0.25">
      <c r="B180" s="284"/>
      <c r="C180" s="567" t="s">
        <v>765</v>
      </c>
      <c r="D180" s="225">
        <f>'1-P&amp;L Modified'!AB25</f>
        <v>253165.60843042209</v>
      </c>
      <c r="E180" s="225">
        <f>'1-P&amp;L Modified'!AF25</f>
        <v>216207.21328217525</v>
      </c>
      <c r="F180" s="1443">
        <f>'1-P&amp;L Modified'!AJ25</f>
        <v>221307.73745192177</v>
      </c>
      <c r="G180" s="1443">
        <f>'1-P&amp;L Modified'!AN25</f>
        <v>214628.62197993245</v>
      </c>
      <c r="H180" s="1443">
        <f>'1-P&amp;L Modified'!AR25</f>
        <v>237595.92952506311</v>
      </c>
      <c r="I180" s="1443">
        <f>'1-P&amp;L Modified'!AV25</f>
        <v>247545.83833919943</v>
      </c>
      <c r="J180" s="1443">
        <f>'1-P&amp;L Modified'!AZ25</f>
        <v>248006.26080235359</v>
      </c>
      <c r="K180" s="1443">
        <f>'1-P&amp;L Modified'!BD25</f>
        <v>248687.92522832201</v>
      </c>
      <c r="L180" s="1443">
        <f>'1-P&amp;L Modified'!BH25</f>
        <v>248006.26080235359</v>
      </c>
      <c r="M180" s="1443">
        <f>'1-P&amp;L Modified'!BL25</f>
        <v>248006.26080235359</v>
      </c>
      <c r="N180" s="1443">
        <f>'1-P&amp;L Modified'!BP25</f>
        <v>248006.26080235359</v>
      </c>
      <c r="O180" s="1417"/>
      <c r="P180" s="1415" t="s">
        <v>742</v>
      </c>
      <c r="Q180" s="1418">
        <f>Q179*12</f>
        <v>54.546555844090392</v>
      </c>
      <c r="R180" s="250"/>
    </row>
    <row r="181" spans="2:18" ht="17" thickBot="1" x14ac:dyDescent="0.25">
      <c r="B181" s="284"/>
      <c r="C181" s="1406" t="s">
        <v>766</v>
      </c>
      <c r="D181" s="1443">
        <f t="shared" ref="D181:N181" si="20">D179-D180</f>
        <v>56015.351184544037</v>
      </c>
      <c r="E181" s="1443">
        <f t="shared" si="20"/>
        <v>117020.79813333071</v>
      </c>
      <c r="F181" s="1443">
        <f t="shared" si="20"/>
        <v>119781.42484962396</v>
      </c>
      <c r="G181" s="1443">
        <f t="shared" si="20"/>
        <v>116166.3954919457</v>
      </c>
      <c r="H181" s="1443">
        <f t="shared" si="20"/>
        <v>128597.30664936933</v>
      </c>
      <c r="I181" s="1443">
        <f t="shared" si="20"/>
        <v>133982.63238900818</v>
      </c>
      <c r="J181" s="1443">
        <f t="shared" si="20"/>
        <v>134231.83315941217</v>
      </c>
      <c r="K181" s="1443">
        <f t="shared" si="20"/>
        <v>134600.7797545557</v>
      </c>
      <c r="L181" s="1443">
        <f t="shared" si="20"/>
        <v>134231.83315941217</v>
      </c>
      <c r="M181" s="1443">
        <f t="shared" si="20"/>
        <v>134231.83315941217</v>
      </c>
      <c r="N181" s="1443">
        <f t="shared" si="20"/>
        <v>134231.83315941217</v>
      </c>
      <c r="O181" s="1417"/>
      <c r="P181" s="1415" t="s">
        <v>744</v>
      </c>
      <c r="Q181" s="1422">
        <f>(SUM(F208:N208)-SUM(F205))/SUM(F205)</f>
        <v>1.0935462414938402</v>
      </c>
      <c r="R181" s="1633">
        <f>N210/F205</f>
        <v>1.0935462414938402</v>
      </c>
    </row>
    <row r="182" spans="2:18" x14ac:dyDescent="0.2">
      <c r="B182" s="284"/>
      <c r="P182" s="1415" t="s">
        <v>746</v>
      </c>
      <c r="Q182" s="1422">
        <f>Q181/COUNT(E177:N177)</f>
        <v>0.10935462414938402</v>
      </c>
      <c r="R182" s="250"/>
    </row>
    <row r="183" spans="2:18" x14ac:dyDescent="0.2">
      <c r="B183" s="284"/>
      <c r="C183" s="567"/>
      <c r="D183" s="567"/>
      <c r="E183" s="567"/>
      <c r="F183" s="567"/>
      <c r="G183" s="1423"/>
      <c r="H183" s="567"/>
      <c r="I183" s="567"/>
      <c r="J183" s="567"/>
      <c r="K183" s="567"/>
      <c r="L183" s="567"/>
      <c r="M183" s="567"/>
      <c r="P183" s="1415" t="s">
        <v>747</v>
      </c>
      <c r="Q183" s="1422">
        <f>N208/SUM(F205)</f>
        <v>0.24534360454097964</v>
      </c>
      <c r="R183" s="250"/>
    </row>
    <row r="184" spans="2:18" x14ac:dyDescent="0.2">
      <c r="B184" s="284"/>
      <c r="C184" s="567"/>
      <c r="D184" s="567"/>
      <c r="E184" s="567"/>
      <c r="F184" s="567"/>
      <c r="G184" s="567"/>
      <c r="H184" s="567"/>
      <c r="I184" s="567"/>
      <c r="J184" s="567"/>
      <c r="K184" s="567"/>
      <c r="O184" s="1406"/>
      <c r="P184" s="1415" t="s">
        <v>748</v>
      </c>
      <c r="Q184" s="1425">
        <f>NPV(Q178,F208:N208)-SUM(F205)</f>
        <v>158318.38408374245</v>
      </c>
      <c r="R184" s="250"/>
    </row>
    <row r="185" spans="2:18" ht="17" thickBot="1" x14ac:dyDescent="0.25">
      <c r="B185" s="284"/>
      <c r="C185" s="1410" t="s">
        <v>749</v>
      </c>
      <c r="D185" s="1411"/>
      <c r="E185" s="1460"/>
      <c r="F185" s="1413"/>
      <c r="G185" s="1413"/>
      <c r="H185" s="1413"/>
      <c r="I185" s="1413"/>
      <c r="J185" s="1413"/>
      <c r="K185" s="1413"/>
      <c r="L185" s="1412"/>
      <c r="M185" s="1412"/>
      <c r="N185" s="1412"/>
      <c r="O185" s="1049"/>
      <c r="P185" s="1428" t="s">
        <v>269</v>
      </c>
      <c r="Q185" s="1429">
        <f>IRR(E209:N209)</f>
        <v>0.23405200886081001</v>
      </c>
      <c r="R185" s="250"/>
    </row>
    <row r="186" spans="2:18" x14ac:dyDescent="0.2">
      <c r="B186" s="284"/>
      <c r="C186" s="567" t="s">
        <v>736</v>
      </c>
      <c r="D186" s="1414">
        <v>2025</v>
      </c>
      <c r="E186" s="1414">
        <v>2026</v>
      </c>
      <c r="F186" s="1414">
        <v>2027</v>
      </c>
      <c r="G186" s="1414">
        <v>2028</v>
      </c>
      <c r="H186" s="1414">
        <v>2029</v>
      </c>
      <c r="I186" s="1414">
        <v>2030</v>
      </c>
      <c r="J186" s="1414">
        <v>2031</v>
      </c>
      <c r="K186" s="1414">
        <v>2032</v>
      </c>
      <c r="L186" s="1414">
        <v>2033</v>
      </c>
      <c r="M186" s="1414">
        <v>2034</v>
      </c>
      <c r="N186" s="1414">
        <v>2035</v>
      </c>
      <c r="O186" s="1406"/>
      <c r="R186" s="250"/>
    </row>
    <row r="187" spans="2:18" x14ac:dyDescent="0.2">
      <c r="B187" s="284"/>
      <c r="C187" s="567"/>
      <c r="E187" s="567"/>
      <c r="F187" s="567"/>
      <c r="G187" s="567"/>
      <c r="H187" s="567"/>
      <c r="I187" s="567"/>
      <c r="J187" s="567"/>
      <c r="K187" s="567"/>
      <c r="L187" s="567"/>
      <c r="M187" s="567"/>
      <c r="N187" s="567"/>
      <c r="O187" s="567"/>
      <c r="R187" s="250"/>
    </row>
    <row r="188" spans="2:18" x14ac:dyDescent="0.2">
      <c r="B188" s="284"/>
      <c r="C188" s="567" t="s">
        <v>768</v>
      </c>
      <c r="D188" s="225">
        <f>' P&amp;L Normal Situation'!AB20</f>
        <v>309180.95961496612</v>
      </c>
      <c r="E188" s="1443">
        <f>' P&amp;L Normal Situation'!AF20</f>
        <v>309757.95422610315</v>
      </c>
      <c r="F188" s="1443">
        <f>' P&amp;L Normal Situation'!AJ20</f>
        <v>310334.94883724017</v>
      </c>
      <c r="G188" s="222">
        <f>' P&amp;L Normal Situation'!AN20</f>
        <v>311769.42155103915</v>
      </c>
      <c r="H188" s="1443">
        <f>' P&amp;L Normal Situation'!AR20</f>
        <v>311496.95187355782</v>
      </c>
      <c r="I188" s="1443">
        <f>' P&amp;L Normal Situation'!AV20</f>
        <v>312081.96029873838</v>
      </c>
      <c r="J188" s="1443">
        <f>' P&amp;L Normal Situation'!AZ20</f>
        <v>312081.96029873838</v>
      </c>
      <c r="K188" s="1443">
        <f>' P&amp;L Normal Situation'!BD20</f>
        <v>312939.43840140034</v>
      </c>
      <c r="L188" s="1443">
        <f>' P&amp;L Normal Situation'!BH20</f>
        <v>312081.96029873838</v>
      </c>
      <c r="M188" s="1443">
        <f>' P&amp;L Normal Situation'!BL20</f>
        <v>312081.96029873838</v>
      </c>
      <c r="N188" s="1443">
        <f>' P&amp;L Normal Situation'!BP20</f>
        <v>312081.96029873838</v>
      </c>
      <c r="O188" s="1417"/>
      <c r="R188" s="250"/>
    </row>
    <row r="189" spans="2:18" x14ac:dyDescent="0.2">
      <c r="B189" s="284"/>
      <c r="C189" s="567" t="s">
        <v>769</v>
      </c>
      <c r="D189" s="225">
        <f>' P&amp;L Normal Situation'!AB26</f>
        <v>253165.60843042209</v>
      </c>
      <c r="E189" s="1443">
        <f>' P&amp;L Normal Situation'!AF26</f>
        <v>253638.06699310814</v>
      </c>
      <c r="F189" s="1443">
        <f>' P&amp;L Normal Situation'!AJ26</f>
        <v>254110.52555579419</v>
      </c>
      <c r="G189" s="1443">
        <f>' P&amp;L Normal Situation'!AN26</f>
        <v>255285.11003802755</v>
      </c>
      <c r="H189" s="1443">
        <f>' P&amp;L Normal Situation'!AR26</f>
        <v>255062.00460564805</v>
      </c>
      <c r="I189" s="1443">
        <f>' P&amp;L Normal Situation'!AV26</f>
        <v>255541.02509281583</v>
      </c>
      <c r="J189" s="1443">
        <f>' P&amp;L Normal Situation'!AZ26</f>
        <v>255541.02509281583</v>
      </c>
      <c r="K189" s="1443">
        <f>' P&amp;L Normal Situation'!BD26</f>
        <v>256243.15101236315</v>
      </c>
      <c r="L189" s="1443">
        <f>' P&amp;L Normal Situation'!BH26</f>
        <v>255541.02509281583</v>
      </c>
      <c r="M189" s="1443">
        <f>' P&amp;L Normal Situation'!BL26</f>
        <v>255541.02509281583</v>
      </c>
      <c r="N189" s="1443">
        <f>' P&amp;L Normal Situation'!BP26</f>
        <v>255541.02509281583</v>
      </c>
      <c r="O189" s="1417"/>
      <c r="R189" s="250"/>
    </row>
    <row r="190" spans="2:18" x14ac:dyDescent="0.2">
      <c r="B190" s="284"/>
      <c r="C190" s="567" t="s">
        <v>770</v>
      </c>
      <c r="D190" s="1443">
        <f>D188-D189</f>
        <v>56015.351184544037</v>
      </c>
      <c r="E190" s="1443">
        <f>E188-E189</f>
        <v>56119.88723299501</v>
      </c>
      <c r="F190" s="1443">
        <f>F188-F189</f>
        <v>56224.423281445983</v>
      </c>
      <c r="G190" s="1443">
        <f>F188-G189</f>
        <v>55049.838799212623</v>
      </c>
      <c r="H190" s="1443">
        <f t="shared" ref="H190:N190" si="21">H188-H189</f>
        <v>56434.947267909767</v>
      </c>
      <c r="I190" s="1443">
        <f t="shared" si="21"/>
        <v>56540.935205922549</v>
      </c>
      <c r="J190" s="1443">
        <f t="shared" si="21"/>
        <v>56540.935205922549</v>
      </c>
      <c r="K190" s="1443">
        <f t="shared" si="21"/>
        <v>56696.287389037199</v>
      </c>
      <c r="L190" s="1443">
        <f t="shared" si="21"/>
        <v>56540.935205922549</v>
      </c>
      <c r="M190" s="1443">
        <f t="shared" si="21"/>
        <v>56540.935205922549</v>
      </c>
      <c r="N190" s="1443">
        <f t="shared" si="21"/>
        <v>56540.935205922549</v>
      </c>
      <c r="O190" s="1417"/>
      <c r="R190" s="250"/>
    </row>
    <row r="191" spans="2:18" x14ac:dyDescent="0.2">
      <c r="B191" s="284"/>
      <c r="C191" s="567"/>
      <c r="D191" s="567"/>
      <c r="E191" s="567"/>
      <c r="F191" s="567"/>
      <c r="G191" s="567"/>
      <c r="H191" s="567"/>
      <c r="I191" s="567"/>
      <c r="J191" s="567"/>
      <c r="K191" s="567"/>
      <c r="L191" s="567"/>
      <c r="M191" s="567"/>
      <c r="Q191" s="1203"/>
      <c r="R191" s="1433"/>
    </row>
    <row r="192" spans="2:18" x14ac:dyDescent="0.2">
      <c r="B192" s="284"/>
      <c r="C192" s="567"/>
      <c r="D192" s="567"/>
      <c r="E192" s="1434"/>
      <c r="F192" s="1434"/>
      <c r="G192" s="1434"/>
      <c r="H192" s="1434"/>
      <c r="I192" s="1434"/>
      <c r="J192" s="1434"/>
      <c r="K192" s="567"/>
      <c r="L192" s="567"/>
      <c r="M192" s="567"/>
      <c r="Q192" s="1408"/>
      <c r="R192" s="1435"/>
    </row>
    <row r="193" spans="2:18" x14ac:dyDescent="0.2">
      <c r="B193" s="284"/>
      <c r="C193" s="567"/>
      <c r="D193" s="567"/>
      <c r="E193" s="567"/>
      <c r="F193" s="567"/>
      <c r="G193" s="567"/>
      <c r="H193" s="567"/>
      <c r="I193" s="567"/>
      <c r="J193" s="567"/>
      <c r="K193" s="567"/>
      <c r="M193" s="1436"/>
      <c r="Q193" s="1437"/>
      <c r="R193" s="1438"/>
    </row>
    <row r="194" spans="2:18" ht="17" thickBot="1" x14ac:dyDescent="0.25">
      <c r="B194" s="284"/>
      <c r="C194" s="1410" t="s">
        <v>753</v>
      </c>
      <c r="D194" s="1411"/>
      <c r="E194" s="1411"/>
      <c r="F194" s="1411"/>
      <c r="G194" s="1411"/>
      <c r="H194" s="1411"/>
      <c r="I194" s="1411"/>
      <c r="J194" s="1411"/>
      <c r="K194" s="1411"/>
      <c r="L194" s="1412"/>
      <c r="M194" s="1458"/>
      <c r="N194" s="1412"/>
      <c r="Q194" s="1437"/>
      <c r="R194" s="1438"/>
    </row>
    <row r="195" spans="2:18" x14ac:dyDescent="0.2">
      <c r="B195" s="284"/>
      <c r="C195" s="567" t="s">
        <v>736</v>
      </c>
      <c r="D195" s="1414">
        <v>2025</v>
      </c>
      <c r="E195" s="1414">
        <v>2026</v>
      </c>
      <c r="F195" s="1414">
        <v>2027</v>
      </c>
      <c r="G195" s="1414">
        <v>2028</v>
      </c>
      <c r="H195" s="1414">
        <v>2029</v>
      </c>
      <c r="I195" s="1414">
        <v>2030</v>
      </c>
      <c r="J195" s="1414">
        <v>2031</v>
      </c>
      <c r="K195" s="1414">
        <v>2032</v>
      </c>
      <c r="L195" s="1414">
        <v>2033</v>
      </c>
      <c r="M195" s="1414">
        <v>2034</v>
      </c>
      <c r="N195" s="1414">
        <v>2035</v>
      </c>
      <c r="O195" s="1406"/>
      <c r="Q195" s="1437"/>
      <c r="R195" s="1440"/>
    </row>
    <row r="196" spans="2:18" x14ac:dyDescent="0.2">
      <c r="B196" s="284"/>
      <c r="C196" s="567" t="s">
        <v>754</v>
      </c>
      <c r="E196" s="1441"/>
      <c r="F196" s="225">
        <f>'1-CAPEX'!P32</f>
        <v>162711.48808816238</v>
      </c>
      <c r="I196" s="225"/>
      <c r="R196" s="250"/>
    </row>
    <row r="197" spans="2:18" x14ac:dyDescent="0.2">
      <c r="B197" s="284"/>
      <c r="C197" s="567" t="s">
        <v>755</v>
      </c>
      <c r="E197" s="1441"/>
      <c r="F197" s="225">
        <f>'1-CAPEX'!Q32</f>
        <v>12912.292770591488</v>
      </c>
      <c r="G197" s="1442"/>
      <c r="H197" s="1442"/>
      <c r="I197" s="1443"/>
      <c r="J197" s="1443"/>
      <c r="K197" s="1443"/>
      <c r="L197" s="1443"/>
      <c r="M197" s="1443"/>
      <c r="N197" s="1443"/>
      <c r="R197" s="250"/>
    </row>
    <row r="198" spans="2:18" x14ac:dyDescent="0.2">
      <c r="B198" s="284"/>
      <c r="C198" s="567" t="s">
        <v>483</v>
      </c>
      <c r="E198" s="1441"/>
      <c r="F198" s="225">
        <f>'1-CAPEX'!R32</f>
        <v>26174.45048039169</v>
      </c>
      <c r="G198" s="225"/>
      <c r="H198" s="225"/>
      <c r="I198" s="225"/>
      <c r="J198" s="225"/>
      <c r="K198" s="225"/>
      <c r="L198" s="225"/>
      <c r="M198" s="225"/>
      <c r="N198" s="1443"/>
      <c r="R198" s="250"/>
    </row>
    <row r="199" spans="2:18" x14ac:dyDescent="0.2">
      <c r="B199" s="284"/>
      <c r="C199" s="1424" t="s">
        <v>392</v>
      </c>
      <c r="E199" s="1441"/>
      <c r="F199" s="225">
        <f>'1-CAPEX'!T32</f>
        <v>20179.823133914557</v>
      </c>
      <c r="G199" s="1442"/>
      <c r="H199" s="225"/>
      <c r="I199" s="225"/>
      <c r="J199" s="225"/>
      <c r="K199" s="225"/>
      <c r="L199" s="225"/>
      <c r="M199" s="225"/>
      <c r="N199" s="1442"/>
      <c r="O199" s="1031"/>
      <c r="R199" s="250"/>
    </row>
    <row r="200" spans="2:18" x14ac:dyDescent="0.2">
      <c r="B200" s="284"/>
      <c r="C200" s="1424" t="s">
        <v>756</v>
      </c>
      <c r="E200" s="1441"/>
      <c r="F200" s="225">
        <f>'1-CAPEX'!U32</f>
        <v>24406.723213224355</v>
      </c>
      <c r="G200" s="1442"/>
      <c r="H200" s="1442"/>
      <c r="I200" s="1443"/>
      <c r="J200" s="1443"/>
      <c r="K200" s="1443"/>
      <c r="L200" s="1443"/>
      <c r="M200" s="1443"/>
      <c r="N200" s="1443"/>
      <c r="R200" s="250"/>
    </row>
    <row r="201" spans="2:18" x14ac:dyDescent="0.2">
      <c r="B201" s="284"/>
      <c r="C201" s="1424" t="s">
        <v>757</v>
      </c>
      <c r="E201" s="1441"/>
      <c r="F201" s="225">
        <f>'1-CAPEX'!V32</f>
        <v>3926.1675720587532</v>
      </c>
      <c r="G201" s="1442"/>
      <c r="H201" s="1442"/>
      <c r="I201" s="1443"/>
      <c r="J201" s="1443"/>
      <c r="K201" s="1443"/>
      <c r="L201" s="1443"/>
      <c r="M201" s="1443"/>
      <c r="N201" s="1443"/>
      <c r="R201" s="250"/>
    </row>
    <row r="202" spans="2:18" x14ac:dyDescent="0.2">
      <c r="B202" s="284"/>
      <c r="C202" s="1424" t="s">
        <v>395</v>
      </c>
      <c r="E202" s="1463"/>
      <c r="F202" s="225">
        <f>'1-CAPEX'!W32</f>
        <v>34062.936055353748</v>
      </c>
      <c r="G202" s="1464"/>
      <c r="H202" s="1464"/>
      <c r="I202" s="1443"/>
      <c r="J202" s="1443"/>
      <c r="K202" s="1443"/>
      <c r="L202" s="1443"/>
      <c r="M202" s="1443"/>
      <c r="N202" s="1443"/>
      <c r="R202" s="250"/>
    </row>
    <row r="203" spans="2:18" x14ac:dyDescent="0.2">
      <c r="B203" s="284"/>
      <c r="C203" s="1424" t="s">
        <v>758</v>
      </c>
      <c r="E203" s="1441"/>
      <c r="F203" s="225">
        <f>'1-CAPEX'!X32</f>
        <v>12107.893880348733</v>
      </c>
      <c r="G203" s="1442"/>
      <c r="H203" s="1442"/>
      <c r="I203" s="1443"/>
      <c r="J203" s="1443"/>
      <c r="K203" s="1443"/>
      <c r="L203" s="1443"/>
      <c r="M203" s="1443"/>
      <c r="N203" s="1443"/>
      <c r="R203" s="250"/>
    </row>
    <row r="204" spans="2:18" x14ac:dyDescent="0.2">
      <c r="B204" s="284"/>
      <c r="C204" s="1465" t="s">
        <v>759</v>
      </c>
      <c r="D204" s="1446"/>
      <c r="E204" s="1448"/>
      <c r="F204" s="1448">
        <f>'1-CAPEX'!Y32</f>
        <v>20179.823133914557</v>
      </c>
      <c r="G204" s="1448"/>
      <c r="H204" s="1448"/>
      <c r="I204" s="1448"/>
      <c r="J204" s="1448"/>
      <c r="K204" s="1448"/>
      <c r="L204" s="1448"/>
      <c r="M204" s="1448"/>
      <c r="N204" s="1448"/>
      <c r="R204" s="250"/>
    </row>
    <row r="205" spans="2:18" x14ac:dyDescent="0.2">
      <c r="B205" s="284"/>
      <c r="C205" s="1424" t="s">
        <v>760</v>
      </c>
      <c r="D205" s="1443">
        <f>SUM(D196:D203)</f>
        <v>0</v>
      </c>
      <c r="E205" s="1443">
        <f>SUM(E196:E203)</f>
        <v>0</v>
      </c>
      <c r="F205" s="1443">
        <f>SUM(F196:F204)</f>
        <v>316661.59832796024</v>
      </c>
      <c r="G205" s="1443">
        <v>0</v>
      </c>
      <c r="H205" s="1443">
        <v>0</v>
      </c>
      <c r="I205" s="1443">
        <v>0</v>
      </c>
      <c r="J205" s="1443">
        <v>0</v>
      </c>
      <c r="K205" s="1443">
        <v>0</v>
      </c>
      <c r="L205" s="1443">
        <v>0</v>
      </c>
      <c r="M205" s="1443">
        <v>0</v>
      </c>
      <c r="N205" s="1443">
        <v>0</v>
      </c>
      <c r="R205" s="250"/>
    </row>
    <row r="206" spans="2:18" x14ac:dyDescent="0.2">
      <c r="B206" s="284"/>
      <c r="C206" s="1424"/>
      <c r="D206" s="567"/>
      <c r="E206" s="1450"/>
      <c r="F206" s="1450"/>
      <c r="G206" s="1417"/>
      <c r="H206" s="1417"/>
      <c r="I206" s="1450"/>
      <c r="J206" s="1450"/>
      <c r="K206" s="567"/>
      <c r="L206" s="567"/>
      <c r="M206" s="567"/>
      <c r="R206" s="250"/>
    </row>
    <row r="207" spans="2:18" x14ac:dyDescent="0.2">
      <c r="B207" s="284"/>
      <c r="R207" s="250"/>
    </row>
    <row r="208" spans="2:18" ht="17" thickBot="1" x14ac:dyDescent="0.25">
      <c r="B208" s="284"/>
      <c r="C208" s="1451" t="s">
        <v>771</v>
      </c>
      <c r="D208" s="1452">
        <f t="shared" ref="D208:N208" si="22">D181-D190</f>
        <v>0</v>
      </c>
      <c r="E208" s="1484">
        <f>E181-E190</f>
        <v>60900.910900335701</v>
      </c>
      <c r="F208" s="1484">
        <f t="shared" si="22"/>
        <v>63557.001568177977</v>
      </c>
      <c r="G208" s="1484">
        <f t="shared" si="22"/>
        <v>61116.55669273308</v>
      </c>
      <c r="H208" s="1484">
        <f t="shared" si="22"/>
        <v>72162.359381459566</v>
      </c>
      <c r="I208" s="1484">
        <f t="shared" si="22"/>
        <v>77441.697183085635</v>
      </c>
      <c r="J208" s="1484">
        <f t="shared" si="22"/>
        <v>77690.897953489621</v>
      </c>
      <c r="K208" s="1484">
        <f t="shared" si="22"/>
        <v>77904.492365518498</v>
      </c>
      <c r="L208" s="1484">
        <f t="shared" si="22"/>
        <v>77690.897953489621</v>
      </c>
      <c r="M208" s="1484">
        <f t="shared" si="22"/>
        <v>77690.897953489621</v>
      </c>
      <c r="N208" s="1484">
        <f t="shared" si="22"/>
        <v>77690.897953489621</v>
      </c>
      <c r="O208" s="1450"/>
      <c r="R208" s="250"/>
    </row>
    <row r="209" spans="2:18" x14ac:dyDescent="0.2">
      <c r="B209" s="284"/>
      <c r="C209" s="567" t="s">
        <v>762</v>
      </c>
      <c r="D209" s="1462"/>
      <c r="E209" s="1462"/>
      <c r="F209" s="226">
        <f t="shared" ref="F209:N209" si="23">F208-F205</f>
        <v>-253104.59675978226</v>
      </c>
      <c r="G209" s="226">
        <f t="shared" si="23"/>
        <v>61116.55669273308</v>
      </c>
      <c r="H209" s="226">
        <f t="shared" si="23"/>
        <v>72162.359381459566</v>
      </c>
      <c r="I209" s="226">
        <f t="shared" si="23"/>
        <v>77441.697183085635</v>
      </c>
      <c r="J209" s="226">
        <f t="shared" si="23"/>
        <v>77690.897953489621</v>
      </c>
      <c r="K209" s="226">
        <f t="shared" si="23"/>
        <v>77904.492365518498</v>
      </c>
      <c r="L209" s="226">
        <f t="shared" si="23"/>
        <v>77690.897953489621</v>
      </c>
      <c r="M209" s="226">
        <f t="shared" si="23"/>
        <v>77690.897953489621</v>
      </c>
      <c r="N209" s="226">
        <f t="shared" si="23"/>
        <v>77690.897953489621</v>
      </c>
      <c r="O209" s="1417"/>
      <c r="R209" s="250"/>
    </row>
    <row r="210" spans="2:18" x14ac:dyDescent="0.2">
      <c r="B210" s="284"/>
      <c r="C210" s="567" t="s">
        <v>763</v>
      </c>
      <c r="D210" s="1462"/>
      <c r="E210" s="1462"/>
      <c r="F210" s="226">
        <f t="shared" ref="F210:N210" si="24">E210+F209</f>
        <v>-253104.59675978226</v>
      </c>
      <c r="G210" s="226">
        <f t="shared" si="24"/>
        <v>-191988.04006704918</v>
      </c>
      <c r="H210" s="226">
        <f t="shared" si="24"/>
        <v>-119825.68068558961</v>
      </c>
      <c r="I210" s="226">
        <f t="shared" si="24"/>
        <v>-42383.983502503979</v>
      </c>
      <c r="J210" s="226">
        <f t="shared" si="24"/>
        <v>35306.914450985641</v>
      </c>
      <c r="K210" s="226">
        <f t="shared" si="24"/>
        <v>113211.40681650414</v>
      </c>
      <c r="L210" s="226">
        <f t="shared" si="24"/>
        <v>190902.30476999376</v>
      </c>
      <c r="M210" s="226">
        <f t="shared" si="24"/>
        <v>268593.20272348338</v>
      </c>
      <c r="N210" s="226">
        <f t="shared" si="24"/>
        <v>346284.100676973</v>
      </c>
      <c r="O210" s="1417"/>
      <c r="R210" s="250"/>
    </row>
    <row r="211" spans="2:18" ht="17" thickBot="1" x14ac:dyDescent="0.25">
      <c r="B211" s="518"/>
      <c r="C211" s="611"/>
      <c r="D211" s="611"/>
      <c r="E211" s="611"/>
      <c r="F211" s="611"/>
      <c r="G211" s="611"/>
      <c r="H211" s="611"/>
      <c r="I211" s="611"/>
      <c r="J211" s="611"/>
      <c r="K211" s="611"/>
      <c r="L211" s="611"/>
      <c r="M211" s="611"/>
      <c r="N211" s="611"/>
      <c r="O211" s="611"/>
      <c r="P211" s="611"/>
      <c r="Q211" s="611"/>
      <c r="R211" s="575"/>
    </row>
  </sheetData>
  <mergeCells count="11">
    <mergeCell ref="P177:Q177"/>
    <mergeCell ref="P135:Q135"/>
    <mergeCell ref="P93:Q93"/>
    <mergeCell ref="P51:Q51"/>
    <mergeCell ref="A1:E1"/>
    <mergeCell ref="B4:R5"/>
    <mergeCell ref="P10:Q10"/>
    <mergeCell ref="B45:R46"/>
    <mergeCell ref="B87:R88"/>
    <mergeCell ref="B129:R130"/>
    <mergeCell ref="B171:R172"/>
  </mergeCells>
  <conditionalFormatting sqref="E42:N43 E83:N84 E125:N126 F167:N168 F209:N210">
    <cfRule type="expression" dxfId="7" priority="1" stopIfTrue="1">
      <formula>E42&lt;0</formula>
    </cfRule>
  </conditionalFormatting>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396DA-0F8E-F64C-85AA-3305EA1F96E6}">
  <sheetPr>
    <tabColor theme="3" tint="0.249977111117893"/>
  </sheetPr>
  <dimension ref="A1:Z84"/>
  <sheetViews>
    <sheetView showGridLines="0" topLeftCell="P20" zoomScale="125" workbookViewId="0">
      <selection activeCell="S76" sqref="S76"/>
    </sheetView>
  </sheetViews>
  <sheetFormatPr baseColWidth="10" defaultColWidth="11" defaultRowHeight="16" x14ac:dyDescent="0.2"/>
  <cols>
    <col min="2" max="2" width="26" bestFit="1" customWidth="1"/>
    <col min="3" max="3" width="15.6640625" customWidth="1"/>
    <col min="4" max="4" width="16.83203125" customWidth="1"/>
    <col min="5" max="5" width="17.5" customWidth="1"/>
    <col min="6" max="6" width="16.33203125" customWidth="1"/>
    <col min="7" max="7" width="16.6640625" customWidth="1"/>
    <col min="8" max="8" width="16" customWidth="1"/>
    <col min="9" max="9" width="17.5" customWidth="1"/>
    <col min="10" max="10" width="16.5" customWidth="1"/>
    <col min="11" max="11" width="17.33203125" customWidth="1"/>
    <col min="12" max="12" width="16.33203125" customWidth="1"/>
    <col min="13" max="13" width="17.6640625" customWidth="1"/>
    <col min="15" max="15" width="26" bestFit="1" customWidth="1"/>
    <col min="16" max="16" width="16.6640625" customWidth="1"/>
    <col min="17" max="17" width="16" customWidth="1"/>
    <col min="18" max="18" width="17.5" customWidth="1"/>
    <col min="19" max="19" width="16" customWidth="1"/>
    <col min="20" max="20" width="17" customWidth="1"/>
    <col min="21" max="22" width="16.33203125" customWidth="1"/>
    <col min="23" max="23" width="17" customWidth="1"/>
    <col min="24" max="24" width="17.5" customWidth="1"/>
    <col min="25" max="25" width="16.6640625" customWidth="1"/>
    <col min="26" max="26" width="17" customWidth="1"/>
    <col min="27" max="27" width="11.1640625" customWidth="1"/>
  </cols>
  <sheetData>
    <row r="1" spans="1:16" ht="35" thickBot="1" x14ac:dyDescent="0.25">
      <c r="A1" s="1900" t="s">
        <v>775</v>
      </c>
      <c r="B1" s="1936"/>
      <c r="C1" s="1936"/>
      <c r="D1" s="1936"/>
      <c r="E1" s="1901"/>
    </row>
    <row r="4" spans="1:16" ht="17" thickBot="1" x14ac:dyDescent="0.25"/>
    <row r="5" spans="1:16" ht="17" thickBot="1" x14ac:dyDescent="0.25">
      <c r="C5" s="1867">
        <v>2025</v>
      </c>
      <c r="D5" s="1867">
        <v>2026</v>
      </c>
      <c r="E5" s="1867">
        <v>2027</v>
      </c>
      <c r="F5" s="1867">
        <v>2028</v>
      </c>
      <c r="G5" s="1867">
        <v>2029</v>
      </c>
      <c r="H5" s="1867">
        <v>2030</v>
      </c>
      <c r="I5" s="1867">
        <v>2031</v>
      </c>
      <c r="J5" s="1867">
        <v>2032</v>
      </c>
      <c r="K5" s="1867">
        <v>2033</v>
      </c>
      <c r="L5" s="1867">
        <v>2034</v>
      </c>
      <c r="M5" s="1867">
        <v>2035</v>
      </c>
      <c r="O5" s="680" t="s">
        <v>272</v>
      </c>
      <c r="P5" s="681">
        <v>142</v>
      </c>
    </row>
    <row r="6" spans="1:16" x14ac:dyDescent="0.2">
      <c r="B6" s="1491" t="s">
        <v>226</v>
      </c>
      <c r="C6" s="152">
        <v>365</v>
      </c>
      <c r="D6" s="152">
        <v>365</v>
      </c>
      <c r="E6" s="152">
        <v>365</v>
      </c>
      <c r="F6" s="152">
        <v>366</v>
      </c>
      <c r="G6" s="152">
        <v>365</v>
      </c>
      <c r="H6" s="152">
        <v>365</v>
      </c>
      <c r="I6" s="152">
        <v>365</v>
      </c>
      <c r="J6" s="152">
        <v>366</v>
      </c>
      <c r="K6" s="152">
        <v>365</v>
      </c>
      <c r="L6" s="152">
        <v>365</v>
      </c>
      <c r="M6" s="154">
        <v>365</v>
      </c>
      <c r="O6" s="559" t="s">
        <v>104</v>
      </c>
      <c r="P6" s="1721">
        <f>'PRELIMINARY ANALYSIS'!$K$23</f>
        <v>2.1181818181818177E-2</v>
      </c>
    </row>
    <row r="7" spans="1:16" x14ac:dyDescent="0.2">
      <c r="B7" s="52" t="s">
        <v>776</v>
      </c>
      <c r="C7">
        <f t="shared" ref="C7:M7" si="0">C6*142</f>
        <v>51830</v>
      </c>
      <c r="D7">
        <f t="shared" si="0"/>
        <v>51830</v>
      </c>
      <c r="E7">
        <f t="shared" si="0"/>
        <v>51830</v>
      </c>
      <c r="F7">
        <f t="shared" si="0"/>
        <v>51972</v>
      </c>
      <c r="G7">
        <f t="shared" si="0"/>
        <v>51830</v>
      </c>
      <c r="H7">
        <f t="shared" si="0"/>
        <v>51830</v>
      </c>
      <c r="I7">
        <f t="shared" si="0"/>
        <v>51830</v>
      </c>
      <c r="J7">
        <f t="shared" si="0"/>
        <v>51972</v>
      </c>
      <c r="K7">
        <f t="shared" si="0"/>
        <v>51830</v>
      </c>
      <c r="L7">
        <f t="shared" si="0"/>
        <v>51830</v>
      </c>
      <c r="M7" s="144">
        <f t="shared" si="0"/>
        <v>51830</v>
      </c>
      <c r="O7" s="559" t="s">
        <v>223</v>
      </c>
      <c r="P7" s="1721">
        <f>'PRELIMINARY ANALYSIS'!$K$25</f>
        <v>8.0202527216806044E-3</v>
      </c>
    </row>
    <row r="8" spans="1:16" ht="17" thickBot="1" x14ac:dyDescent="0.25">
      <c r="B8" s="1492" t="s">
        <v>777</v>
      </c>
      <c r="C8" s="1493">
        <f t="shared" ref="C8:M8" si="1">C19*C7</f>
        <v>38581.635673740864</v>
      </c>
      <c r="D8" s="1493">
        <f t="shared" si="1"/>
        <v>38460.807581515983</v>
      </c>
      <c r="E8" s="1493">
        <f t="shared" si="1"/>
        <v>38436.509911794041</v>
      </c>
      <c r="F8" s="1493">
        <f t="shared" si="1"/>
        <v>38613.821110409946</v>
      </c>
      <c r="G8" s="1493">
        <f t="shared" si="1"/>
        <v>39735.511545070513</v>
      </c>
      <c r="H8" s="1493">
        <f t="shared" si="1"/>
        <v>41399.167819977731</v>
      </c>
      <c r="I8" s="1493">
        <f>I19*I7</f>
        <v>41476.511756558873</v>
      </c>
      <c r="J8" s="1493">
        <f t="shared" si="1"/>
        <v>41590.146035343969</v>
      </c>
      <c r="K8" s="1493">
        <f t="shared" si="1"/>
        <v>41476.511756558873</v>
      </c>
      <c r="L8" s="1493">
        <f t="shared" si="1"/>
        <v>41476.511756558873</v>
      </c>
      <c r="M8" s="1494">
        <f t="shared" si="1"/>
        <v>41476.511756558873</v>
      </c>
      <c r="N8" s="1480"/>
      <c r="O8" s="559" t="s">
        <v>122</v>
      </c>
      <c r="P8" s="1721">
        <f>'PRELIMINARY ANALYSIS'!$C$52</f>
        <v>1.8682485821326367E-3</v>
      </c>
    </row>
    <row r="9" spans="1:16" ht="17" thickBot="1" x14ac:dyDescent="0.25">
      <c r="O9" s="682" t="s">
        <v>256</v>
      </c>
      <c r="P9" s="1721">
        <f>'1-INCREMENTAL CF'!Q11</f>
        <v>6.9499999999999992E-2</v>
      </c>
    </row>
    <row r="10" spans="1:16" ht="17" thickBot="1" x14ac:dyDescent="0.25">
      <c r="B10" s="2084" t="s">
        <v>778</v>
      </c>
      <c r="C10" s="2085"/>
      <c r="D10" s="2085"/>
      <c r="E10" s="2085"/>
      <c r="F10" s="2085"/>
      <c r="G10" s="2085"/>
      <c r="H10" s="2085"/>
      <c r="I10" s="2085"/>
      <c r="J10" s="2085"/>
      <c r="K10" s="2085"/>
      <c r="L10" s="2085"/>
      <c r="M10" s="2086"/>
    </row>
    <row r="11" spans="1:16" x14ac:dyDescent="0.2">
      <c r="B11" s="52" t="s">
        <v>131</v>
      </c>
      <c r="C11">
        <f>' P&amp;L Normal Situation'!AB12</f>
        <v>120.64994404825795</v>
      </c>
      <c r="D11">
        <f>' P&amp;L Normal Situation'!AF12</f>
        <v>121.6175870903816</v>
      </c>
      <c r="E11">
        <f>' P&amp;L Normal Situation'!AJ12</f>
        <v>122.59299087424746</v>
      </c>
      <c r="F11">
        <f>' P&amp;L Normal Situation'!AN12</f>
        <v>123.57621764296562</v>
      </c>
      <c r="G11">
        <f>' P&amp;L Normal Situation'!AR12</f>
        <v>124.5673301388516</v>
      </c>
      <c r="H11">
        <f>' P&amp;L Normal Situation'!AV12</f>
        <v>125.56639160743022</v>
      </c>
      <c r="I11">
        <f>' P&amp;L Normal Situation'!AZ12</f>
        <v>126.57346580147133</v>
      </c>
      <c r="J11">
        <f>' P&amp;L Normal Situation'!BD12</f>
        <v>127.58861698505812</v>
      </c>
      <c r="K11">
        <f>' P&amp;L Normal Situation'!BH12</f>
        <v>128.61190993768801</v>
      </c>
      <c r="L11">
        <f>' P&amp;L Normal Situation'!BL12</f>
        <v>129.64340995840629</v>
      </c>
      <c r="M11" s="144">
        <f>' P&amp;L Normal Situation'!BP12</f>
        <v>130.68318286997317</v>
      </c>
      <c r="O11" s="1635"/>
    </row>
    <row r="12" spans="1:16" x14ac:dyDescent="0.2">
      <c r="B12" s="52" t="s">
        <v>779</v>
      </c>
      <c r="C12" s="189">
        <f>' P&amp;L Normal Situation'!AB11</f>
        <v>0.7443881086965245</v>
      </c>
      <c r="D12" s="189">
        <f>' P&amp;L Normal Situation'!AF11</f>
        <v>0.74577881072515317</v>
      </c>
      <c r="E12" s="189">
        <f>' P&amp;L Normal Situation'!AJ11</f>
        <v>0.74717211093087499</v>
      </c>
      <c r="F12" s="189">
        <f>' P&amp;L Normal Situation'!AN11</f>
        <v>0.74856801416773067</v>
      </c>
      <c r="G12" s="189">
        <f>' P&amp;L Normal Situation'!AR11</f>
        <v>0.74996652529882935</v>
      </c>
      <c r="H12" s="189">
        <f>' P&amp;L Normal Situation'!AV11</f>
        <v>0.75136764919636578</v>
      </c>
      <c r="I12" s="189">
        <f>' P&amp;L Normal Situation'!AZ11</f>
        <v>0.75136764919636578</v>
      </c>
      <c r="J12" s="189">
        <f>' P&amp;L Normal Situation'!BD11</f>
        <v>0.75136764919636578</v>
      </c>
      <c r="K12" s="189">
        <f>' P&amp;L Normal Situation'!BH11</f>
        <v>0.75136764919636578</v>
      </c>
      <c r="L12" s="189">
        <f>' P&amp;L Normal Situation'!BL11</f>
        <v>0.75136764919636578</v>
      </c>
      <c r="M12" s="1645">
        <f>' P&amp;L Normal Situation'!BP11</f>
        <v>0.75136764919636578</v>
      </c>
    </row>
    <row r="13" spans="1:16" ht="17" thickBot="1" x14ac:dyDescent="0.25">
      <c r="B13" s="1639" t="s">
        <v>230</v>
      </c>
      <c r="C13" s="1556">
        <f t="shared" ref="C13:M13" si="2">C11*C12</f>
        <v>89.810383664424236</v>
      </c>
      <c r="D13" s="1556">
        <f t="shared" si="2"/>
        <v>90.699819463527533</v>
      </c>
      <c r="E13" s="1556">
        <f t="shared" si="2"/>
        <v>91.598063776840974</v>
      </c>
      <c r="F13" s="1556">
        <f t="shared" si="2"/>
        <v>92.505203839354053</v>
      </c>
      <c r="G13" s="1556">
        <f t="shared" si="2"/>
        <v>93.421327749986673</v>
      </c>
      <c r="H13" s="1556">
        <f t="shared" si="2"/>
        <v>94.346524480145121</v>
      </c>
      <c r="I13" s="1556">
        <f t="shared" si="2"/>
        <v>95.103207449888117</v>
      </c>
      <c r="J13" s="1556">
        <f t="shared" si="2"/>
        <v>95.865959208278625</v>
      </c>
      <c r="K13" s="1556">
        <f t="shared" si="2"/>
        <v>96.634828428535357</v>
      </c>
      <c r="L13" s="1556">
        <f t="shared" si="2"/>
        <v>97.409864174248455</v>
      </c>
      <c r="M13" s="1640">
        <f t="shared" si="2"/>
        <v>98.191115902510518</v>
      </c>
    </row>
    <row r="14" spans="1:16" ht="17" thickTop="1" x14ac:dyDescent="0.2">
      <c r="B14" s="1646" t="s">
        <v>780</v>
      </c>
      <c r="C14" s="1557">
        <f>' P&amp;L Normal Situation'!AB29</f>
        <v>3221846.0259181289</v>
      </c>
      <c r="D14" s="1557">
        <f>' P&amp;L Normal Situation'!AF29</f>
        <v>3252469.8981328565</v>
      </c>
      <c r="E14" s="1557">
        <f>' P&amp;L Normal Situation'!AJ29</f>
        <v>3283383.2145893355</v>
      </c>
      <c r="F14" s="1557">
        <f>' P&amp;L Normal Situation'!AN29</f>
        <v>3323730.1212448128</v>
      </c>
      <c r="G14" s="1557">
        <f>' P&amp;L Normal Situation'!AR29</f>
        <v>3346175.0592888207</v>
      </c>
      <c r="H14" s="1557">
        <f>' P&amp;L Normal Situation'!AV29</f>
        <v>3378060.3603278631</v>
      </c>
      <c r="I14" s="1557">
        <f>' P&amp;L Normal Situation'!AZ29</f>
        <v>3403866.6868711999</v>
      </c>
      <c r="J14" s="1557">
        <f>' P&amp;L Normal Situation'!BD29</f>
        <v>3439303.9437040766</v>
      </c>
      <c r="K14" s="1557">
        <f>' P&amp;L Normal Situation'!BH29</f>
        <v>3456101.919717819</v>
      </c>
      <c r="L14" s="1557">
        <f>' P&amp;L Normal Situation'!BL29</f>
        <v>3482534.1592902569</v>
      </c>
      <c r="M14" s="1647">
        <f>' P&amp;L Normal Situation'!BP29</f>
        <v>3509178.3921040669</v>
      </c>
    </row>
    <row r="15" spans="1:16" ht="17" thickBot="1" x14ac:dyDescent="0.25">
      <c r="B15" s="1116" t="s">
        <v>241</v>
      </c>
      <c r="C15" s="830">
        <f>' P&amp;L Normal Situation'!AB36</f>
        <v>1843250.5713726743</v>
      </c>
      <c r="D15" s="830">
        <f>' P&amp;L Normal Situation'!AF36</f>
        <v>1844673.285322939</v>
      </c>
      <c r="E15" s="830">
        <f>' P&amp;L Normal Situation'!AJ36</f>
        <v>1845766.909889899</v>
      </c>
      <c r="F15" s="830">
        <f>' P&amp;L Normal Situation'!AN36</f>
        <v>1855662.4893640154</v>
      </c>
      <c r="G15" s="830">
        <f>' P&amp;L Normal Situation'!AR36</f>
        <v>1847011.0857509119</v>
      </c>
      <c r="H15" s="830">
        <f>' P&amp;L Normal Situation'!AV36</f>
        <v>1847141.3680777424</v>
      </c>
      <c r="I15" s="830">
        <f>' P&amp;L Normal Situation'!AZ36</f>
        <v>1840520.0468761446</v>
      </c>
      <c r="J15" s="830">
        <f>' P&amp;L Normal Situation'!BD36</f>
        <v>1842842.7794254897</v>
      </c>
      <c r="K15" s="830">
        <f>' P&amp;L Normal Situation'!BH36</f>
        <v>1825824.8053231493</v>
      </c>
      <c r="L15" s="830">
        <f>' P&amp;L Normal Situation'!BL36</f>
        <v>1817724.8114724997</v>
      </c>
      <c r="M15" s="1648">
        <f>' P&amp;L Normal Situation'!BP36</f>
        <v>1809105.3553734429</v>
      </c>
    </row>
    <row r="16" spans="1:16" ht="17" thickBot="1" x14ac:dyDescent="0.25"/>
    <row r="17" spans="2:26" ht="17" thickBot="1" x14ac:dyDescent="0.25">
      <c r="B17" s="2084" t="s">
        <v>781</v>
      </c>
      <c r="C17" s="2085"/>
      <c r="D17" s="2085"/>
      <c r="E17" s="2085"/>
      <c r="F17" s="2085"/>
      <c r="G17" s="2085"/>
      <c r="H17" s="2085"/>
      <c r="I17" s="2085"/>
      <c r="J17" s="2085"/>
      <c r="K17" s="2085"/>
      <c r="L17" s="2085"/>
      <c r="M17" s="2086"/>
    </row>
    <row r="18" spans="2:26" x14ac:dyDescent="0.2">
      <c r="B18" s="52" t="s">
        <v>131</v>
      </c>
      <c r="C18" s="1649">
        <f>'1-P&amp;L Modified'!AB11</f>
        <v>120.64994404825795</v>
      </c>
      <c r="D18" s="182">
        <f>'1-P&amp;L Modified'!AF11</f>
        <v>126.44358485231193</v>
      </c>
      <c r="E18" s="182">
        <f>'1-P&amp;L Modified'!AJ11</f>
        <v>133.77987360047834</v>
      </c>
      <c r="F18" s="182">
        <f>'1-P&amp;L Modified'!AN11</f>
        <v>146.89301061987172</v>
      </c>
      <c r="G18" s="182">
        <f>'1-P&amp;L Modified'!AR11</f>
        <v>161.29150064388006</v>
      </c>
      <c r="H18" s="182">
        <f>'1-P&amp;L Modified'!AV11</f>
        <v>162.58509924090308</v>
      </c>
      <c r="I18" s="182">
        <f>'1-P&amp;L Modified'!AZ11</f>
        <v>163.88907282559464</v>
      </c>
      <c r="J18" s="182">
        <f>'1-P&amp;L Modified'!BD11</f>
        <v>165.20350460797783</v>
      </c>
      <c r="K18" s="182">
        <f>'1-P&amp;L Modified'!BH11</f>
        <v>166.52847846544114</v>
      </c>
      <c r="L18" s="182">
        <f>'1-P&amp;L Modified'!BL11</f>
        <v>167.86407894809093</v>
      </c>
      <c r="M18" s="1589">
        <f>'1-P&amp;L Modified'!BP11</f>
        <v>169.21039128414677</v>
      </c>
      <c r="N18" s="182"/>
    </row>
    <row r="19" spans="2:26" x14ac:dyDescent="0.2">
      <c r="B19" s="52" t="s">
        <v>779</v>
      </c>
      <c r="C19" s="189">
        <f>'1-P&amp;L Modified'!AB10</f>
        <v>0.7443881086965245</v>
      </c>
      <c r="D19" s="189">
        <f>'1-P&amp;L Modified'!AF10</f>
        <v>0.74205687018167055</v>
      </c>
      <c r="E19" s="189">
        <f>'1-P&amp;L Modified'!AJ10</f>
        <v>0.74158807470179511</v>
      </c>
      <c r="F19" s="189">
        <f>'1-P&amp;L Modified'!AN10</f>
        <v>0.74297354557088324</v>
      </c>
      <c r="G19" s="189">
        <f>'1-P&amp;L Modified'!AR10</f>
        <v>0.76665081121108458</v>
      </c>
      <c r="H19" s="189">
        <f>'1-P&amp;L Modified'!AV10</f>
        <v>0.7987491379505639</v>
      </c>
      <c r="I19" s="189">
        <f>'1-P&amp;L Modified'!AZ10</f>
        <v>0.80024139989501974</v>
      </c>
      <c r="J19" s="189">
        <f>'1-P&amp;L Modified'!BD10</f>
        <v>0.80024139989501974</v>
      </c>
      <c r="K19" s="189">
        <f>'1-P&amp;L Modified'!BH10</f>
        <v>0.80024139989501974</v>
      </c>
      <c r="L19" s="189">
        <f>'1-P&amp;L Modified'!BL10</f>
        <v>0.80024139989501974</v>
      </c>
      <c r="M19" s="1645">
        <f>'1-P&amp;L Modified'!BP10</f>
        <v>0.80024139989501974</v>
      </c>
      <c r="N19" s="189"/>
    </row>
    <row r="20" spans="2:26" ht="17" thickBot="1" x14ac:dyDescent="0.25">
      <c r="B20" s="1639" t="s">
        <v>230</v>
      </c>
      <c r="C20" s="1556">
        <f t="shared" ref="C20:M20" si="3">C18*C19</f>
        <v>89.810383664424236</v>
      </c>
      <c r="D20" s="1556">
        <f t="shared" si="3"/>
        <v>93.828330830057084</v>
      </c>
      <c r="E20" s="1556">
        <f t="shared" si="3"/>
        <v>99.209558897228234</v>
      </c>
      <c r="F20" s="1556">
        <f t="shared" si="3"/>
        <v>109.1376209198275</v>
      </c>
      <c r="G20" s="1556">
        <f t="shared" si="3"/>
        <v>123.65425981008381</v>
      </c>
      <c r="H20" s="1556">
        <f t="shared" si="3"/>
        <v>129.86470786227821</v>
      </c>
      <c r="I20" s="1556">
        <f t="shared" si="3"/>
        <v>131.15082106545069</v>
      </c>
      <c r="J20" s="1556">
        <f t="shared" si="3"/>
        <v>132.20268379505151</v>
      </c>
      <c r="K20" s="1556">
        <f t="shared" si="3"/>
        <v>133.26298272957226</v>
      </c>
      <c r="L20" s="1556">
        <f t="shared" si="3"/>
        <v>134.33178552950841</v>
      </c>
      <c r="M20" s="1640">
        <f t="shared" si="3"/>
        <v>135.40916039800965</v>
      </c>
    </row>
    <row r="21" spans="2:26" ht="17" thickTop="1" x14ac:dyDescent="0.2">
      <c r="B21" s="1646" t="s">
        <v>780</v>
      </c>
      <c r="C21" s="1557">
        <f>'1-P&amp;L Modified'!AB28</f>
        <v>3221846.0259181289</v>
      </c>
      <c r="D21" s="1557">
        <f>'1-P&amp;L Modified'!AF28</f>
        <v>3956714.7630055593</v>
      </c>
      <c r="E21" s="1557">
        <f>'1-P&amp;L Modified'!AJ28</f>
        <v>4236337.6430692477</v>
      </c>
      <c r="F21" s="1557">
        <f>'1-P&amp;L Modified'!AN28</f>
        <v>4538437.7489121892</v>
      </c>
      <c r="G21" s="1557">
        <f>'1-P&amp;L Modified'!AR28</f>
        <v>5387211.6466122176</v>
      </c>
      <c r="H21" s="1557">
        <f>'1-P&amp;L Modified'!AV28</f>
        <v>5645067.5227790382</v>
      </c>
      <c r="I21" s="1557">
        <f>'1-P&amp;L Modified'!AZ28</f>
        <v>5706315.276719165</v>
      </c>
      <c r="J21" s="1557">
        <f>'1-P&amp;L Modified'!BD28</f>
        <v>5773032.5524642644</v>
      </c>
      <c r="K21" s="1557">
        <f>'1-P&amp;L Modified'!BH28</f>
        <v>5811313.0775722433</v>
      </c>
      <c r="L21" s="1557">
        <f>'1-P&amp;L Modified'!BL28</f>
        <v>5864733.3524787892</v>
      </c>
      <c r="M21" s="1647">
        <f>'1-P&amp;L Modified'!BP28</f>
        <v>5918779.896343397</v>
      </c>
    </row>
    <row r="22" spans="2:26" ht="17" thickBot="1" x14ac:dyDescent="0.25">
      <c r="B22" s="1116" t="s">
        <v>241</v>
      </c>
      <c r="C22" s="830">
        <f>'1-P&amp;L Modified'!AB36</f>
        <v>1843250.5713726743</v>
      </c>
      <c r="D22" s="830">
        <f>'1-P&amp;L Modified'!AF36</f>
        <v>2246678.4631292666</v>
      </c>
      <c r="E22" s="830">
        <f>'1-P&amp;L Modified'!AJ36</f>
        <v>2526467.0326686092</v>
      </c>
      <c r="F22" s="830">
        <f>'1-P&amp;L Modified'!AN36</f>
        <v>2777202.8800657718</v>
      </c>
      <c r="G22" s="830">
        <f>'1-P&amp;L Modified'!AR36</f>
        <v>3516944.6119435211</v>
      </c>
      <c r="H22" s="830">
        <f>'1-P&amp;L Modified'!AV36</f>
        <v>3722151.5168315037</v>
      </c>
      <c r="I22" s="830">
        <f>'1-P&amp;L Modified'!AZ36</f>
        <v>3747986.2577490052</v>
      </c>
      <c r="J22" s="830">
        <f>'1-P&amp;L Modified'!BD36</f>
        <v>3778166.808273939</v>
      </c>
      <c r="K22" s="830">
        <f>'1-P&amp;L Modified'!BH36</f>
        <v>3781851.4937010705</v>
      </c>
      <c r="L22" s="830">
        <f>'1-P&amp;L Modified'!BL36</f>
        <v>3798647.5078895036</v>
      </c>
      <c r="M22" s="1648">
        <f>'1-P&amp;L Modified'!BP36</f>
        <v>3815345.058885579</v>
      </c>
      <c r="N22" s="182"/>
    </row>
    <row r="23" spans="2:26" ht="17" thickBot="1" x14ac:dyDescent="0.25"/>
    <row r="24" spans="2:26" ht="17" thickBot="1" x14ac:dyDescent="0.25">
      <c r="B24" s="2084" t="s">
        <v>782</v>
      </c>
      <c r="C24" s="2085"/>
      <c r="D24" s="2085"/>
      <c r="E24" s="2085"/>
      <c r="F24" s="2085"/>
      <c r="G24" s="2085"/>
      <c r="H24" s="2085"/>
      <c r="I24" s="2085"/>
      <c r="J24" s="2085"/>
      <c r="K24" s="2085"/>
      <c r="L24" s="2085"/>
      <c r="M24" s="2086"/>
      <c r="O24" s="2084" t="s">
        <v>783</v>
      </c>
      <c r="P24" s="2085"/>
      <c r="Q24" s="2085"/>
      <c r="R24" s="2085"/>
      <c r="S24" s="2085"/>
      <c r="T24" s="2085"/>
      <c r="U24" s="2085"/>
      <c r="V24" s="2085"/>
      <c r="W24" s="2085"/>
      <c r="X24" s="2085"/>
      <c r="Y24" s="2085"/>
      <c r="Z24" s="2086"/>
    </row>
    <row r="25" spans="2:26" x14ac:dyDescent="0.2">
      <c r="B25" s="52"/>
      <c r="D25" s="1644">
        <f>'1-P&amp;L Modified'!$AG$11-3%</f>
        <v>1.0000000000000002E-2</v>
      </c>
      <c r="E25" s="1644">
        <f>'1-P&amp;L Modified'!$AK$11-3%</f>
        <v>2.0000000000000004E-2</v>
      </c>
      <c r="F25" s="1644">
        <f>'1-P&amp;L Modified'!$AO$11-3%</f>
        <v>0.06</v>
      </c>
      <c r="G25" s="1644">
        <f>'1-P&amp;L Modified'!$AS$11-3%</f>
        <v>0.06</v>
      </c>
      <c r="M25" s="144"/>
      <c r="O25" s="52"/>
      <c r="Q25" s="1644">
        <f>'1-P&amp;L Modified'!$AG$10-3%</f>
        <v>-3.4999999999999996E-2</v>
      </c>
      <c r="R25" s="1650">
        <f>'1-P&amp;L Modified'!$AK$10-3%</f>
        <v>-3.2500000000000001E-2</v>
      </c>
      <c r="S25" s="1650">
        <f>'1-P&amp;L Modified'!$AO$10-3%</f>
        <v>-0.03</v>
      </c>
      <c r="T25" s="1644">
        <f>'1-P&amp;L Modified'!$AS$10-3%</f>
        <v>0</v>
      </c>
      <c r="U25" s="1644">
        <f>'1-P&amp;L Modified'!$AW$10-3%</f>
        <v>1.0000000000000002E-2</v>
      </c>
      <c r="Z25" s="144"/>
    </row>
    <row r="26" spans="2:26" x14ac:dyDescent="0.2">
      <c r="B26" s="52" t="s">
        <v>784</v>
      </c>
      <c r="C26" s="182">
        <f>C11</f>
        <v>120.64994404825795</v>
      </c>
      <c r="D26" s="182">
        <f>C26*(1+5%+$P$7)</f>
        <v>127.6500842927945</v>
      </c>
      <c r="E26" s="182">
        <f>D26*(1+5%+$P$7)</f>
        <v>135.05637444340627</v>
      </c>
      <c r="F26" s="182">
        <f>E26*(1+5%+$P$7)</f>
        <v>142.89237942028663</v>
      </c>
      <c r="G26" s="182">
        <f t="shared" ref="G26:M26" si="4">F26*(1+$P$7)</f>
        <v>144.03841241523961</v>
      </c>
      <c r="H26" s="182">
        <f t="shared" si="4"/>
        <v>145.19363688443948</v>
      </c>
      <c r="I26" s="182">
        <f t="shared" si="4"/>
        <v>146.35812654583262</v>
      </c>
      <c r="J26" s="182">
        <f t="shared" si="4"/>
        <v>147.53195570860191</v>
      </c>
      <c r="K26" s="182">
        <f t="shared" si="4"/>
        <v>148.71519927790868</v>
      </c>
      <c r="L26" s="182">
        <f t="shared" si="4"/>
        <v>149.9079327596726</v>
      </c>
      <c r="M26" s="1589">
        <f t="shared" si="4"/>
        <v>151.1102322653899</v>
      </c>
      <c r="N26" s="182"/>
      <c r="O26" s="52" t="s">
        <v>779</v>
      </c>
      <c r="P26" s="1568">
        <f>C12</f>
        <v>0.7443881086965245</v>
      </c>
      <c r="Q26" s="1568">
        <f t="shared" ref="Q26:Z26" si="5">P26*(1+$P$8+Q25)</f>
        <v>0.71972522692077479</v>
      </c>
      <c r="R26" s="1568">
        <f t="shared" si="5"/>
        <v>0.69767878268056949</v>
      </c>
      <c r="S26" s="1568">
        <f t="shared" si="5"/>
        <v>0.67805185659667944</v>
      </c>
      <c r="T26" s="1568">
        <f t="shared" si="5"/>
        <v>0.6793186260163786</v>
      </c>
      <c r="U26" s="1568">
        <f t="shared" si="5"/>
        <v>0.68738094833641383</v>
      </c>
      <c r="V26" s="1568">
        <f t="shared" si="5"/>
        <v>0.68866514681852831</v>
      </c>
      <c r="W26" s="1568">
        <f t="shared" si="5"/>
        <v>0.68995174450263619</v>
      </c>
      <c r="X26" s="1568">
        <f t="shared" si="5"/>
        <v>0.69124074587104323</v>
      </c>
      <c r="Y26" s="1568">
        <f t="shared" si="5"/>
        <v>0.69253215541442914</v>
      </c>
      <c r="Z26" s="1569">
        <f t="shared" si="5"/>
        <v>0.69382597763186338</v>
      </c>
    </row>
    <row r="27" spans="2:26" ht="17" thickBot="1" x14ac:dyDescent="0.25">
      <c r="B27" s="1639" t="s">
        <v>230</v>
      </c>
      <c r="C27" s="1556">
        <f t="shared" ref="C27:M27" si="6">C19*C26</f>
        <v>89.810383664424236</v>
      </c>
      <c r="D27" s="1556">
        <f t="shared" si="6"/>
        <v>94.723622028737509</v>
      </c>
      <c r="E27" s="1556">
        <f t="shared" si="6"/>
        <v>100.15619669969038</v>
      </c>
      <c r="F27" s="1556">
        <f t="shared" si="6"/>
        <v>106.16525777295027</v>
      </c>
      <c r="G27" s="1556">
        <f t="shared" si="6"/>
        <v>110.4271657237002</v>
      </c>
      <c r="H27" s="1556">
        <f t="shared" si="6"/>
        <v>115.97329229735324</v>
      </c>
      <c r="I27" s="1556">
        <f t="shared" si="6"/>
        <v>117.12183207304955</v>
      </c>
      <c r="J27" s="1556">
        <f t="shared" si="6"/>
        <v>118.06117876550165</v>
      </c>
      <c r="K27" s="1556">
        <f t="shared" si="6"/>
        <v>119.00805925582047</v>
      </c>
      <c r="L27" s="1556">
        <f t="shared" si="6"/>
        <v>119.96253396696889</v>
      </c>
      <c r="M27" s="1640">
        <f t="shared" si="6"/>
        <v>120.92466380651719</v>
      </c>
      <c r="O27" s="52" t="s">
        <v>293</v>
      </c>
      <c r="P27" s="1480">
        <f t="shared" ref="P27:Z27" si="7">P26*C7</f>
        <v>38581.635673740864</v>
      </c>
      <c r="Q27" s="1480">
        <f t="shared" si="7"/>
        <v>37303.358511303755</v>
      </c>
      <c r="R27" s="1480">
        <f t="shared" si="7"/>
        <v>36160.691306333916</v>
      </c>
      <c r="S27" s="1480">
        <f t="shared" si="7"/>
        <v>35239.711091042627</v>
      </c>
      <c r="T27" s="1480">
        <f t="shared" si="7"/>
        <v>35209.084386428905</v>
      </c>
      <c r="U27" s="1480">
        <f t="shared" si="7"/>
        <v>35626.954552276329</v>
      </c>
      <c r="V27" s="1480">
        <f t="shared" si="7"/>
        <v>35693.514559604322</v>
      </c>
      <c r="W27" s="1480">
        <f t="shared" si="7"/>
        <v>35858.172065291008</v>
      </c>
      <c r="X27" s="1480">
        <f t="shared" si="7"/>
        <v>35827.007858496174</v>
      </c>
      <c r="Y27" s="1480">
        <f t="shared" si="7"/>
        <v>35893.941615129865</v>
      </c>
      <c r="Z27" s="1651">
        <f t="shared" si="7"/>
        <v>35961.000420659482</v>
      </c>
    </row>
    <row r="28" spans="2:26" ht="18" thickTop="1" thickBot="1" x14ac:dyDescent="0.25">
      <c r="B28" s="52" t="s">
        <v>785</v>
      </c>
      <c r="C28" s="182">
        <f t="shared" ref="C28:M28" si="8">C26*C8</f>
        <v>4654872.185327108</v>
      </c>
      <c r="D28" s="182">
        <f t="shared" si="8"/>
        <v>4909525.329749465</v>
      </c>
      <c r="E28" s="182">
        <f t="shared" si="8"/>
        <v>5191095.6749449521</v>
      </c>
      <c r="F28" s="182">
        <f t="shared" si="8"/>
        <v>5517620.7769757714</v>
      </c>
      <c r="G28" s="182">
        <f t="shared" si="8"/>
        <v>5723439.9994593812</v>
      </c>
      <c r="H28" s="182">
        <f t="shared" si="8"/>
        <v>6010895.7397718187</v>
      </c>
      <c r="I28" s="182">
        <f t="shared" si="8"/>
        <v>6070424.5563461576</v>
      </c>
      <c r="J28" s="182">
        <f t="shared" si="8"/>
        <v>6135875.5828006519</v>
      </c>
      <c r="K28" s="182">
        <f t="shared" si="8"/>
        <v>6168187.7112291753</v>
      </c>
      <c r="L28" s="182">
        <f t="shared" si="8"/>
        <v>6217658.1355079981</v>
      </c>
      <c r="M28" s="1589">
        <f t="shared" si="8"/>
        <v>6267525.3250917858</v>
      </c>
      <c r="O28" s="1639" t="s">
        <v>230</v>
      </c>
      <c r="P28" s="1556">
        <f t="shared" ref="P28:Z28" si="9">C18*P26</f>
        <v>89.810383664424236</v>
      </c>
      <c r="Q28" s="1556">
        <f t="shared" si="9"/>
        <v>91.004637800506444</v>
      </c>
      <c r="R28" s="1556">
        <f t="shared" si="9"/>
        <v>93.335379360742181</v>
      </c>
      <c r="S28" s="1556">
        <f t="shared" si="9"/>
        <v>99.601078571879768</v>
      </c>
      <c r="T28" s="1556">
        <f t="shared" si="9"/>
        <v>109.56832060552044</v>
      </c>
      <c r="U28" s="1556">
        <f t="shared" si="9"/>
        <v>111.75789970158192</v>
      </c>
      <c r="V28" s="1556">
        <f t="shared" si="9"/>
        <v>112.86469239939061</v>
      </c>
      <c r="W28" s="1556">
        <f t="shared" si="9"/>
        <v>113.9824462022236</v>
      </c>
      <c r="X28" s="1556">
        <f t="shared" si="9"/>
        <v>115.11126966322149</v>
      </c>
      <c r="Y28" s="1556">
        <f t="shared" si="9"/>
        <v>116.25127241057932</v>
      </c>
      <c r="Z28" s="1640">
        <f t="shared" si="9"/>
        <v>117.40256515819327</v>
      </c>
    </row>
    <row r="29" spans="2:26" ht="17" thickTop="1" x14ac:dyDescent="0.2">
      <c r="B29" s="52" t="s">
        <v>237</v>
      </c>
      <c r="C29" s="182">
        <f>C28+$C$8*'1-P&amp;L Modified'!$AD$18+'1-SENSITIVITY'!$C$8*'1-P&amp;L Modified'!$AD$19+'1-SENSITIVITY'!$C$8*'1-P&amp;L Modified'!$AD$20</f>
        <v>6323875.3989681518</v>
      </c>
      <c r="D29" s="182">
        <f>D28+'1-F&amp;B'!$F$93+'1-P&amp;L Modified'!$AH$19*'1-SENSITIVITY'!D8+'1-P&amp;L Modified'!$AH$20*'1-SENSITIVITY'!D8</f>
        <v>7691587.7043732163</v>
      </c>
      <c r="E29" s="182">
        <f>E28+'1-F&amp;B'!$H$93+'1-P&amp;L Modified'!$AH$19*'1-SENSITIVITY'!E8+'1-P&amp;L Modified'!$AH$20*'1-SENSITIVITY'!E8</f>
        <v>7998524.3615385015</v>
      </c>
      <c r="F29" s="182">
        <f>F28+'1-F&amp;B'!$J$93+'1-P&amp;L Modified'!$AH$19*'1-SENSITIVITY'!F8+'1-P&amp;L Modified'!$AH$20*'1-SENSITIVITY'!F8</f>
        <v>8670020.6157717854</v>
      </c>
      <c r="G29" s="182">
        <f>G28+'1-F&amp;B'!$L$93+'1-P&amp;L Modified'!$AH$19*'1-SENSITIVITY'!G8+'1-P&amp;L Modified'!$AH$20*'1-SENSITIVITY'!G8</f>
        <v>9005143.7340605576</v>
      </c>
      <c r="H29" s="182">
        <f>H28+'1-F&amp;B'!$N$93+'1-P&amp;L Modified'!$AH$19*'1-SENSITIVITY'!H8+'1-P&amp;L Modified'!$AH$20*'1-SENSITIVITY'!H8</f>
        <v>9400862.6767819896</v>
      </c>
      <c r="I29" s="182">
        <f>I28+'1-F&amp;B'!$P$93+'1-P&amp;L Modified'!$AH$19*'1-SENSITIVITY'!I8+'1-P&amp;L Modified'!$AH$20*'1-SENSITIVITY'!I8</f>
        <v>9520508.8938374966</v>
      </c>
      <c r="J29" s="182">
        <f>J28+'1-F&amp;B'!$R$93+'1-P&amp;L Modified'!$AH$19*'1-SENSITIVITY'!J8+'1-P&amp;L Modified'!$AH$20*'1-SENSITIVITY'!J8</f>
        <v>9648526.1968433727</v>
      </c>
      <c r="K29" s="182">
        <f>K28+'1-F&amp;B'!$T$93+'1-P&amp;L Modified'!$AH$19*'1-SENSITIVITY'!K8+'1-P&amp;L Modified'!$AH$20*'1-SENSITIVITY'!K8</f>
        <v>9737344.7217385191</v>
      </c>
      <c r="L29" s="182">
        <f>L28+'1-F&amp;B'!$V$93+'1-P&amp;L Modified'!$AH$19*'1-SENSITIVITY'!L8+'1-P&amp;L Modified'!$AH$20*'1-SENSITIVITY'!L8</f>
        <v>9848249.7223572396</v>
      </c>
      <c r="M29" s="1589">
        <f>M28+'1-F&amp;B'!$X$93+'1-P&amp;L Modified'!$AH$19*'1-SENSITIVITY'!M8+'1-P&amp;L Modified'!$AH$20*'1-SENSITIVITY'!M8</f>
        <v>9960852.7843070347</v>
      </c>
      <c r="O29" s="52" t="s">
        <v>785</v>
      </c>
      <c r="P29" s="182">
        <f t="shared" ref="P29:Z29" si="10">C11*P27</f>
        <v>4654872.185327108</v>
      </c>
      <c r="Q29" s="182">
        <f t="shared" si="10"/>
        <v>4536744.4525122121</v>
      </c>
      <c r="R29" s="182">
        <f t="shared" si="10"/>
        <v>4433047.2993238736</v>
      </c>
      <c r="S29" s="182">
        <f t="shared" si="10"/>
        <v>4354790.2074619131</v>
      </c>
      <c r="T29" s="182">
        <f t="shared" si="10"/>
        <v>4385901.6386509752</v>
      </c>
      <c r="U29" s="182">
        <f t="shared" si="10"/>
        <v>4473548.1270912485</v>
      </c>
      <c r="V29" s="182">
        <f t="shared" si="10"/>
        <v>4517851.8444443969</v>
      </c>
      <c r="W29" s="182">
        <f t="shared" si="10"/>
        <v>4575094.5814227248</v>
      </c>
      <c r="X29" s="182">
        <f t="shared" si="10"/>
        <v>4607779.908033751</v>
      </c>
      <c r="Y29" s="182">
        <f t="shared" si="10"/>
        <v>4653412.9878333816</v>
      </c>
      <c r="Z29" s="1589">
        <f t="shared" si="10"/>
        <v>4699497.9941602247</v>
      </c>
    </row>
    <row r="30" spans="2:26" x14ac:dyDescent="0.2">
      <c r="B30" s="52" t="s">
        <v>238</v>
      </c>
      <c r="C30" s="182">
        <f>C28*'1-P&amp;L Modified'!$AC$23+'1-P&amp;L Modified'!$AB$24+'1-P&amp;L Modified'!$AB$25+'1-P&amp;L Modified'!$AB$26</f>
        <v>3101951.408688026</v>
      </c>
      <c r="D30" s="182">
        <f>D28*'1-P&amp;L Modified'!$AG$23+'1-F&amp;B'!$F$93*'1-F&amp;B'!$G$94+D8*'1-P&amp;L Modified'!$AH$19*'1-P&amp;L Modified'!$AG$25+'1-SENSITIVITY'!D8*'1-P&amp;L Modified'!$AH$20*'1-P&amp;L Modified'!$AG$26</f>
        <v>3483430.8416481824</v>
      </c>
      <c r="E30" s="182">
        <f>E28*'1-P&amp;L Modified'!$AG$23+'1-F&amp;B'!$H$93*'1-F&amp;B'!$I$94+E8*'1-P&amp;L Modified'!$AH$19*'1-P&amp;L Modified'!$AG$25+'1-SENSITIVITY'!E8*'1-P&amp;L Modified'!$AH$20*'1-P&amp;L Modified'!$AG$26</f>
        <v>3585193.214836638</v>
      </c>
      <c r="F30" s="182">
        <f>F28*'1-P&amp;L Modified'!$AG$23+'1-F&amp;B'!$J$93*'1-F&amp;B'!$K$94+F8*'1-P&amp;L Modified'!$AH$19*'1-P&amp;L Modified'!$AG$25+'1-SENSITIVITY'!F8*'1-P&amp;L Modified'!$AH$20*'1-P&amp;L Modified'!$AG$26</f>
        <v>3941100.6736849123</v>
      </c>
      <c r="G30" s="182">
        <f>G28*'1-P&amp;L Modified'!$AG$23+'1-F&amp;B'!$L$93*'1-F&amp;B'!$M$94+G8*'1-P&amp;L Modified'!$AH$19*'1-P&amp;L Modified'!$AG$25+'1-SENSITIVITY'!G8*'1-P&amp;L Modified'!$AH$20*'1-P&amp;L Modified'!$AG$26</f>
        <v>4092974.0877536321</v>
      </c>
      <c r="H30" s="182">
        <f>H28*'1-P&amp;L Modified'!$AG$23+'1-F&amp;B'!$N$93*'1-F&amp;B'!$O$94+H8*'1-P&amp;L Modified'!$AH$19*'1-P&amp;L Modified'!$AG$25+'1-SENSITIVITY'!H8*'1-P&amp;L Modified'!$AH$20*'1-P&amp;L Modified'!$AG$26</f>
        <v>4254739.7526321113</v>
      </c>
      <c r="I30" s="182">
        <f>I28*'1-P&amp;L Modified'!$AG$23+'1-F&amp;B'!$P$93*'1-F&amp;B'!$Q$94+I8*'1-P&amp;L Modified'!$AH$19*'1-P&amp;L Modified'!$AG$25+'1-SENSITIVITY'!I8*'1-P&amp;L Modified'!$AH$20*'1-P&amp;L Modified'!$AG$26</f>
        <v>4318037.8778912835</v>
      </c>
      <c r="J30" s="182">
        <f>J28*'1-P&amp;L Modified'!$AG$23+'1-F&amp;B'!$R$93*'1-F&amp;B'!$S$94+J8*'1-P&amp;L Modified'!$AH$19*'1-P&amp;L Modified'!$AG$25+'1-SENSITIVITY'!J8*'1-P&amp;L Modified'!$AH$20*'1-P&amp;L Modified'!$AG$26</f>
        <v>4384815.1816529036</v>
      </c>
      <c r="K30" s="182">
        <f>K28*'1-P&amp;L Modified'!$AG$23+'1-F&amp;B'!$T$93*'1-F&amp;B'!$U$94+K8*'1-P&amp;L Modified'!$AH$19*'1-P&amp;L Modified'!$AG$25+'1-SENSITIVITY'!K8*'1-P&amp;L Modified'!$AH$20*'1-P&amp;L Modified'!$AG$26</f>
        <v>4437990.2936703637</v>
      </c>
      <c r="L30" s="182">
        <f>L28*'1-P&amp;L Modified'!$AG$23+'1-F&amp;B'!$V$93*'1-F&amp;B'!$Y$94+L8*'1-P&amp;L Modified'!$AH$19*'1-P&amp;L Modified'!$AG$25+'1-SENSITIVITY'!L8*'1-P&amp;L Modified'!$AH$20*'1-P&amp;L Modified'!$AG$26</f>
        <v>4499581.0883179428</v>
      </c>
      <c r="M30" s="1589">
        <f>M28*'1-P&amp;L Modified'!$AG$23+'1-F&amp;B'!$X$93*'1-F&amp;B'!$AA$94+M8*'1-P&amp;L Modified'!$AH$19*'1-P&amp;L Modified'!$AG$25+'1-SENSITIVITY'!M8*'1-P&amp;L Modified'!$AH$20*'1-P&amp;L Modified'!$AG$26</f>
        <v>4562107.2966947453</v>
      </c>
      <c r="O30" s="52" t="s">
        <v>237</v>
      </c>
      <c r="P30" s="182">
        <f>P29+$C$8*'1-P&amp;L Modified'!$AD$18+'1-SENSITIVITY'!$C$8*'1-P&amp;L Modified'!$AD$19+'1-SENSITIVITY'!$C$8*'1-P&amp;L Modified'!$AD$20</f>
        <v>6323875.3989681518</v>
      </c>
      <c r="Q30" s="182">
        <f>Q29+'1-F&amp;B'!$F$93+'1-P&amp;L Modified'!$AH$19*'1-SENSITIVITY'!Q27+'1-P&amp;L Modified'!$AH$20*'1-SENSITIVITY'!Q27</f>
        <v>7300142.8645276017</v>
      </c>
      <c r="R30" s="182">
        <f>R29+'1-F&amp;B'!$H$93+'1-P&amp;L Modified'!$AH$19*'1-SENSITIVITY'!R27+'1-P&amp;L Modified'!$AH$20*'1-SENSITIVITY'!R27</f>
        <v>7203778.221455154</v>
      </c>
      <c r="S30" s="182">
        <f>S29+'1-F&amp;B'!$J$93+'1-P&amp;L Modified'!$AH$19*'1-SENSITIVITY'!S27+'1-P&amp;L Modified'!$AH$20*'1-SENSITIVITY'!S27</f>
        <v>7452782.2413197616</v>
      </c>
      <c r="T30" s="182">
        <f>T29+'1-F&amp;B'!$L$93+'1-P&amp;L Modified'!$AH$19*'1-SENSITIVITY'!T27+'1-P&amp;L Modified'!$AH$20*'1-SENSITIVITY'!T27</f>
        <v>7594616.358519204</v>
      </c>
      <c r="U30" s="182">
        <f>U29+'1-F&amp;B'!$N$93+'1-P&amp;L Modified'!$AH$19*'1-SENSITIVITY'!U27+'1-P&amp;L Modified'!$AH$20*'1-SENSITIVITY'!U27</f>
        <v>7770437.6446551271</v>
      </c>
      <c r="V30" s="182">
        <f>V29+'1-F&amp;B'!$P$93+'1-P&amp;L Modified'!$AH$19*'1-SENSITIVITY'!V27+'1-P&amp;L Modified'!$AH$20*'1-SENSITIVITY'!V27</f>
        <v>7874684.8707325356</v>
      </c>
      <c r="W30" s="182">
        <f>W29+'1-F&amp;B'!$R$93+'1-P&amp;L Modified'!$AH$19*'1-SENSITIVITY'!W27+'1-P&amp;L Modified'!$AH$20*'1-SENSITIVITY'!W27</f>
        <v>7995316.6380434316</v>
      </c>
      <c r="X30" s="182">
        <f>X29+'1-F&amp;B'!$T$93+'1-P&amp;L Modified'!$AH$19*'1-SENSITIVITY'!X27+'1-P&amp;L Modified'!$AH$20*'1-SENSITIVITY'!X27</f>
        <v>8085838.197897099</v>
      </c>
      <c r="Y30" s="182">
        <f>Y29+'1-F&amp;B'!$V$93+'1-P&amp;L Modified'!$AH$19*'1-SENSITIVITY'!Y27+'1-P&amp;L Modified'!$AH$20*'1-SENSITIVITY'!Y27</f>
        <v>8193985.1664342079</v>
      </c>
      <c r="Z30" s="1589">
        <f>Z29+'1-F&amp;B'!$X$93+'1-P&amp;L Modified'!$AH$19*'1-SENSITIVITY'!Z27+'1-P&amp;L Modified'!$AH$20*'1-SENSITIVITY'!Z27</f>
        <v>8303887.373948494</v>
      </c>
    </row>
    <row r="31" spans="2:26" x14ac:dyDescent="0.2">
      <c r="B31" s="1868" t="s">
        <v>780</v>
      </c>
      <c r="C31" s="1869">
        <f t="shared" ref="C31:M31" si="11">C29-C30</f>
        <v>3221923.9902801258</v>
      </c>
      <c r="D31" s="1869">
        <f t="shared" si="11"/>
        <v>4208156.8627250344</v>
      </c>
      <c r="E31" s="1869">
        <f t="shared" si="11"/>
        <v>4413331.146701863</v>
      </c>
      <c r="F31" s="1869">
        <f t="shared" si="11"/>
        <v>4728919.9420868736</v>
      </c>
      <c r="G31" s="1869">
        <f t="shared" si="11"/>
        <v>4912169.6463069255</v>
      </c>
      <c r="H31" s="1869">
        <f t="shared" si="11"/>
        <v>5146122.9241498783</v>
      </c>
      <c r="I31" s="1869">
        <f t="shared" si="11"/>
        <v>5202471.0159462132</v>
      </c>
      <c r="J31" s="1869">
        <f t="shared" si="11"/>
        <v>5263711.0151904691</v>
      </c>
      <c r="K31" s="1869">
        <f t="shared" si="11"/>
        <v>5299354.4280681554</v>
      </c>
      <c r="L31" s="1869">
        <f t="shared" si="11"/>
        <v>5348668.6340392968</v>
      </c>
      <c r="M31" s="1870">
        <f t="shared" si="11"/>
        <v>5398745.4876122894</v>
      </c>
      <c r="O31" s="52" t="s">
        <v>238</v>
      </c>
      <c r="P31" s="182">
        <f>P29*'1-P&amp;L Modified'!$AC$23+'1-P&amp;L Modified'!$AB$24+'1-P&amp;L Modified'!$AB$25+'1-P&amp;L Modified'!$AB$26</f>
        <v>3101951.408688026</v>
      </c>
      <c r="Q31" s="182">
        <f>Q29*'1-P&amp;L Modified'!$AG$23+'1-F&amp;B'!$F$93*'1-F&amp;B'!$G$94+Q27*'1-P&amp;L Modified'!$AH$19*'1-P&amp;L Modified'!$AG$25+'1-SENSITIVITY'!Q27*'1-P&amp;L Modified'!$AH$20*'1-P&amp;L Modified'!$AG$26</f>
        <v>3359122.1985443495</v>
      </c>
      <c r="R31" s="182">
        <f>R29*'1-P&amp;L Modified'!$AG$23+'1-F&amp;B'!$H$93*'1-F&amp;B'!$I$94+R27*'1-P&amp;L Modified'!$AH$19*'1-P&amp;L Modified'!$AG$25+'1-SENSITIVITY'!R27*'1-P&amp;L Modified'!$AH$20*'1-P&amp;L Modified'!$AG$26</f>
        <v>3333075.9679351761</v>
      </c>
      <c r="S31" s="182">
        <f>S29*'1-P&amp;L Modified'!$AG$23+'1-F&amp;B'!$J$93*'1-F&amp;B'!$K$94+S27*'1-P&amp;L Modified'!$AH$19*'1-P&amp;L Modified'!$AG$25+'1-SENSITIVITY'!S27*'1-P&amp;L Modified'!$AH$20*'1-P&amp;L Modified'!$AG$26</f>
        <v>3555355.3077857001</v>
      </c>
      <c r="T31" s="182">
        <f>T29*'1-P&amp;L Modified'!$AG$23+'1-F&amp;B'!$L$93*'1-F&amp;B'!$M$94+T27*'1-P&amp;L Modified'!$AH$19*'1-P&amp;L Modified'!$AG$25+'1-SENSITIVITY'!T27*'1-P&amp;L Modified'!$AH$20*'1-P&amp;L Modified'!$AG$26</f>
        <v>3643769.4512906391</v>
      </c>
      <c r="U31" s="182">
        <f>U29*'1-P&amp;L Modified'!$AG$23+'1-F&amp;B'!$N$93*'1-F&amp;B'!$O$94+U27*'1-P&amp;L Modified'!$AH$19*'1-P&amp;L Modified'!$AG$25+'1-SENSITIVITY'!U27*'1-P&amp;L Modified'!$AH$20*'1-P&amp;L Modified'!$AG$26</f>
        <v>3733572.9917542711</v>
      </c>
      <c r="V31" s="182">
        <f>V29*'1-P&amp;L Modified'!$AG$23+'1-F&amp;B'!$P$93*'1-F&amp;B'!$Q$94+V27*'1-P&amp;L Modified'!$AH$19*'1-P&amp;L Modified'!$AG$25+'1-SENSITIVITY'!V27*'1-P&amp;L Modified'!$AH$20*'1-P&amp;L Modified'!$AG$26</f>
        <v>3792105.2681284691</v>
      </c>
      <c r="W31" s="182">
        <f>W29*'1-P&amp;L Modified'!$AG$23+'1-F&amp;B'!$R$93*'1-F&amp;B'!$S$94+W27*'1-P&amp;L Modified'!$AH$19*'1-P&amp;L Modified'!$AG$25+'1-SENSITIVITY'!W27*'1-P&amp;L Modified'!$AH$20*'1-P&amp;L Modified'!$AG$26</f>
        <v>3856797.8486893843</v>
      </c>
      <c r="X31" s="182">
        <f>X29*'1-P&amp;L Modified'!$AG$23+'1-F&amp;B'!$T$93*'1-F&amp;B'!$U$94+X27*'1-P&amp;L Modified'!$AH$19*'1-P&amp;L Modified'!$AG$25+'1-SENSITIVITY'!X27*'1-P&amp;L Modified'!$AH$20*'1-P&amp;L Modified'!$AG$26</f>
        <v>3910790.7970891786</v>
      </c>
      <c r="Y31" s="182">
        <f>Y29*'1-P&amp;L Modified'!$AG$23+'1-F&amp;B'!$V$93*'1-F&amp;B'!$Y$94+Y27*'1-P&amp;L Modified'!$AH$19*'1-P&amp;L Modified'!$AG$25+'1-SENSITIVITY'!Y27*'1-P&amp;L Modified'!$AH$20*'1-P&amp;L Modified'!$AG$26</f>
        <v>3971774.3645119541</v>
      </c>
      <c r="Z31" s="1589">
        <f>Z29*'1-P&amp;L Modified'!$AG$23+'1-F&amp;B'!$X$93*'1-F&amp;B'!$AA$94+Z27*'1-P&amp;L Modified'!$AH$19*'1-P&amp;L Modified'!$AG$25+'1-SENSITIVITY'!Z27*'1-P&amp;L Modified'!$AH$20*'1-P&amp;L Modified'!$AG$26</f>
        <v>4033711.3457357348</v>
      </c>
    </row>
    <row r="32" spans="2:26" x14ac:dyDescent="0.2">
      <c r="B32" s="52" t="s">
        <v>274</v>
      </c>
      <c r="C32" s="182">
        <f>'1-P&amp;L Modified'!$AB$35</f>
        <v>1378595.4545454546</v>
      </c>
      <c r="D32" s="182">
        <f>'1-P&amp;L Modified'!$AF$35</f>
        <v>1710036.2998762927</v>
      </c>
      <c r="E32" s="182">
        <f>'1-P&amp;L Modified'!$AJ$35</f>
        <v>1709870.6104006385</v>
      </c>
      <c r="F32" s="182">
        <f>'1-P&amp;L Modified'!$AN$35</f>
        <v>1761234.8688464176</v>
      </c>
      <c r="G32" s="182">
        <f>'1-P&amp;L Modified'!$AR$35</f>
        <v>1870267.0346686966</v>
      </c>
      <c r="H32" s="182">
        <f>'1-P&amp;L Modified'!$AV$35</f>
        <v>1922916.0059475345</v>
      </c>
      <c r="I32" s="182">
        <f>'1-P&amp;L Modified'!$AZ$35</f>
        <v>1958329.0189701598</v>
      </c>
      <c r="J32" s="182">
        <f>'1-P&amp;L Modified'!$BD$35</f>
        <v>1994865.7441903255</v>
      </c>
      <c r="K32" s="182">
        <f>'1-P&amp;L Modified'!$BH$35</f>
        <v>2029461.5838711727</v>
      </c>
      <c r="L32" s="182">
        <f>'1-P&amp;L Modified'!$BL$35</f>
        <v>2066085.8445892853</v>
      </c>
      <c r="M32" s="1589">
        <f>'1-P&amp;L Modified'!$BP$35</f>
        <v>2103434.837457818</v>
      </c>
      <c r="O32" s="1868" t="s">
        <v>780</v>
      </c>
      <c r="P32" s="1869">
        <f t="shared" ref="P32:Z32" si="12">P30-P31</f>
        <v>3221923.9902801258</v>
      </c>
      <c r="Q32" s="1869">
        <f t="shared" si="12"/>
        <v>3941020.6659832522</v>
      </c>
      <c r="R32" s="1869">
        <f t="shared" si="12"/>
        <v>3870702.2535199779</v>
      </c>
      <c r="S32" s="1869">
        <f t="shared" si="12"/>
        <v>3897426.9335340615</v>
      </c>
      <c r="T32" s="1869">
        <f t="shared" si="12"/>
        <v>3950846.9072285648</v>
      </c>
      <c r="U32" s="1869">
        <f t="shared" si="12"/>
        <v>4036864.652900856</v>
      </c>
      <c r="V32" s="1869">
        <f t="shared" si="12"/>
        <v>4082579.6026040665</v>
      </c>
      <c r="W32" s="1869">
        <f t="shared" si="12"/>
        <v>4138518.7893540473</v>
      </c>
      <c r="X32" s="1869">
        <f>X30-X31</f>
        <v>4175047.4008079204</v>
      </c>
      <c r="Y32" s="1869">
        <f t="shared" si="12"/>
        <v>4222210.8019222543</v>
      </c>
      <c r="Z32" s="1870">
        <f t="shared" si="12"/>
        <v>4270176.0282127596</v>
      </c>
    </row>
    <row r="33" spans="2:26" x14ac:dyDescent="0.2">
      <c r="B33" s="1868" t="s">
        <v>241</v>
      </c>
      <c r="C33" s="1869">
        <f t="shared" ref="C33:M33" si="13">C31-C32</f>
        <v>1843328.5357346712</v>
      </c>
      <c r="D33" s="1869">
        <f t="shared" si="13"/>
        <v>2498120.5628487417</v>
      </c>
      <c r="E33" s="1869">
        <f t="shared" si="13"/>
        <v>2703460.5363012245</v>
      </c>
      <c r="F33" s="1869">
        <f t="shared" si="13"/>
        <v>2967685.0732404562</v>
      </c>
      <c r="G33" s="1869">
        <f t="shared" si="13"/>
        <v>3041902.6116382289</v>
      </c>
      <c r="H33" s="1869">
        <f t="shared" si="13"/>
        <v>3223206.9182023439</v>
      </c>
      <c r="I33" s="1869">
        <f t="shared" si="13"/>
        <v>3244141.9969760533</v>
      </c>
      <c r="J33" s="1869">
        <f t="shared" si="13"/>
        <v>3268845.2710001436</v>
      </c>
      <c r="K33" s="1869">
        <f t="shared" si="13"/>
        <v>3269892.8441969827</v>
      </c>
      <c r="L33" s="1869">
        <f t="shared" si="13"/>
        <v>3282582.7894500112</v>
      </c>
      <c r="M33" s="1870">
        <f t="shared" si="13"/>
        <v>3295310.6501544714</v>
      </c>
      <c r="O33" s="52" t="s">
        <v>274</v>
      </c>
      <c r="P33" s="182">
        <f>'1-P&amp;L Modified'!$AB$35</f>
        <v>1378595.4545454546</v>
      </c>
      <c r="Q33" s="182">
        <f>'1-P&amp;L Modified'!$AF$35</f>
        <v>1710036.2998762927</v>
      </c>
      <c r="R33" s="182">
        <f>'1-P&amp;L Modified'!$AJ$35</f>
        <v>1709870.6104006385</v>
      </c>
      <c r="S33" s="182">
        <f>'1-P&amp;L Modified'!$AN$35</f>
        <v>1761234.8688464176</v>
      </c>
      <c r="T33" s="182">
        <f>'1-P&amp;L Modified'!$AR$35</f>
        <v>1870267.0346686966</v>
      </c>
      <c r="U33" s="182">
        <f>'1-P&amp;L Modified'!$AV$35</f>
        <v>1922916.0059475345</v>
      </c>
      <c r="V33" s="182">
        <f>'1-P&amp;L Modified'!$AZ$35</f>
        <v>1958329.0189701598</v>
      </c>
      <c r="W33" s="182">
        <f>'1-P&amp;L Modified'!$BD$35</f>
        <v>1994865.7441903255</v>
      </c>
      <c r="X33" s="182">
        <f>'1-P&amp;L Modified'!$BH$35</f>
        <v>2029461.5838711727</v>
      </c>
      <c r="Y33" s="182">
        <f>'1-P&amp;L Modified'!$BL$35</f>
        <v>2066085.8445892853</v>
      </c>
      <c r="Z33" s="1589">
        <f>'1-P&amp;L Modified'!$BP$35</f>
        <v>2103434.837457818</v>
      </c>
    </row>
    <row r="34" spans="2:26" x14ac:dyDescent="0.2">
      <c r="B34" s="52" t="s">
        <v>277</v>
      </c>
      <c r="C34" s="182">
        <v>0</v>
      </c>
      <c r="D34" s="182">
        <f>D31*3%+D33*8%</f>
        <v>326094.35090965033</v>
      </c>
      <c r="E34" s="182">
        <f t="shared" ref="E34" si="14">E31*3%+E33*8%</f>
        <v>348676.77730515384</v>
      </c>
      <c r="F34" s="182">
        <f t="shared" ref="F34" si="15">F31*3%+F33*8%</f>
        <v>379282.4041218427</v>
      </c>
      <c r="G34" s="182">
        <f t="shared" ref="G34" si="16">G31*3%+G33*8%</f>
        <v>390717.29832026607</v>
      </c>
      <c r="H34" s="182">
        <f t="shared" ref="H34" si="17">H31*3%+H33*8%</f>
        <v>412240.24118068384</v>
      </c>
      <c r="I34" s="182">
        <f t="shared" ref="I34" si="18">I31*3%+I33*8%</f>
        <v>415605.49023647065</v>
      </c>
      <c r="J34" s="182">
        <f t="shared" ref="J34" si="19">J31*3%+J33*8%</f>
        <v>419418.95213572559</v>
      </c>
      <c r="K34" s="182">
        <f t="shared" ref="K34" si="20">K31*3%+K33*8%</f>
        <v>420572.06037780328</v>
      </c>
      <c r="L34" s="182">
        <f t="shared" ref="L34" si="21">L31*3%+L33*8%</f>
        <v>423066.68217717984</v>
      </c>
      <c r="M34" s="1589">
        <f t="shared" ref="M34" si="22">M31*3%+M33*8%</f>
        <v>425587.21664072643</v>
      </c>
      <c r="O34" s="1868" t="s">
        <v>241</v>
      </c>
      <c r="P34" s="1869">
        <f t="shared" ref="P34:Z34" si="23">P32-P33</f>
        <v>1843328.5357346712</v>
      </c>
      <c r="Q34" s="1869">
        <f t="shared" si="23"/>
        <v>2230984.3661069595</v>
      </c>
      <c r="R34" s="1869">
        <f t="shared" si="23"/>
        <v>2160831.6431193394</v>
      </c>
      <c r="S34" s="1869">
        <f t="shared" si="23"/>
        <v>2136192.0646876441</v>
      </c>
      <c r="T34" s="1869">
        <f t="shared" si="23"/>
        <v>2080579.8725598683</v>
      </c>
      <c r="U34" s="1869">
        <f t="shared" si="23"/>
        <v>2113948.6469533215</v>
      </c>
      <c r="V34" s="1869">
        <f t="shared" si="23"/>
        <v>2124250.5836339067</v>
      </c>
      <c r="W34" s="1869">
        <f t="shared" si="23"/>
        <v>2143653.0451637218</v>
      </c>
      <c r="X34" s="1869">
        <f t="shared" si="23"/>
        <v>2145585.8169367476</v>
      </c>
      <c r="Y34" s="1869">
        <f t="shared" si="23"/>
        <v>2156124.9573329687</v>
      </c>
      <c r="Z34" s="1870">
        <f t="shared" si="23"/>
        <v>2166741.1907549417</v>
      </c>
    </row>
    <row r="35" spans="2:26" x14ac:dyDescent="0.2">
      <c r="B35" s="1868" t="s">
        <v>243</v>
      </c>
      <c r="C35" s="1756">
        <f>C33-C34</f>
        <v>1843328.5357346712</v>
      </c>
      <c r="D35" s="1756">
        <f>D33-D34</f>
        <v>2172026.2119390913</v>
      </c>
      <c r="E35" s="1756">
        <f t="shared" ref="E35" si="24">E33-E34</f>
        <v>2354783.7589960708</v>
      </c>
      <c r="F35" s="1756">
        <f t="shared" ref="F35" si="25">F33-F34</f>
        <v>2588402.6691186135</v>
      </c>
      <c r="G35" s="1756">
        <f t="shared" ref="G35" si="26">G33-G34</f>
        <v>2651185.3133179629</v>
      </c>
      <c r="H35" s="1756">
        <f t="shared" ref="H35" si="27">H33-H34</f>
        <v>2810966.6770216599</v>
      </c>
      <c r="I35" s="1756">
        <f t="shared" ref="I35" si="28">I33-I34</f>
        <v>2828536.5067395829</v>
      </c>
      <c r="J35" s="1756">
        <f t="shared" ref="J35" si="29">J33-J34</f>
        <v>2849426.3188644182</v>
      </c>
      <c r="K35" s="1756">
        <f t="shared" ref="K35" si="30">K33-K34</f>
        <v>2849320.7838191795</v>
      </c>
      <c r="L35" s="1756">
        <f t="shared" ref="L35" si="31">L33-L34</f>
        <v>2859516.1072728313</v>
      </c>
      <c r="M35" s="1757">
        <f t="shared" ref="M35" si="32">M33-M34</f>
        <v>2869723.4335137447</v>
      </c>
      <c r="O35" s="52" t="s">
        <v>277</v>
      </c>
      <c r="P35" s="182">
        <v>0</v>
      </c>
      <c r="Q35" s="182">
        <f>Q32*3%+Q34*8%</f>
        <v>296709.36926805438</v>
      </c>
      <c r="R35" s="182">
        <f t="shared" ref="R35" si="33">R32*3%+R34*8%</f>
        <v>288987.59905514651</v>
      </c>
      <c r="S35" s="182">
        <f t="shared" ref="S35" si="34">S32*3%+S34*8%</f>
        <v>287818.1731810334</v>
      </c>
      <c r="T35" s="182">
        <f t="shared" ref="T35" si="35">T32*3%+T34*8%</f>
        <v>284971.7970216464</v>
      </c>
      <c r="U35" s="182">
        <f t="shared" ref="U35" si="36">U32*3%+U34*8%</f>
        <v>290221.83134329139</v>
      </c>
      <c r="V35" s="182">
        <f t="shared" ref="V35" si="37">V32*3%+V34*8%</f>
        <v>292417.4347688345</v>
      </c>
      <c r="W35" s="182">
        <f t="shared" ref="W35" si="38">W32*3%+W34*8%</f>
        <v>295647.80729371915</v>
      </c>
      <c r="X35" s="182">
        <f t="shared" ref="X35" si="39">X32*3%+X34*8%</f>
        <v>296898.2873791774</v>
      </c>
      <c r="Y35" s="182">
        <f t="shared" ref="Y35" si="40">Y32*3%+Y34*8%</f>
        <v>299156.32064430515</v>
      </c>
      <c r="Z35" s="1589">
        <f t="shared" ref="Z35" si="41">Z32*3%+Z34*8%</f>
        <v>301444.57610677811</v>
      </c>
    </row>
    <row r="36" spans="2:26" x14ac:dyDescent="0.2">
      <c r="B36" s="52" t="s">
        <v>250</v>
      </c>
      <c r="C36" s="182">
        <f>'1-P&amp;L Modified'!$AB$51</f>
        <v>-45000.000000000007</v>
      </c>
      <c r="D36" s="182">
        <f>'1-P&amp;L Modified'!$AF$51</f>
        <v>-12259.983188996339</v>
      </c>
      <c r="E36" s="182">
        <f>'1-P&amp;L Modified'!$AJ$51</f>
        <v>-13816.490105635996</v>
      </c>
      <c r="F36" s="182">
        <f>'1-P&amp;L Modified'!$AN$51</f>
        <v>-13108.307577873558</v>
      </c>
      <c r="G36" s="182">
        <f>'1-P&amp;L Modified'!$AR$51</f>
        <v>-12385.124456568519</v>
      </c>
      <c r="H36" s="182">
        <f>'1-P&amp;L Modified'!$AV$51</f>
        <v>-11646.623001875836</v>
      </c>
      <c r="I36" s="182">
        <f>'1-P&amp;L Modified'!$AZ$51</f>
        <v>-10892.478743642845</v>
      </c>
      <c r="J36" s="182">
        <f>'1-P&amp;L Modified'!$BD$51</f>
        <v>-10122.360338849096</v>
      </c>
      <c r="K36" s="182">
        <f>'1-P&amp;L Modified'!$BH$51</f>
        <v>-9335.9294260265378</v>
      </c>
      <c r="L36" s="182">
        <f>'1-P&amp;L Modified'!$BL$51</f>
        <v>-8532.8404765960076</v>
      </c>
      <c r="M36" s="1589">
        <f>'1-P&amp;L Modified'!$BP$51</f>
        <v>-7712.7406430548144</v>
      </c>
      <c r="O36" s="1868" t="s">
        <v>243</v>
      </c>
      <c r="P36" s="1756">
        <f>P34-P35</f>
        <v>1843328.5357346712</v>
      </c>
      <c r="Q36" s="1756">
        <f>Q34-Q35</f>
        <v>1934274.9968389052</v>
      </c>
      <c r="R36" s="1756">
        <f t="shared" ref="R36" si="42">R34-R35</f>
        <v>1871844.0440641928</v>
      </c>
      <c r="S36" s="1756">
        <f t="shared" ref="S36" si="43">S34-S35</f>
        <v>1848373.8915066107</v>
      </c>
      <c r="T36" s="1756">
        <f t="shared" ref="T36" si="44">T34-T35</f>
        <v>1795608.0755382217</v>
      </c>
      <c r="U36" s="1756">
        <f t="shared" ref="U36" si="45">U34-U35</f>
        <v>1823726.8156100302</v>
      </c>
      <c r="V36" s="1756">
        <f t="shared" ref="V36" si="46">V34-V35</f>
        <v>1831833.1488650721</v>
      </c>
      <c r="W36" s="1756">
        <f t="shared" ref="W36" si="47">W34-W35</f>
        <v>1848005.2378700026</v>
      </c>
      <c r="X36" s="1756">
        <f t="shared" ref="X36" si="48">X34-X35</f>
        <v>1848687.5295575703</v>
      </c>
      <c r="Y36" s="1756">
        <f t="shared" ref="Y36" si="49">Y34-Y35</f>
        <v>1856968.6366886636</v>
      </c>
      <c r="Z36" s="1757">
        <f t="shared" ref="Z36" si="50">Z34-Z35</f>
        <v>1865296.6146481636</v>
      </c>
    </row>
    <row r="37" spans="2:26" x14ac:dyDescent="0.2">
      <c r="B37" s="282" t="s">
        <v>252</v>
      </c>
      <c r="C37" s="182">
        <f>C29*4%</f>
        <v>252955.01595872609</v>
      </c>
      <c r="D37" s="182">
        <f>D29*4%</f>
        <v>307663.50817492866</v>
      </c>
      <c r="E37" s="182">
        <f t="shared" ref="E37:M37" si="51">E29*4%</f>
        <v>319940.97446154006</v>
      </c>
      <c r="F37" s="182">
        <f t="shared" si="51"/>
        <v>346800.82463087142</v>
      </c>
      <c r="G37" s="182">
        <f t="shared" si="51"/>
        <v>360205.74936242233</v>
      </c>
      <c r="H37" s="182">
        <f t="shared" si="51"/>
        <v>376034.50707127957</v>
      </c>
      <c r="I37" s="182">
        <f t="shared" si="51"/>
        <v>380820.3557534999</v>
      </c>
      <c r="J37" s="182">
        <f t="shared" si="51"/>
        <v>385941.0478737349</v>
      </c>
      <c r="K37" s="182">
        <f t="shared" si="51"/>
        <v>389493.78886954079</v>
      </c>
      <c r="L37" s="182">
        <f t="shared" si="51"/>
        <v>393929.98889428959</v>
      </c>
      <c r="M37" s="1589">
        <f t="shared" si="51"/>
        <v>398434.11137228139</v>
      </c>
      <c r="O37" s="52" t="s">
        <v>250</v>
      </c>
      <c r="P37" s="182">
        <f>'1-P&amp;L Modified'!$AB$51</f>
        <v>-45000.000000000007</v>
      </c>
      <c r="Q37" s="182">
        <f>'1-P&amp;L Modified'!$AF$51</f>
        <v>-12259.983188996339</v>
      </c>
      <c r="R37" s="182">
        <f>'1-P&amp;L Modified'!$AJ$51</f>
        <v>-13816.490105635996</v>
      </c>
      <c r="S37" s="182">
        <f>'1-P&amp;L Modified'!$AN$51</f>
        <v>-13108.307577873558</v>
      </c>
      <c r="T37" s="182">
        <f>'1-P&amp;L Modified'!$AR$51</f>
        <v>-12385.124456568519</v>
      </c>
      <c r="U37" s="182">
        <f>'1-P&amp;L Modified'!$AV$51</f>
        <v>-11646.623001875836</v>
      </c>
      <c r="V37" s="182">
        <f>'1-P&amp;L Modified'!$AZ$51</f>
        <v>-10892.478743642845</v>
      </c>
      <c r="W37" s="182">
        <f>'1-P&amp;L Modified'!$BD$51</f>
        <v>-10122.360338849096</v>
      </c>
      <c r="X37" s="182">
        <f>'1-P&amp;L Modified'!$BH$51</f>
        <v>-9335.9294260265378</v>
      </c>
      <c r="Y37" s="182">
        <f>'1-P&amp;L Modified'!$BL$51</f>
        <v>-8532.8404765960076</v>
      </c>
      <c r="Z37" s="1589">
        <f>'1-P&amp;L Modified'!$BP$51</f>
        <v>-7712.7406430548144</v>
      </c>
    </row>
    <row r="38" spans="2:26" ht="17" thickBot="1" x14ac:dyDescent="0.25">
      <c r="B38" s="1641" t="s">
        <v>253</v>
      </c>
      <c r="C38" s="1576">
        <f>C35+C36-C37</f>
        <v>1545373.519775945</v>
      </c>
      <c r="D38" s="1576">
        <f t="shared" ref="D38" si="52">D35+D36-D37</f>
        <v>1852102.7205751662</v>
      </c>
      <c r="E38" s="1576">
        <f t="shared" ref="E38" si="53">E35+E36-E37</f>
        <v>2021026.2944288948</v>
      </c>
      <c r="F38" s="1576">
        <f t="shared" ref="F38" si="54">F35+F36-F37</f>
        <v>2228493.5369098685</v>
      </c>
      <c r="G38" s="1576">
        <f t="shared" ref="G38" si="55">G35+G36-G37</f>
        <v>2278594.4394989721</v>
      </c>
      <c r="H38" s="1576">
        <f t="shared" ref="H38" si="56">H35+H36-H37</f>
        <v>2423285.5469485046</v>
      </c>
      <c r="I38" s="1576">
        <f t="shared" ref="I38" si="57">I35+I36-I37</f>
        <v>2436823.6722424398</v>
      </c>
      <c r="J38" s="1576">
        <f t="shared" ref="J38" si="58">J35+J36-J37</f>
        <v>2453362.9106518342</v>
      </c>
      <c r="K38" s="1576">
        <f t="shared" ref="K38" si="59">K35+K36-K37</f>
        <v>2450491.0655236123</v>
      </c>
      <c r="L38" s="1576">
        <f t="shared" ref="L38" si="60">L35+L36-L37</f>
        <v>2457053.2779019456</v>
      </c>
      <c r="M38" s="1642">
        <f t="shared" ref="M38" si="61">M35+M36-M37</f>
        <v>2463576.5814984087</v>
      </c>
      <c r="O38" s="282" t="s">
        <v>252</v>
      </c>
      <c r="P38" s="182">
        <f>P30*4%</f>
        <v>252955.01595872609</v>
      </c>
      <c r="Q38" s="182">
        <f>Q30*4%</f>
        <v>292005.71458110405</v>
      </c>
      <c r="R38" s="182">
        <f t="shared" ref="R38:Z38" si="62">R30*4%</f>
        <v>288151.12885820615</v>
      </c>
      <c r="S38" s="182">
        <f t="shared" si="62"/>
        <v>298111.28965279047</v>
      </c>
      <c r="T38" s="182">
        <f t="shared" si="62"/>
        <v>303784.65434076817</v>
      </c>
      <c r="U38" s="182">
        <f t="shared" si="62"/>
        <v>310817.50578620512</v>
      </c>
      <c r="V38" s="182">
        <f t="shared" si="62"/>
        <v>314987.39482930145</v>
      </c>
      <c r="W38" s="182">
        <f t="shared" si="62"/>
        <v>319812.66552173725</v>
      </c>
      <c r="X38" s="182">
        <f t="shared" si="62"/>
        <v>323433.52791588398</v>
      </c>
      <c r="Y38" s="182">
        <f t="shared" si="62"/>
        <v>327759.40665736835</v>
      </c>
      <c r="Z38" s="1589">
        <f t="shared" si="62"/>
        <v>332155.49495793978</v>
      </c>
    </row>
    <row r="39" spans="2:26" ht="18" thickTop="1" thickBot="1" x14ac:dyDescent="0.25">
      <c r="B39" s="52" t="s">
        <v>786</v>
      </c>
      <c r="D39">
        <f>'1-INCREMENTAL CF'!$E$38</f>
        <v>1236544.4555525396</v>
      </c>
      <c r="E39">
        <f>'1-INCREMENTAL CF'!$F$38</f>
        <v>1482980.5069993667</v>
      </c>
      <c r="F39">
        <f>'1-INCREMENTAL CF'!$G$38</f>
        <v>1015234.5378366102</v>
      </c>
      <c r="M39" s="144"/>
      <c r="O39" s="1641" t="s">
        <v>253</v>
      </c>
      <c r="P39" s="1576">
        <f>P36+P37-P38</f>
        <v>1545373.519775945</v>
      </c>
      <c r="Q39" s="1576">
        <f t="shared" ref="Q39" si="63">Q36+Q37-Q38</f>
        <v>1630009.2990688048</v>
      </c>
      <c r="R39" s="1576">
        <f t="shared" ref="R39" si="64">R36+R37-R38</f>
        <v>1569876.4251003508</v>
      </c>
      <c r="S39" s="1576">
        <f t="shared" ref="S39" si="65">S36+S37-S38</f>
        <v>1537154.2942759467</v>
      </c>
      <c r="T39" s="1576">
        <f t="shared" ref="T39" si="66">T36+T37-T38</f>
        <v>1479438.2967408849</v>
      </c>
      <c r="U39" s="1576">
        <f t="shared" ref="U39" si="67">U36+U37-U38</f>
        <v>1501262.6868219492</v>
      </c>
      <c r="V39" s="1576">
        <f t="shared" ref="V39" si="68">V36+V37-V38</f>
        <v>1505953.2752921279</v>
      </c>
      <c r="W39" s="1576">
        <f t="shared" ref="W39" si="69">W36+W37-W38</f>
        <v>1518070.2120094164</v>
      </c>
      <c r="X39" s="1576">
        <f t="shared" ref="X39" si="70">X36+X37-X38</f>
        <v>1515918.0722156598</v>
      </c>
      <c r="Y39" s="1576">
        <f t="shared" ref="Y39" si="71">Y36+Y37-Y38</f>
        <v>1520676.3895546992</v>
      </c>
      <c r="Z39" s="1642">
        <f t="shared" ref="Z39" si="72">Z36+Z37-Z38</f>
        <v>1525428.3790471691</v>
      </c>
    </row>
    <row r="40" spans="2:26" ht="17" thickTop="1" x14ac:dyDescent="0.2">
      <c r="B40" s="52" t="s">
        <v>761</v>
      </c>
      <c r="C40" s="182">
        <v>0</v>
      </c>
      <c r="D40" s="182">
        <f>D38-'1-INCREMENTAL CF'!$E$23</f>
        <v>307348.43354309886</v>
      </c>
      <c r="E40" s="182">
        <f>E38-'1-INCREMENTAL CF'!$F$23</f>
        <v>477164.12787951506</v>
      </c>
      <c r="F40" s="182">
        <f>F38-'1-INCREMENTAL CF'!$G$23</f>
        <v>677453.34935324313</v>
      </c>
      <c r="G40" s="182">
        <f>G38-'1-INCREMENTAL CF'!$H$23</f>
        <v>737519.74135973933</v>
      </c>
      <c r="H40" s="182">
        <f>H38-'1-INCREMENTAL CF'!$I$23</f>
        <v>884126.87741514458</v>
      </c>
      <c r="I40" s="182">
        <f>I38-'1-INCREMENTAL CF'!$J$23</f>
        <v>905855.06352421921</v>
      </c>
      <c r="J40" s="182">
        <f>J38-'1-INCREMENTAL CF'!$K$23</f>
        <v>922384.11851284513</v>
      </c>
      <c r="K40" s="182">
        <f>K38-'1-INCREMENTAL CF'!$L$23</f>
        <v>937393.02355825459</v>
      </c>
      <c r="L40" s="182">
        <f>L38-'1-INCREMENTAL CF'!$M$23</f>
        <v>953662.01799951075</v>
      </c>
      <c r="M40" s="1589">
        <f>M38-'1-INCREMENTAL CF'!$N$23</f>
        <v>970424.45275483653</v>
      </c>
      <c r="O40" s="52" t="s">
        <v>786</v>
      </c>
      <c r="Q40">
        <f>'1-INCREMENTAL CF'!$E$38</f>
        <v>1236544.4555525396</v>
      </c>
      <c r="R40">
        <f>'1-INCREMENTAL CF'!$F$38</f>
        <v>1482980.5069993667</v>
      </c>
      <c r="S40">
        <f>'1-INCREMENTAL CF'!$G$38</f>
        <v>1015234.5378366102</v>
      </c>
      <c r="Z40" s="144"/>
    </row>
    <row r="41" spans="2:26" ht="17" thickBot="1" x14ac:dyDescent="0.25">
      <c r="B41" s="1492" t="s">
        <v>787</v>
      </c>
      <c r="C41" s="1563"/>
      <c r="D41" s="1375">
        <f>D40-D39</f>
        <v>-929196.0220094407</v>
      </c>
      <c r="E41" s="1375">
        <f t="shared" ref="E41" si="73">E40-E39</f>
        <v>-1005816.3791198516</v>
      </c>
      <c r="F41" s="1375">
        <f t="shared" ref="F41" si="74">F40-F39</f>
        <v>-337781.18848336709</v>
      </c>
      <c r="G41" s="1375">
        <f t="shared" ref="G41" si="75">G40-G39</f>
        <v>737519.74135973933</v>
      </c>
      <c r="H41" s="1375">
        <f t="shared" ref="H41" si="76">H40-H39</f>
        <v>884126.87741514458</v>
      </c>
      <c r="I41" s="1375">
        <f t="shared" ref="I41" si="77">I40-I39</f>
        <v>905855.06352421921</v>
      </c>
      <c r="J41" s="1375">
        <f t="shared" ref="J41" si="78">J40-J39</f>
        <v>922384.11851284513</v>
      </c>
      <c r="K41" s="1375">
        <f t="shared" ref="K41" si="79">K40-K39</f>
        <v>937393.02355825459</v>
      </c>
      <c r="L41" s="1375">
        <f t="shared" ref="L41" si="80">L40-L39</f>
        <v>953662.01799951075</v>
      </c>
      <c r="M41" s="1643">
        <f t="shared" ref="M41" si="81">M40-M39</f>
        <v>970424.45275483653</v>
      </c>
      <c r="O41" s="52" t="s">
        <v>761</v>
      </c>
      <c r="P41" s="182">
        <v>0</v>
      </c>
      <c r="Q41" s="182">
        <f>Q39-'1-INCREMENTAL CF'!$E$23</f>
        <v>85255.01203673752</v>
      </c>
      <c r="R41" s="182">
        <f>R39-'1-INCREMENTAL CF'!$F$23</f>
        <v>26014.258550971048</v>
      </c>
      <c r="S41" s="182">
        <f>S39-'1-INCREMENTAL CF'!$G$23</f>
        <v>-13885.893280678662</v>
      </c>
      <c r="T41" s="182">
        <f>T39-'1-INCREMENTAL CF'!$H$23</f>
        <v>-61636.401398347924</v>
      </c>
      <c r="U41" s="182">
        <f>U39-'1-INCREMENTAL CF'!$I$23</f>
        <v>-37895.982711410848</v>
      </c>
      <c r="V41" s="182">
        <f>V39-'1-INCREMENTAL CF'!$J$23</f>
        <v>-25015.333426092751</v>
      </c>
      <c r="W41" s="182">
        <f>W39-'1-INCREMENTAL CF'!$K$23</f>
        <v>-12908.580129572656</v>
      </c>
      <c r="X41" s="182">
        <f>X39-'1-INCREMENTAL CF'!$L$23</f>
        <v>2820.0302503020503</v>
      </c>
      <c r="Y41" s="182">
        <f>Y39-'1-INCREMENTAL CF'!$M$23</f>
        <v>17285.129652264295</v>
      </c>
      <c r="Z41" s="1589">
        <f>Z39-'1-INCREMENTAL CF'!$N$23</f>
        <v>32276.250303596957</v>
      </c>
    </row>
    <row r="42" spans="2:26" ht="17" thickBot="1" x14ac:dyDescent="0.25">
      <c r="O42" s="1492" t="s">
        <v>787</v>
      </c>
      <c r="P42" s="1563"/>
      <c r="Q42" s="1375">
        <f>Q41-Q40</f>
        <v>-1151289.443515802</v>
      </c>
      <c r="R42" s="1375">
        <f t="shared" ref="R42" si="82">R41-R40</f>
        <v>-1456966.2484483956</v>
      </c>
      <c r="S42" s="1375">
        <f t="shared" ref="S42" si="83">S41-S40</f>
        <v>-1029120.4311172889</v>
      </c>
      <c r="T42" s="1375">
        <f t="shared" ref="T42" si="84">T41-T40</f>
        <v>-61636.401398347924</v>
      </c>
      <c r="U42" s="1375">
        <f t="shared" ref="U42" si="85">U41-U40</f>
        <v>-37895.982711410848</v>
      </c>
      <c r="V42" s="1375">
        <f t="shared" ref="V42" si="86">V41-V40</f>
        <v>-25015.333426092751</v>
      </c>
      <c r="W42" s="1375">
        <f t="shared" ref="W42" si="87">W41-W40</f>
        <v>-12908.580129572656</v>
      </c>
      <c r="X42" s="1375">
        <f t="shared" ref="X42" si="88">X41-X40</f>
        <v>2820.0302503020503</v>
      </c>
      <c r="Y42" s="1375">
        <f t="shared" ref="Y42" si="89">Y41-Y40</f>
        <v>17285.129652264295</v>
      </c>
      <c r="Z42" s="1643">
        <f t="shared" ref="Z42" si="90">Z41-Z40</f>
        <v>32276.250303596957</v>
      </c>
    </row>
    <row r="43" spans="2:26" ht="17" thickBot="1" x14ac:dyDescent="0.25"/>
    <row r="44" spans="2:26" ht="17" thickBot="1" x14ac:dyDescent="0.25">
      <c r="B44" s="2084" t="s">
        <v>788</v>
      </c>
      <c r="C44" s="2085"/>
      <c r="D44" s="2085"/>
      <c r="E44" s="2085"/>
      <c r="F44" s="2085"/>
      <c r="G44" s="2085"/>
      <c r="H44" s="2085"/>
      <c r="I44" s="2085"/>
      <c r="J44" s="2085"/>
      <c r="K44" s="2085"/>
      <c r="L44" s="2085"/>
      <c r="M44" s="2086"/>
      <c r="O44" s="2084" t="s">
        <v>789</v>
      </c>
      <c r="P44" s="2085"/>
      <c r="Q44" s="2085"/>
      <c r="R44" s="2085"/>
      <c r="S44" s="2085"/>
      <c r="T44" s="2085"/>
      <c r="U44" s="2085"/>
      <c r="V44" s="2085"/>
      <c r="W44" s="2085"/>
      <c r="X44" s="2085"/>
      <c r="Y44" s="2085"/>
      <c r="Z44" s="2086"/>
    </row>
    <row r="45" spans="2:26" x14ac:dyDescent="0.2">
      <c r="B45" s="52"/>
      <c r="D45" s="1638">
        <f>'1-P&amp;L Modified'!$AG$11+3%</f>
        <v>7.0000000000000007E-2</v>
      </c>
      <c r="E45" s="1638">
        <f>'1-P&amp;L Modified'!$AK$11+3%</f>
        <v>0.08</v>
      </c>
      <c r="F45" s="1638">
        <f>'1-P&amp;L Modified'!$AO$11+3%</f>
        <v>0.12</v>
      </c>
      <c r="G45" s="1638">
        <f>'1-P&amp;L Modified'!$AS$11+3%</f>
        <v>0.12</v>
      </c>
      <c r="M45" s="144"/>
      <c r="O45" s="52"/>
      <c r="Q45" s="1638">
        <f>'1-P&amp;L Modified'!$AG$10+3%</f>
        <v>2.4999999999999998E-2</v>
      </c>
      <c r="R45" s="1652">
        <f>'1-P&amp;L Modified'!$AK$10+3%</f>
        <v>2.75E-2</v>
      </c>
      <c r="S45" s="1652">
        <f>'1-P&amp;L Modified'!$AO$10+3%</f>
        <v>0.03</v>
      </c>
      <c r="T45" s="1638">
        <f>'1-P&amp;L Modified'!$AS$10+3%</f>
        <v>0.06</v>
      </c>
      <c r="U45" s="1638">
        <f>'1-P&amp;L Modified'!$AW$10+3%</f>
        <v>7.0000000000000007E-2</v>
      </c>
      <c r="Z45" s="144"/>
    </row>
    <row r="46" spans="2:26" x14ac:dyDescent="0.2">
      <c r="B46" s="52" t="s">
        <v>784</v>
      </c>
      <c r="C46" s="182">
        <f>C11</f>
        <v>120.64994404825795</v>
      </c>
      <c r="D46" s="182">
        <f>C46*(1+15%+$P$7)</f>
        <v>139.7150786976203</v>
      </c>
      <c r="E46" s="182">
        <f>D46*(1+15%+$P$7)</f>
        <v>161.79289074244775</v>
      </c>
      <c r="F46" s="182">
        <f>E46*(1+15%+$P$7)</f>
        <v>187.3594442261406</v>
      </c>
      <c r="G46" s="182">
        <f t="shared" ref="G46:M46" si="91">F46*(1+$P$7)</f>
        <v>188.86211431862787</v>
      </c>
      <c r="H46" s="182">
        <f t="shared" si="91"/>
        <v>190.3768362050142</v>
      </c>
      <c r="I46" s="182">
        <f t="shared" si="91"/>
        <v>191.9037065437324</v>
      </c>
      <c r="J46" s="182">
        <f t="shared" si="91"/>
        <v>193.44282276844035</v>
      </c>
      <c r="K46" s="182">
        <f t="shared" si="91"/>
        <v>194.99428309423851</v>
      </c>
      <c r="L46" s="182">
        <f t="shared" si="91"/>
        <v>196.55818652393722</v>
      </c>
      <c r="M46" s="1589">
        <f t="shared" si="91"/>
        <v>198.13463285437444</v>
      </c>
      <c r="O46" s="52" t="s">
        <v>779</v>
      </c>
      <c r="P46" s="1568">
        <f>C12</f>
        <v>0.7443881086965245</v>
      </c>
      <c r="Q46" s="1568">
        <f t="shared" ref="Q46:Z46" si="92">P46*(1+$P$8+Q45)</f>
        <v>0.7643885134425662</v>
      </c>
      <c r="R46" s="1568">
        <f t="shared" si="92"/>
        <v>0.78683726531867437</v>
      </c>
      <c r="S46" s="1568">
        <f t="shared" si="92"/>
        <v>0.8119123908835354</v>
      </c>
      <c r="T46" s="1568">
        <f t="shared" si="92"/>
        <v>0.8621439885096317</v>
      </c>
      <c r="U46" s="1568">
        <f t="shared" si="92"/>
        <v>0.92410476698943322</v>
      </c>
      <c r="V46" s="1568">
        <f t="shared" si="92"/>
        <v>0.92583122441010324</v>
      </c>
      <c r="W46" s="1568">
        <f t="shared" si="92"/>
        <v>0.92756090728240148</v>
      </c>
      <c r="X46" s="1568">
        <f t="shared" si="92"/>
        <v>0.92929382163227348</v>
      </c>
      <c r="Y46" s="1568">
        <f t="shared" si="92"/>
        <v>0.93102997349692262</v>
      </c>
      <c r="Z46" s="1569">
        <f t="shared" si="92"/>
        <v>0.9327693689248312</v>
      </c>
    </row>
    <row r="47" spans="2:26" ht="17" thickBot="1" x14ac:dyDescent="0.25">
      <c r="B47" s="1639" t="s">
        <v>230</v>
      </c>
      <c r="C47" s="1556">
        <f t="shared" ref="C47:M47" si="93">C19*C46</f>
        <v>89.810383664424236</v>
      </c>
      <c r="D47" s="1556">
        <f t="shared" si="93"/>
        <v>103.6765340155419</v>
      </c>
      <c r="E47" s="1556">
        <f t="shared" si="93"/>
        <v>119.98367834612972</v>
      </c>
      <c r="F47" s="1556">
        <f t="shared" si="93"/>
        <v>139.20311057288583</v>
      </c>
      <c r="G47" s="1556">
        <f t="shared" si="93"/>
        <v>144.79129314941665</v>
      </c>
      <c r="H47" s="1556">
        <f t="shared" si="93"/>
        <v>152.06333380451079</v>
      </c>
      <c r="I47" s="1556">
        <f t="shared" si="93"/>
        <v>153.56929076959946</v>
      </c>
      <c r="J47" s="1556">
        <f t="shared" si="93"/>
        <v>154.8009552918609</v>
      </c>
      <c r="K47" s="1556">
        <f t="shared" si="93"/>
        <v>156.0424980748592</v>
      </c>
      <c r="L47" s="1556">
        <f t="shared" si="93"/>
        <v>157.29399834474194</v>
      </c>
      <c r="M47" s="1640">
        <f t="shared" si="93"/>
        <v>158.55553596307038</v>
      </c>
      <c r="O47" s="52" t="s">
        <v>293</v>
      </c>
      <c r="P47" s="1480">
        <f t="shared" ref="P47:Z47" si="94">P46*C7</f>
        <v>38581.635673740864</v>
      </c>
      <c r="Q47" s="1480">
        <f t="shared" si="94"/>
        <v>39618.256651728203</v>
      </c>
      <c r="R47" s="1480">
        <f t="shared" si="94"/>
        <v>40781.775461466896</v>
      </c>
      <c r="S47" s="1480">
        <f t="shared" si="94"/>
        <v>42196.710778999099</v>
      </c>
      <c r="T47" s="1480">
        <f t="shared" si="94"/>
        <v>44684.922924454208</v>
      </c>
      <c r="U47" s="1480">
        <f t="shared" si="94"/>
        <v>47896.350073062327</v>
      </c>
      <c r="V47" s="1480">
        <f t="shared" si="94"/>
        <v>47985.83236117565</v>
      </c>
      <c r="W47" s="1480">
        <f t="shared" si="94"/>
        <v>48207.195473280968</v>
      </c>
      <c r="X47" s="1480">
        <f t="shared" si="94"/>
        <v>48165.298775200732</v>
      </c>
      <c r="Y47" s="1480">
        <f t="shared" si="94"/>
        <v>48255.283526345498</v>
      </c>
      <c r="Z47" s="1651">
        <f t="shared" si="94"/>
        <v>48345.436391374002</v>
      </c>
    </row>
    <row r="48" spans="2:26" ht="18" thickTop="1" thickBot="1" x14ac:dyDescent="0.25">
      <c r="B48" s="52" t="s">
        <v>785</v>
      </c>
      <c r="C48" s="182">
        <f t="shared" ref="C48:M48" si="95">C46*C8</f>
        <v>4654872.185327108</v>
      </c>
      <c r="D48" s="182">
        <f t="shared" si="95"/>
        <v>5373554.7580255372</v>
      </c>
      <c r="E48" s="182">
        <f t="shared" si="95"/>
        <v>6218754.0486799031</v>
      </c>
      <c r="F48" s="182">
        <f t="shared" si="95"/>
        <v>7234664.0626940224</v>
      </c>
      <c r="G48" s="182">
        <f t="shared" si="95"/>
        <v>7504532.7239342649</v>
      </c>
      <c r="H48" s="182">
        <f t="shared" si="95"/>
        <v>7881442.5910877949</v>
      </c>
      <c r="I48" s="182">
        <f t="shared" si="95"/>
        <v>7959496.3405883405</v>
      </c>
      <c r="J48" s="182">
        <f t="shared" si="95"/>
        <v>8045315.2484285953</v>
      </c>
      <c r="K48" s="182">
        <f t="shared" si="95"/>
        <v>8087682.6752199531</v>
      </c>
      <c r="L48" s="182">
        <f t="shared" si="95"/>
        <v>8152547.934207974</v>
      </c>
      <c r="M48" s="1589">
        <f t="shared" si="95"/>
        <v>8217933.4289659373</v>
      </c>
      <c r="O48" s="1639" t="s">
        <v>230</v>
      </c>
      <c r="P48" s="1556">
        <f t="shared" ref="P48:Z48" si="96">C18*P46</f>
        <v>89.810383664424236</v>
      </c>
      <c r="Q48" s="1556">
        <f t="shared" si="96"/>
        <v>96.652023859607695</v>
      </c>
      <c r="R48" s="1556">
        <f t="shared" si="96"/>
        <v>105.2629898984783</v>
      </c>
      <c r="S48" s="1556">
        <f t="shared" si="96"/>
        <v>119.2642554564606</v>
      </c>
      <c r="T48" s="1556">
        <f t="shared" si="96"/>
        <v>139.05649767781858</v>
      </c>
      <c r="U48" s="1556">
        <f t="shared" si="96"/>
        <v>150.24566524996862</v>
      </c>
      <c r="V48" s="1556">
        <f t="shared" si="96"/>
        <v>151.73362096155685</v>
      </c>
      <c r="W48" s="1556">
        <f t="shared" si="96"/>
        <v>153.23631262040831</v>
      </c>
      <c r="X48" s="1556">
        <f t="shared" si="96"/>
        <v>154.75388616375756</v>
      </c>
      <c r="Y48" s="1556">
        <f t="shared" si="96"/>
        <v>156.28648897412643</v>
      </c>
      <c r="Z48" s="1640">
        <f t="shared" si="96"/>
        <v>157.83426989363733</v>
      </c>
    </row>
    <row r="49" spans="2:26" ht="17" thickTop="1" x14ac:dyDescent="0.2">
      <c r="B49" s="52" t="s">
        <v>237</v>
      </c>
      <c r="C49" s="182">
        <f>C48+$C$8*'1-P&amp;L Modified'!$AD$18+'1-SENSITIVITY'!$C$8*'1-P&amp;L Modified'!$AD$19+'1-SENSITIVITY'!$C$8*'1-P&amp;L Modified'!$AD$20</f>
        <v>6323875.3989681518</v>
      </c>
      <c r="D49" s="182">
        <f>D48+'1-F&amp;B'!$F$93+'1-P&amp;L Modified'!$AH$19*'1-SENSITIVITY'!D8+'1-P&amp;L Modified'!$AH$20*'1-SENSITIVITY'!D8</f>
        <v>8155617.1326492876</v>
      </c>
      <c r="E49" s="182">
        <f>E48+'1-F&amp;B'!$H$93+'1-P&amp;L Modified'!$AH$19*'1-SENSITIVITY'!E8+'1-P&amp;L Modified'!$AH$20*'1-SENSITIVITY'!E8</f>
        <v>9026182.7352734506</v>
      </c>
      <c r="F49" s="182">
        <f>F48+'1-F&amp;B'!$J$93+'1-P&amp;L Modified'!$AH$19*'1-SENSITIVITY'!F8+'1-P&amp;L Modified'!$AH$20*'1-SENSITIVITY'!F8</f>
        <v>10387063.901490036</v>
      </c>
      <c r="G49" s="182">
        <f>G48+'1-F&amp;B'!$L$93+'1-P&amp;L Modified'!$AH$19*'1-SENSITIVITY'!G8+'1-P&amp;L Modified'!$AH$20*'1-SENSITIVITY'!G8</f>
        <v>10786236.458535442</v>
      </c>
      <c r="H49" s="182">
        <f>H48+'1-F&amp;B'!$N$93+'1-P&amp;L Modified'!$AH$19*'1-SENSITIVITY'!H8+'1-P&amp;L Modified'!$AH$20*'1-SENSITIVITY'!H8</f>
        <v>11271409.528097967</v>
      </c>
      <c r="I49" s="182">
        <f>I48+'1-F&amp;B'!$P$93+'1-P&amp;L Modified'!$AH$19*'1-SENSITIVITY'!I8+'1-P&amp;L Modified'!$AH$20*'1-SENSITIVITY'!I8</f>
        <v>11409580.67807968</v>
      </c>
      <c r="J49" s="182">
        <f>J48+'1-F&amp;B'!$R$93+'1-P&amp;L Modified'!$AH$19*'1-SENSITIVITY'!J8+'1-P&amp;L Modified'!$AH$20*'1-SENSITIVITY'!J8</f>
        <v>11557965.862471314</v>
      </c>
      <c r="K49" s="182">
        <f>K48+'1-F&amp;B'!$T$93+'1-P&amp;L Modified'!$AH$19*'1-SENSITIVITY'!K8+'1-P&amp;L Modified'!$AH$20*'1-SENSITIVITY'!K8</f>
        <v>11656839.685729297</v>
      </c>
      <c r="L49" s="182">
        <f>L48+'1-F&amp;B'!$V$93+'1-P&amp;L Modified'!$AH$19*'1-SENSITIVITY'!L8+'1-P&amp;L Modified'!$AH$20*'1-SENSITIVITY'!L8</f>
        <v>11783139.521057216</v>
      </c>
      <c r="M49" s="1589">
        <f>M48+'1-F&amp;B'!$X$93+'1-P&amp;L Modified'!$AH$19*'1-SENSITIVITY'!M8+'1-P&amp;L Modified'!$AH$20*'1-SENSITIVITY'!M8</f>
        <v>11911260.888181185</v>
      </c>
      <c r="O49" s="52" t="s">
        <v>785</v>
      </c>
      <c r="P49" s="182">
        <f>C11*P47</f>
        <v>4654872.185327108</v>
      </c>
      <c r="Q49" s="182">
        <f t="shared" ref="Q49:Z49" si="97">D7*Q48</f>
        <v>5009474.3966434672</v>
      </c>
      <c r="R49" s="182">
        <f t="shared" si="97"/>
        <v>5455780.7664381303</v>
      </c>
      <c r="S49" s="182">
        <f t="shared" si="97"/>
        <v>6198401.8845831705</v>
      </c>
      <c r="T49" s="182">
        <f t="shared" si="97"/>
        <v>7207298.2746413369</v>
      </c>
      <c r="U49" s="182">
        <f t="shared" si="97"/>
        <v>7787232.8299058741</v>
      </c>
      <c r="V49" s="182">
        <f t="shared" si="97"/>
        <v>7864353.5744374916</v>
      </c>
      <c r="W49" s="182">
        <f t="shared" si="97"/>
        <v>7963997.6395078609</v>
      </c>
      <c r="X49" s="182">
        <f t="shared" si="97"/>
        <v>8020893.9198675537</v>
      </c>
      <c r="Y49" s="182">
        <f t="shared" si="97"/>
        <v>8100328.7235289728</v>
      </c>
      <c r="Z49" s="1589">
        <f t="shared" si="97"/>
        <v>8180550.2085872227</v>
      </c>
    </row>
    <row r="50" spans="2:26" x14ac:dyDescent="0.2">
      <c r="B50" s="52" t="s">
        <v>238</v>
      </c>
      <c r="C50" s="182">
        <f>C48*'1-P&amp;L Modified'!$AC$23+'1-P&amp;L Modified'!$AB$24+'1-P&amp;L Modified'!$AB$25+'1-P&amp;L Modified'!$AB$26</f>
        <v>3101951.408688026</v>
      </c>
      <c r="D50" s="182">
        <f>D48*'1-P&amp;L Modified'!$AG$23+'1-F&amp;B'!$F$93*'1-F&amp;B'!$G$94+D8*'1-P&amp;L Modified'!$AH$19*'1-P&amp;L Modified'!$AG$25+'1-SENSITIVITY'!D8*'1-P&amp;L Modified'!$AH$20*'1-P&amp;L Modified'!$AG$26</f>
        <v>3625881.251438851</v>
      </c>
      <c r="E50" s="182">
        <f>E48*'1-P&amp;L Modified'!$AG$23+'1-F&amp;B'!$H$93*'1-F&amp;B'!$I$94+E8*'1-P&amp;L Modified'!$AH$19*'1-P&amp;L Modified'!$AG$25+'1-SENSITIVITY'!E8*'1-P&amp;L Modified'!$AH$20*'1-P&amp;L Modified'!$AG$26</f>
        <v>3900669.6642661807</v>
      </c>
      <c r="F50" s="182">
        <f>F48*'1-P&amp;L Modified'!$AG$23+'1-F&amp;B'!$J$93*'1-F&amp;B'!$K$94+F8*'1-P&amp;L Modified'!$AH$19*'1-P&amp;L Modified'!$AG$25+'1-SENSITIVITY'!F8*'1-P&amp;L Modified'!$AH$20*'1-P&amp;L Modified'!$AG$26</f>
        <v>4468208.4491283279</v>
      </c>
      <c r="G50" s="182">
        <f>G48*'1-P&amp;L Modified'!$AG$23+'1-F&amp;B'!$L$93*'1-F&amp;B'!$M$94+G8*'1-P&amp;L Modified'!$AH$19*'1-P&amp;L Modified'!$AG$25+'1-SENSITIVITY'!G8*'1-P&amp;L Modified'!$AH$20*'1-P&amp;L Modified'!$AG$26</f>
        <v>4639744.1264971169</v>
      </c>
      <c r="H50" s="182">
        <f>H48*'1-P&amp;L Modified'!$AG$23+'1-F&amp;B'!$N$93*'1-F&amp;B'!$O$94+H8*'1-P&amp;L Modified'!$AH$19*'1-P&amp;L Modified'!$AG$25+'1-SENSITIVITY'!H8*'1-P&amp;L Modified'!$AH$20*'1-P&amp;L Modified'!$AG$26</f>
        <v>4828970.9312289916</v>
      </c>
      <c r="I50" s="182">
        <f>I48*'1-P&amp;L Modified'!$AG$23+'1-F&amp;B'!$P$93*'1-F&amp;B'!$Q$94+I8*'1-P&amp;L Modified'!$AH$19*'1-P&amp;L Modified'!$AG$25+'1-SENSITIVITY'!I8*'1-P&amp;L Modified'!$AH$20*'1-P&amp;L Modified'!$AG$26</f>
        <v>4897955.9464263441</v>
      </c>
      <c r="J50" s="182">
        <f>J48*'1-P&amp;L Modified'!$AG$23+'1-F&amp;B'!$R$93*'1-F&amp;B'!$S$94+J8*'1-P&amp;L Modified'!$AH$19*'1-P&amp;L Modified'!$AG$25+'1-SENSITIVITY'!J8*'1-P&amp;L Modified'!$AH$20*'1-P&amp;L Modified'!$AG$26</f>
        <v>4970985.898992477</v>
      </c>
      <c r="K50" s="182">
        <f>K48*'1-P&amp;L Modified'!$AG$23+'1-F&amp;B'!$T$93*'1-F&amp;B'!$U$94+K8*'1-P&amp;L Modified'!$AH$19*'1-P&amp;L Modified'!$AG$25+'1-SENSITIVITY'!K8*'1-P&amp;L Modified'!$AH$20*'1-P&amp;L Modified'!$AG$26</f>
        <v>5027247.8440534249</v>
      </c>
      <c r="L50" s="182">
        <f>L48*'1-P&amp;L Modified'!$AG$23+'1-F&amp;B'!$V$93*'1-F&amp;B'!$Y$94+L8*'1-P&amp;L Modified'!$AH$19*'1-P&amp;L Modified'!$AG$25+'1-SENSITIVITY'!L8*'1-P&amp;L Modified'!$AH$20*'1-P&amp;L Modified'!$AG$26</f>
        <v>5093564.6331732338</v>
      </c>
      <c r="M50" s="1589">
        <f>M48*'1-P&amp;L Modified'!$AG$23+'1-F&amp;B'!$X$93*'1-F&amp;B'!$AA$94+M8*'1-P&amp;L Modified'!$AH$19*'1-P&amp;L Modified'!$AG$25+'1-SENSITIVITY'!M8*'1-P&amp;L Modified'!$AH$20*'1-P&amp;L Modified'!$AG$26</f>
        <v>5160854.7396922959</v>
      </c>
      <c r="O50" s="52" t="s">
        <v>237</v>
      </c>
      <c r="P50" s="182">
        <f>P49+$C$8*'1-P&amp;L Modified'!$AD$18+'1-SENSITIVITY'!$C$8*'1-P&amp;L Modified'!$AD$19+'1-SENSITIVITY'!$C$8*'1-P&amp;L Modified'!$AD$20</f>
        <v>6323875.3989681518</v>
      </c>
      <c r="Q50" s="182">
        <f>Q49+'1-F&amp;B'!$F$93+'1-P&amp;L Modified'!$AH$19*'1-SENSITIVITY'!Q47+'1-P&amp;L Modified'!$AH$20*'1-SENSITIVITY'!Q47</f>
        <v>7810200.7338755783</v>
      </c>
      <c r="R50" s="182">
        <f>R49+'1-F&amp;B'!$H$93+'1-P&amp;L Modified'!$AH$19*'1-SENSITIVITY'!R47+'1-P&amp;L Modified'!$AH$20*'1-SENSITIVITY'!R47</f>
        <v>8301027.0552504482</v>
      </c>
      <c r="S50" s="182">
        <f>S49+'1-F&amp;B'!$J$93+'1-P&amp;L Modified'!$AH$19*'1-SENSITIVITY'!S47+'1-P&amp;L Modified'!$AH$20*'1-SENSITIVITY'!S47</f>
        <v>9408576.1175407935</v>
      </c>
      <c r="T50" s="182">
        <f>T49+'1-F&amp;B'!$L$93+'1-P&amp;L Modified'!$AH$19*'1-SENSITIVITY'!T47+'1-P&amp;L Modified'!$AH$20*'1-SENSITIVITY'!T47</f>
        <v>10568811.679746008</v>
      </c>
      <c r="U50" s="182">
        <f>U49+'1-F&amp;B'!$N$93+'1-P&amp;L Modified'!$AH$19*'1-SENSITIVITY'!U47+'1-P&amp;L Modified'!$AH$20*'1-SENSITIVITY'!U47</f>
        <v>11281967.371601271</v>
      </c>
      <c r="V50" s="182">
        <f>V49+'1-F&amp;B'!$P$93+'1-P&amp;L Modified'!$AH$19*'1-SENSITIVITY'!V47+'1-P&amp;L Modified'!$AH$20*'1-SENSITIVITY'!V47</f>
        <v>11419401.248542963</v>
      </c>
      <c r="W50" s="182">
        <f>W49+'1-F&amp;B'!$R$93+'1-P&amp;L Modified'!$AH$19*'1-SENSITIVITY'!W47+'1-P&amp;L Modified'!$AH$20*'1-SENSITIVITY'!W47</f>
        <v>11583348.726569826</v>
      </c>
      <c r="X50" s="182">
        <f>X49+'1-F&amp;B'!$T$93+'1-P&amp;L Modified'!$AH$19*'1-SENSITIVITY'!X47+'1-P&amp;L Modified'!$AH$20*'1-SENSITIVITY'!X47</f>
        <v>11697908.177856762</v>
      </c>
      <c r="Y50" s="182">
        <f>Y49+'1-F&amp;B'!$V$93+'1-P&amp;L Modified'!$AH$19*'1-SENSITIVITY'!Y47+'1-P&amp;L Modified'!$AH$20*'1-SENSITIVITY'!Y47</f>
        <v>11840228.569461018</v>
      </c>
      <c r="Z50" s="1589">
        <f>Z49+'1-F&amp;B'!$X$93+'1-P&amp;L Modified'!$AH$19*'1-SENSITIVITY'!Z47+'1-P&amp;L Modified'!$AH$20*'1-SENSITIVITY'!Z47</f>
        <v>11984639.649338583</v>
      </c>
    </row>
    <row r="51" spans="2:26" x14ac:dyDescent="0.2">
      <c r="B51" s="1868" t="s">
        <v>780</v>
      </c>
      <c r="C51" s="1756">
        <f t="shared" ref="C51:M51" si="98">C49-C50</f>
        <v>3221923.9902801258</v>
      </c>
      <c r="D51" s="1756">
        <f t="shared" si="98"/>
        <v>4529735.881210437</v>
      </c>
      <c r="E51" s="1756">
        <f t="shared" si="98"/>
        <v>5125513.0710072704</v>
      </c>
      <c r="F51" s="1756">
        <f t="shared" si="98"/>
        <v>5918855.4523617085</v>
      </c>
      <c r="G51" s="1756">
        <f t="shared" si="98"/>
        <v>6146492.3320383253</v>
      </c>
      <c r="H51" s="1756">
        <f t="shared" si="98"/>
        <v>6442438.5968689751</v>
      </c>
      <c r="I51" s="1756">
        <f t="shared" si="98"/>
        <v>6511624.7316533355</v>
      </c>
      <c r="J51" s="1756">
        <f>J49-J50</f>
        <v>6586979.9634788372</v>
      </c>
      <c r="K51" s="1756">
        <f t="shared" si="98"/>
        <v>6629591.841675872</v>
      </c>
      <c r="L51" s="1756">
        <f t="shared" si="98"/>
        <v>6689574.8878839826</v>
      </c>
      <c r="M51" s="1757">
        <f t="shared" si="98"/>
        <v>6750406.1484888894</v>
      </c>
      <c r="O51" s="52" t="s">
        <v>238</v>
      </c>
      <c r="P51" s="182">
        <f>P49*'1-P&amp;L Modified'!$AC$23+'1-P&amp;L Modified'!$AB$24+'1-P&amp;L Modified'!$AB$25+'1-P&amp;L Modified'!$AB$26</f>
        <v>3101951.408688026</v>
      </c>
      <c r="Q51" s="182">
        <f>Q49*'1-P&amp;L Modified'!$AG$23+'1-F&amp;B'!$F$93*'1-F&amp;B'!$G$94+Q47*'1-P&amp;L Modified'!$AH$19*'1-P&amp;L Modified'!$AG$25+'1-SENSITIVITY'!Q47*'1-P&amp;L Modified'!$AH$20*'1-P&amp;L Modified'!$AG$26</f>
        <v>3523984.0140446629</v>
      </c>
      <c r="R51" s="182">
        <f>R49*'1-P&amp;L Modified'!$AG$23+'1-F&amp;B'!$H$93*'1-F&amp;B'!$I$94+R47*'1-P&amp;L Modified'!$AH$19*'1-P&amp;L Modified'!$AG$25+'1-SENSITIVITY'!R47*'1-P&amp;L Modified'!$AH$20*'1-P&amp;L Modified'!$AG$26</f>
        <v>3686447.1911307033</v>
      </c>
      <c r="S51" s="182">
        <f>S49*'1-P&amp;L Modified'!$AG$23+'1-F&amp;B'!$J$93*'1-F&amp;B'!$K$94+S47*'1-P&amp;L Modified'!$AH$19*'1-P&amp;L Modified'!$AG$25+'1-SENSITIVITY'!S47*'1-P&amp;L Modified'!$AH$20*'1-P&amp;L Modified'!$AG$26</f>
        <v>4180644.1212129286</v>
      </c>
      <c r="T51" s="182">
        <f>T49*'1-P&amp;L Modified'!$AG$23+'1-F&amp;B'!$L$93*'1-F&amp;B'!$M$94+T47*'1-P&amp;L Modified'!$AH$19*'1-P&amp;L Modified'!$AG$25+'1-SENSITIVITY'!T47*'1-P&amp;L Modified'!$AH$20*'1-P&amp;L Modified'!$AG$26</f>
        <v>4590703.8794065136</v>
      </c>
      <c r="U51" s="182">
        <f>U49*'1-P&amp;L Modified'!$AG$23+'1-F&amp;B'!$N$93*'1-F&amp;B'!$O$94+U47*'1-P&amp;L Modified'!$AH$19*'1-P&amp;L Modified'!$AG$25+'1-SENSITIVITY'!U47*'1-P&amp;L Modified'!$AH$20*'1-P&amp;L Modified'!$AG$26</f>
        <v>4855455.0998305418</v>
      </c>
      <c r="V51" s="182">
        <f>V49*'1-P&amp;L Modified'!$AG$23+'1-F&amp;B'!$P$93*'1-F&amp;B'!$Q$94+V47*'1-P&amp;L Modified'!$AH$19*'1-P&amp;L Modified'!$AG$25+'1-SENSITIVITY'!V47*'1-P&amp;L Modified'!$AH$20*'1-P&amp;L Modified'!$AG$26</f>
        <v>4924257.2065467015</v>
      </c>
      <c r="W51" s="182">
        <f>W49*'1-P&amp;L Modified'!$AG$23+'1-F&amp;B'!$R$93*'1-F&amp;B'!$S$94+W47*'1-P&amp;L Modified'!$AH$19*'1-P&amp;L Modified'!$AG$25+'1-SENSITIVITY'!W47*'1-P&amp;L Modified'!$AH$20*'1-P&amp;L Modified'!$AG$26</f>
        <v>5002449.9509024285</v>
      </c>
      <c r="X51" s="182">
        <f>X49*'1-P&amp;L Modified'!$AG$23+'1-F&amp;B'!$T$93*'1-F&amp;B'!$U$94+X47*'1-P&amp;L Modified'!$AH$19*'1-P&amp;L Modified'!$AG$25+'1-SENSITIVITY'!X47*'1-P&amp;L Modified'!$AH$20*'1-P&amp;L Modified'!$AG$26</f>
        <v>5063783.7943136161</v>
      </c>
      <c r="Y51" s="182">
        <f>Y49*'1-P&amp;L Modified'!$AG$23+'1-F&amp;B'!$V$93*'1-F&amp;B'!$Y$94+Y47*'1-P&amp;L Modified'!$AH$19*'1-P&amp;L Modified'!$AG$25+'1-SENSITIVITY'!Y47*'1-P&amp;L Modified'!$AH$20*'1-P&amp;L Modified'!$AG$26</f>
        <v>5135340.5775183402</v>
      </c>
      <c r="Z51" s="1589">
        <f>Z49*'1-P&amp;L Modified'!$AG$23+'1-F&amp;B'!$X$93*'1-F&amp;B'!$AA$94+Z47*'1-P&amp;L Modified'!$AH$19*'1-P&amp;L Modified'!$AG$25+'1-SENSITIVITY'!Z47*'1-P&amp;L Modified'!$AH$20*'1-P&amp;L Modified'!$AG$26</f>
        <v>5207953.9067299226</v>
      </c>
    </row>
    <row r="52" spans="2:26" x14ac:dyDescent="0.2">
      <c r="B52" s="52" t="s">
        <v>274</v>
      </c>
      <c r="C52" s="182">
        <f>'1-P&amp;L Modified'!$AB$35</f>
        <v>1378595.4545454546</v>
      </c>
      <c r="D52" s="182">
        <f>'1-P&amp;L Modified'!$AF$35</f>
        <v>1710036.2998762927</v>
      </c>
      <c r="E52" s="182">
        <f>'1-P&amp;L Modified'!$AJ$35</f>
        <v>1709870.6104006385</v>
      </c>
      <c r="F52" s="182">
        <f>'1-P&amp;L Modified'!$AN$35</f>
        <v>1761234.8688464176</v>
      </c>
      <c r="G52" s="182">
        <f>'1-P&amp;L Modified'!$AR$35</f>
        <v>1870267.0346686966</v>
      </c>
      <c r="H52" s="182">
        <f>'1-P&amp;L Modified'!$AV$35</f>
        <v>1922916.0059475345</v>
      </c>
      <c r="I52" s="182">
        <f>'1-P&amp;L Modified'!$AZ$35</f>
        <v>1958329.0189701598</v>
      </c>
      <c r="J52" s="182">
        <f>'1-P&amp;L Modified'!$BD$35</f>
        <v>1994865.7441903255</v>
      </c>
      <c r="K52" s="182">
        <f>'1-P&amp;L Modified'!$BH$35</f>
        <v>2029461.5838711727</v>
      </c>
      <c r="L52" s="182">
        <f>'1-P&amp;L Modified'!$BL$35</f>
        <v>2066085.8445892853</v>
      </c>
      <c r="M52" s="1589">
        <f>'1-P&amp;L Modified'!$BP$35</f>
        <v>2103434.837457818</v>
      </c>
      <c r="O52" s="1868" t="s">
        <v>780</v>
      </c>
      <c r="P52" s="1869">
        <f t="shared" ref="P52:Z52" si="99">P50-P51</f>
        <v>3221923.9902801258</v>
      </c>
      <c r="Q52" s="1869">
        <f t="shared" si="99"/>
        <v>4286216.7198309153</v>
      </c>
      <c r="R52" s="1869">
        <f t="shared" si="99"/>
        <v>4614579.8641197449</v>
      </c>
      <c r="S52" s="1869">
        <f t="shared" si="99"/>
        <v>5227931.9963278649</v>
      </c>
      <c r="T52" s="1869">
        <f t="shared" si="99"/>
        <v>5978107.8003394939</v>
      </c>
      <c r="U52" s="1869">
        <f t="shared" si="99"/>
        <v>6426512.2717707288</v>
      </c>
      <c r="V52" s="1869">
        <f t="shared" si="99"/>
        <v>6495144.0419962611</v>
      </c>
      <c r="W52" s="1869">
        <f t="shared" si="99"/>
        <v>6580898.7756673973</v>
      </c>
      <c r="X52" s="1869">
        <f t="shared" si="99"/>
        <v>6634124.3835431458</v>
      </c>
      <c r="Y52" s="1869">
        <f t="shared" si="99"/>
        <v>6704887.9919426776</v>
      </c>
      <c r="Z52" s="1870">
        <f t="shared" si="99"/>
        <v>6776685.7426086599</v>
      </c>
    </row>
    <row r="53" spans="2:26" x14ac:dyDescent="0.2">
      <c r="B53" s="1868" t="s">
        <v>241</v>
      </c>
      <c r="C53" s="1756">
        <f t="shared" ref="C53:M53" si="100">C51-C52</f>
        <v>1843328.5357346712</v>
      </c>
      <c r="D53" s="1756">
        <f t="shared" si="100"/>
        <v>2819699.5813341443</v>
      </c>
      <c r="E53" s="1756">
        <f t="shared" si="100"/>
        <v>3415642.4606066318</v>
      </c>
      <c r="F53" s="1756">
        <f t="shared" si="100"/>
        <v>4157620.5835152911</v>
      </c>
      <c r="G53" s="1756">
        <f t="shared" si="100"/>
        <v>4276225.2973696291</v>
      </c>
      <c r="H53" s="1756">
        <f t="shared" si="100"/>
        <v>4519522.5909214411</v>
      </c>
      <c r="I53" s="1756">
        <f t="shared" si="100"/>
        <v>4553295.7126831757</v>
      </c>
      <c r="J53" s="1756">
        <f t="shared" si="100"/>
        <v>4592114.2192885112</v>
      </c>
      <c r="K53" s="1756">
        <f t="shared" si="100"/>
        <v>4600130.2578046992</v>
      </c>
      <c r="L53" s="1756">
        <f t="shared" si="100"/>
        <v>4623489.0432946971</v>
      </c>
      <c r="M53" s="1757">
        <f t="shared" si="100"/>
        <v>4646971.3110310715</v>
      </c>
      <c r="O53" s="52" t="s">
        <v>274</v>
      </c>
      <c r="P53" s="182">
        <f>'1-P&amp;L Modified'!$AB$35</f>
        <v>1378595.4545454546</v>
      </c>
      <c r="Q53" s="182">
        <f>'1-P&amp;L Modified'!$AF$35</f>
        <v>1710036.2998762927</v>
      </c>
      <c r="R53" s="182">
        <f>'1-P&amp;L Modified'!$AJ$35</f>
        <v>1709870.6104006385</v>
      </c>
      <c r="S53" s="182">
        <f>'1-P&amp;L Modified'!$AN$35</f>
        <v>1761234.8688464176</v>
      </c>
      <c r="T53" s="182">
        <f>'1-P&amp;L Modified'!$AR$35</f>
        <v>1870267.0346686966</v>
      </c>
      <c r="U53" s="182">
        <f>'1-P&amp;L Modified'!$AV$35</f>
        <v>1922916.0059475345</v>
      </c>
      <c r="V53" s="182">
        <f>'1-P&amp;L Modified'!$AZ$35</f>
        <v>1958329.0189701598</v>
      </c>
      <c r="W53" s="182">
        <f>'1-P&amp;L Modified'!$BD$35</f>
        <v>1994865.7441903255</v>
      </c>
      <c r="X53" s="182">
        <f>'1-P&amp;L Modified'!$BH$35</f>
        <v>2029461.5838711727</v>
      </c>
      <c r="Y53" s="182">
        <f>'1-P&amp;L Modified'!$BL$35</f>
        <v>2066085.8445892853</v>
      </c>
      <c r="Z53" s="1589">
        <f>'1-P&amp;L Modified'!$BP$35</f>
        <v>2103434.837457818</v>
      </c>
    </row>
    <row r="54" spans="2:26" x14ac:dyDescent="0.2">
      <c r="B54" s="52" t="s">
        <v>277</v>
      </c>
      <c r="C54" s="182">
        <v>0</v>
      </c>
      <c r="D54" s="182">
        <f>D51*3%+D53*8%</f>
        <v>361468.04294304468</v>
      </c>
      <c r="E54" s="182">
        <f t="shared" ref="E54:M54" si="101">E51*3%+E53*8%</f>
        <v>427016.78897874866</v>
      </c>
      <c r="F54" s="182">
        <f t="shared" si="101"/>
        <v>510175.31025207456</v>
      </c>
      <c r="G54" s="182">
        <f t="shared" si="101"/>
        <v>526492.7937507201</v>
      </c>
      <c r="H54" s="182">
        <f t="shared" si="101"/>
        <v>554834.96517978446</v>
      </c>
      <c r="I54" s="182">
        <f t="shared" si="101"/>
        <v>559612.39896425419</v>
      </c>
      <c r="J54" s="182">
        <f t="shared" si="101"/>
        <v>564978.53644744598</v>
      </c>
      <c r="K54" s="182">
        <f t="shared" si="101"/>
        <v>566898.17587465211</v>
      </c>
      <c r="L54" s="182">
        <f t="shared" si="101"/>
        <v>570566.37010009529</v>
      </c>
      <c r="M54" s="1589">
        <f t="shared" si="101"/>
        <v>574269.88933715248</v>
      </c>
      <c r="O54" s="1868" t="s">
        <v>241</v>
      </c>
      <c r="P54" s="1869">
        <f t="shared" ref="P54:Z54" si="102">P52-P53</f>
        <v>1843328.5357346712</v>
      </c>
      <c r="Q54" s="1869">
        <f t="shared" si="102"/>
        <v>2576180.4199546226</v>
      </c>
      <c r="R54" s="1869">
        <f t="shared" si="102"/>
        <v>2904709.2537191063</v>
      </c>
      <c r="S54" s="1869">
        <f t="shared" si="102"/>
        <v>3466697.1274814475</v>
      </c>
      <c r="T54" s="1869">
        <f t="shared" si="102"/>
        <v>4107840.7656707973</v>
      </c>
      <c r="U54" s="1869">
        <f t="shared" si="102"/>
        <v>4503596.2658231948</v>
      </c>
      <c r="V54" s="1869">
        <f t="shared" si="102"/>
        <v>4536815.0230261013</v>
      </c>
      <c r="W54" s="1869">
        <f t="shared" si="102"/>
        <v>4586033.0314770713</v>
      </c>
      <c r="X54" s="1869">
        <f t="shared" si="102"/>
        <v>4604662.7996719731</v>
      </c>
      <c r="Y54" s="1869">
        <f t="shared" si="102"/>
        <v>4638802.1473533921</v>
      </c>
      <c r="Z54" s="1870">
        <f t="shared" si="102"/>
        <v>4673250.9051508419</v>
      </c>
    </row>
    <row r="55" spans="2:26" x14ac:dyDescent="0.2">
      <c r="B55" s="1868" t="s">
        <v>243</v>
      </c>
      <c r="C55" s="1756">
        <f>C53-C54</f>
        <v>1843328.5357346712</v>
      </c>
      <c r="D55" s="1756">
        <f>D53-D54</f>
        <v>2458231.5383910998</v>
      </c>
      <c r="E55" s="1756">
        <f t="shared" ref="E55:M55" si="103">E53-E54</f>
        <v>2988625.6716278833</v>
      </c>
      <c r="F55" s="1756">
        <f t="shared" si="103"/>
        <v>3647445.2732632165</v>
      </c>
      <c r="G55" s="1756">
        <f t="shared" si="103"/>
        <v>3749732.503618909</v>
      </c>
      <c r="H55" s="1756">
        <f t="shared" si="103"/>
        <v>3964687.6257416569</v>
      </c>
      <c r="I55" s="1756">
        <f t="shared" si="103"/>
        <v>3993683.3137189215</v>
      </c>
      <c r="J55" s="1756">
        <f t="shared" si="103"/>
        <v>4027135.6828410653</v>
      </c>
      <c r="K55" s="1756">
        <f t="shared" si="103"/>
        <v>4033232.0819300469</v>
      </c>
      <c r="L55" s="1756">
        <f t="shared" si="103"/>
        <v>4052922.6731946017</v>
      </c>
      <c r="M55" s="1757">
        <f t="shared" si="103"/>
        <v>4072701.4216939192</v>
      </c>
      <c r="O55" s="52" t="s">
        <v>277</v>
      </c>
      <c r="P55" s="182">
        <v>0</v>
      </c>
      <c r="Q55" s="182">
        <f>Q52*3%+Q54*8%</f>
        <v>334680.93519129726</v>
      </c>
      <c r="R55" s="182">
        <f t="shared" ref="R55" si="104">R52*3%+R54*8%</f>
        <v>370814.13622112083</v>
      </c>
      <c r="S55" s="182">
        <f t="shared" ref="S55" si="105">S52*3%+S54*8%</f>
        <v>434173.73008835176</v>
      </c>
      <c r="T55" s="182">
        <f t="shared" ref="T55" si="106">T52*3%+T54*8%</f>
        <v>507970.49526384863</v>
      </c>
      <c r="U55" s="182">
        <f t="shared" ref="U55" si="107">U52*3%+U54*8%</f>
        <v>553083.06941897748</v>
      </c>
      <c r="V55" s="182">
        <f t="shared" ref="V55" si="108">V52*3%+V54*8%</f>
        <v>557799.52310197591</v>
      </c>
      <c r="W55" s="182">
        <f t="shared" ref="W55" si="109">W52*3%+W54*8%</f>
        <v>564309.60578818759</v>
      </c>
      <c r="X55" s="182">
        <f t="shared" ref="X55" si="110">X52*3%+X54*8%</f>
        <v>567396.7554800522</v>
      </c>
      <c r="Y55" s="182">
        <f t="shared" ref="Y55" si="111">Y52*3%+Y54*8%</f>
        <v>572250.81154655176</v>
      </c>
      <c r="Z55" s="1589">
        <f t="shared" ref="Z55" si="112">Z52*3%+Z54*8%</f>
        <v>577160.64469032711</v>
      </c>
    </row>
    <row r="56" spans="2:26" x14ac:dyDescent="0.2">
      <c r="B56" s="52" t="s">
        <v>250</v>
      </c>
      <c r="C56" s="182">
        <f>'1-P&amp;L Modified'!$AB$51</f>
        <v>-45000.000000000007</v>
      </c>
      <c r="D56" s="182">
        <f>'1-P&amp;L Modified'!$AF$51</f>
        <v>-12259.983188996339</v>
      </c>
      <c r="E56" s="182">
        <f>'1-P&amp;L Modified'!$AJ$51</f>
        <v>-13816.490105635996</v>
      </c>
      <c r="F56" s="182">
        <f>'1-P&amp;L Modified'!$AN$51</f>
        <v>-13108.307577873558</v>
      </c>
      <c r="G56" s="182">
        <f>'1-P&amp;L Modified'!$AR$51</f>
        <v>-12385.124456568519</v>
      </c>
      <c r="H56" s="182">
        <f>'1-P&amp;L Modified'!$AV$51</f>
        <v>-11646.623001875836</v>
      </c>
      <c r="I56" s="182">
        <f>'1-P&amp;L Modified'!$AZ$51</f>
        <v>-10892.478743642845</v>
      </c>
      <c r="J56" s="182">
        <f>'1-P&amp;L Modified'!$BD$51</f>
        <v>-10122.360338849096</v>
      </c>
      <c r="K56" s="182">
        <f>'1-P&amp;L Modified'!$BH$51</f>
        <v>-9335.9294260265378</v>
      </c>
      <c r="L56" s="182">
        <f>'1-P&amp;L Modified'!$BL$51</f>
        <v>-8532.8404765960076</v>
      </c>
      <c r="M56" s="1589">
        <f>'1-P&amp;L Modified'!$BP$51</f>
        <v>-7712.7406430548144</v>
      </c>
      <c r="O56" s="1868" t="s">
        <v>243</v>
      </c>
      <c r="P56" s="1756">
        <f>P54-P55</f>
        <v>1843328.5357346712</v>
      </c>
      <c r="Q56" s="1756">
        <f>Q54-Q55</f>
        <v>2241499.4847633252</v>
      </c>
      <c r="R56" s="1756">
        <f t="shared" ref="R56" si="113">R54-R55</f>
        <v>2533895.1174979853</v>
      </c>
      <c r="S56" s="1756">
        <f t="shared" ref="S56" si="114">S54-S55</f>
        <v>3032523.3973930958</v>
      </c>
      <c r="T56" s="1756">
        <f t="shared" ref="T56" si="115">T54-T55</f>
        <v>3599870.2704069489</v>
      </c>
      <c r="U56" s="1756">
        <f t="shared" ref="U56" si="116">U54-U55</f>
        <v>3950513.1964042173</v>
      </c>
      <c r="V56" s="1756">
        <f t="shared" ref="V56" si="117">V54-V55</f>
        <v>3979015.4999241251</v>
      </c>
      <c r="W56" s="1756">
        <f t="shared" ref="W56" si="118">W54-W55</f>
        <v>4021723.4256888838</v>
      </c>
      <c r="X56" s="1756">
        <f t="shared" ref="X56" si="119">X54-X55</f>
        <v>4037266.0441919211</v>
      </c>
      <c r="Y56" s="1756">
        <f t="shared" ref="Y56" si="120">Y54-Y55</f>
        <v>4066551.3358068401</v>
      </c>
      <c r="Z56" s="1757">
        <f t="shared" ref="Z56" si="121">Z54-Z55</f>
        <v>4096090.2604605146</v>
      </c>
    </row>
    <row r="57" spans="2:26" x14ac:dyDescent="0.2">
      <c r="B57" s="282" t="s">
        <v>252</v>
      </c>
      <c r="C57" s="182">
        <f>C49*4%</f>
        <v>252955.01595872609</v>
      </c>
      <c r="D57" s="182">
        <f>D49*4%</f>
        <v>326224.68530597154</v>
      </c>
      <c r="E57" s="182">
        <f t="shared" ref="E57:M57" si="122">E49*4%</f>
        <v>361047.309410938</v>
      </c>
      <c r="F57" s="182">
        <f t="shared" si="122"/>
        <v>415482.55605960148</v>
      </c>
      <c r="G57" s="182">
        <f t="shared" si="122"/>
        <v>431449.45834141772</v>
      </c>
      <c r="H57" s="182">
        <f t="shared" si="122"/>
        <v>450856.38112391869</v>
      </c>
      <c r="I57" s="182">
        <f t="shared" si="122"/>
        <v>456383.22712318721</v>
      </c>
      <c r="J57" s="182">
        <f t="shared" si="122"/>
        <v>462318.6344988526</v>
      </c>
      <c r="K57" s="182">
        <f t="shared" si="122"/>
        <v>466273.58742917189</v>
      </c>
      <c r="L57" s="182">
        <f t="shared" si="122"/>
        <v>471325.58084228868</v>
      </c>
      <c r="M57" s="1589">
        <f t="shared" si="122"/>
        <v>476450.43552724743</v>
      </c>
      <c r="O57" s="52" t="s">
        <v>250</v>
      </c>
      <c r="P57" s="182">
        <f>'1-P&amp;L Modified'!$AB$51</f>
        <v>-45000.000000000007</v>
      </c>
      <c r="Q57" s="182">
        <f>'1-P&amp;L Modified'!$AF$51</f>
        <v>-12259.983188996339</v>
      </c>
      <c r="R57" s="182">
        <f>'1-P&amp;L Modified'!$AJ$51</f>
        <v>-13816.490105635996</v>
      </c>
      <c r="S57" s="182">
        <f>'1-P&amp;L Modified'!$AN$51</f>
        <v>-13108.307577873558</v>
      </c>
      <c r="T57" s="182">
        <f>'1-P&amp;L Modified'!$AR$51</f>
        <v>-12385.124456568519</v>
      </c>
      <c r="U57" s="182">
        <f>'1-P&amp;L Modified'!$AV$51</f>
        <v>-11646.623001875836</v>
      </c>
      <c r="V57" s="182">
        <f>'1-P&amp;L Modified'!$AZ$51</f>
        <v>-10892.478743642845</v>
      </c>
      <c r="W57" s="182">
        <f>'1-P&amp;L Modified'!$BD$51</f>
        <v>-10122.360338849096</v>
      </c>
      <c r="X57" s="182">
        <f>'1-P&amp;L Modified'!$BH$51</f>
        <v>-9335.9294260265378</v>
      </c>
      <c r="Y57" s="182">
        <f>'1-P&amp;L Modified'!$BL$51</f>
        <v>-8532.8404765960076</v>
      </c>
      <c r="Z57" s="1589">
        <f>'1-P&amp;L Modified'!$BP$51</f>
        <v>-7712.7406430548144</v>
      </c>
    </row>
    <row r="58" spans="2:26" ht="17" thickBot="1" x14ac:dyDescent="0.25">
      <c r="B58" s="1641" t="s">
        <v>253</v>
      </c>
      <c r="C58" s="1576">
        <f>C55+C56-C57</f>
        <v>1545373.519775945</v>
      </c>
      <c r="D58" s="1576">
        <f t="shared" ref="D58:M58" si="123">D55+D56-D57</f>
        <v>2119746.8698961316</v>
      </c>
      <c r="E58" s="1576">
        <f t="shared" si="123"/>
        <v>2613761.8721113093</v>
      </c>
      <c r="F58" s="1576">
        <f t="shared" si="123"/>
        <v>3218854.4096257417</v>
      </c>
      <c r="G58" s="1576">
        <f t="shared" si="123"/>
        <v>3305897.9208209226</v>
      </c>
      <c r="H58" s="1576">
        <f t="shared" si="123"/>
        <v>3502184.6216158625</v>
      </c>
      <c r="I58" s="1576">
        <f t="shared" si="123"/>
        <v>3526407.6078520911</v>
      </c>
      <c r="J58" s="1576">
        <f t="shared" si="123"/>
        <v>3554694.6880033636</v>
      </c>
      <c r="K58" s="1576">
        <f t="shared" si="123"/>
        <v>3557622.5650748485</v>
      </c>
      <c r="L58" s="1576">
        <f t="shared" si="123"/>
        <v>3573064.2518757172</v>
      </c>
      <c r="M58" s="1642">
        <f t="shared" si="123"/>
        <v>3588538.2455236171</v>
      </c>
      <c r="O58" s="282" t="s">
        <v>252</v>
      </c>
      <c r="P58" s="182">
        <f>P50*4%</f>
        <v>252955.01595872609</v>
      </c>
      <c r="Q58" s="182">
        <f>Q50*4%</f>
        <v>312408.02935502311</v>
      </c>
      <c r="R58" s="182">
        <f t="shared" ref="R58:Z58" si="124">R50*4%</f>
        <v>332041.08221001795</v>
      </c>
      <c r="S58" s="182">
        <f t="shared" si="124"/>
        <v>376343.04470163176</v>
      </c>
      <c r="T58" s="182">
        <f t="shared" si="124"/>
        <v>422752.46718984033</v>
      </c>
      <c r="U58" s="182">
        <f t="shared" si="124"/>
        <v>451278.69486405083</v>
      </c>
      <c r="V58" s="182">
        <f t="shared" si="124"/>
        <v>456776.04994171852</v>
      </c>
      <c r="W58" s="182">
        <f t="shared" si="124"/>
        <v>463333.94906279305</v>
      </c>
      <c r="X58" s="182">
        <f t="shared" si="124"/>
        <v>467916.32711427048</v>
      </c>
      <c r="Y58" s="182">
        <f t="shared" si="124"/>
        <v>473609.14277844073</v>
      </c>
      <c r="Z58" s="1589">
        <f t="shared" si="124"/>
        <v>479385.58597354329</v>
      </c>
    </row>
    <row r="59" spans="2:26" ht="18" thickTop="1" thickBot="1" x14ac:dyDescent="0.25">
      <c r="B59" s="52" t="s">
        <v>786</v>
      </c>
      <c r="D59">
        <f>'1-INCREMENTAL CF'!$E$38</f>
        <v>1236544.4555525396</v>
      </c>
      <c r="E59">
        <f>'1-INCREMENTAL CF'!$F$38</f>
        <v>1482980.5069993667</v>
      </c>
      <c r="F59">
        <f>'1-INCREMENTAL CF'!$G$38</f>
        <v>1015234.5378366102</v>
      </c>
      <c r="M59" s="144"/>
      <c r="O59" s="1641" t="s">
        <v>253</v>
      </c>
      <c r="P59" s="1576">
        <f>P56+P57-P58</f>
        <v>1545373.519775945</v>
      </c>
      <c r="Q59" s="1576">
        <f t="shared" ref="Q59" si="125">Q56+Q57-Q58</f>
        <v>1916831.4722193056</v>
      </c>
      <c r="R59" s="1576">
        <f t="shared" ref="R59" si="126">R56+R57-R58</f>
        <v>2188037.5451823315</v>
      </c>
      <c r="S59" s="1576">
        <f t="shared" ref="S59" si="127">S56+S57-S58</f>
        <v>2643072.0451135905</v>
      </c>
      <c r="T59" s="1576">
        <f t="shared" ref="T59" si="128">T56+T57-T58</f>
        <v>3164732.6787605397</v>
      </c>
      <c r="U59" s="1576">
        <f t="shared" ref="U59" si="129">U56+U57-U58</f>
        <v>3487587.8785382905</v>
      </c>
      <c r="V59" s="1576">
        <f t="shared" ref="V59" si="130">V56+V57-V58</f>
        <v>3511346.9712387635</v>
      </c>
      <c r="W59" s="1576">
        <f t="shared" ref="W59" si="131">W56+W57-W58</f>
        <v>3548267.1162872417</v>
      </c>
      <c r="X59" s="1576">
        <f t="shared" ref="X59" si="132">X56+X57-X58</f>
        <v>3560013.7876516241</v>
      </c>
      <c r="Y59" s="1576">
        <f t="shared" ref="Y59" si="133">Y56+Y57-Y58</f>
        <v>3584409.3525518035</v>
      </c>
      <c r="Z59" s="1642">
        <f t="shared" ref="Z59" si="134">Z56+Z57-Z58</f>
        <v>3608991.9338439167</v>
      </c>
    </row>
    <row r="60" spans="2:26" ht="17" thickTop="1" x14ac:dyDescent="0.2">
      <c r="B60" s="52" t="s">
        <v>761</v>
      </c>
      <c r="C60" s="182">
        <v>0</v>
      </c>
      <c r="D60" s="182">
        <f>D58-'1-INCREMENTAL CF'!$E$23</f>
        <v>574992.58286406426</v>
      </c>
      <c r="E60" s="182">
        <f>E58-'1-INCREMENTAL CF'!$F$23</f>
        <v>1069899.7055619296</v>
      </c>
      <c r="F60" s="182">
        <f>F58-'1-INCREMENTAL CF'!$G$23</f>
        <v>1667814.2220691163</v>
      </c>
      <c r="G60" s="182">
        <f>G58-'1-INCREMENTAL CF'!$H$23</f>
        <v>1764823.2226816898</v>
      </c>
      <c r="H60" s="182">
        <f>H58-'1-INCREMENTAL CF'!$I$23</f>
        <v>1963025.9520825024</v>
      </c>
      <c r="I60" s="182">
        <f>I58-'1-INCREMENTAL CF'!$J$23</f>
        <v>1995438.9991338705</v>
      </c>
      <c r="J60" s="182">
        <f>J58-'1-INCREMENTAL CF'!$K$23</f>
        <v>2023715.8958643745</v>
      </c>
      <c r="K60" s="182">
        <f>K58-'1-INCREMENTAL CF'!$L$23</f>
        <v>2044524.5231094908</v>
      </c>
      <c r="L60" s="182">
        <f>L58-'1-INCREMENTAL CF'!$M$23</f>
        <v>2069672.9919732823</v>
      </c>
      <c r="M60" s="1589">
        <f>M58-'1-INCREMENTAL CF'!$N$23</f>
        <v>2095386.116780045</v>
      </c>
      <c r="O60" s="52" t="s">
        <v>786</v>
      </c>
      <c r="Q60">
        <f>'1-INCREMENTAL CF'!$E$38</f>
        <v>1236544.4555525396</v>
      </c>
      <c r="R60">
        <f>'1-INCREMENTAL CF'!$F$38</f>
        <v>1482980.5069993667</v>
      </c>
      <c r="S60">
        <f>'1-INCREMENTAL CF'!$G$38</f>
        <v>1015234.5378366102</v>
      </c>
      <c r="Z60" s="144"/>
    </row>
    <row r="61" spans="2:26" ht="17" thickBot="1" x14ac:dyDescent="0.25">
      <c r="B61" s="1492" t="s">
        <v>787</v>
      </c>
      <c r="C61" s="1563"/>
      <c r="D61" s="1375">
        <f>D60-D59</f>
        <v>-661551.8726884753</v>
      </c>
      <c r="E61" s="1375">
        <f t="shared" ref="E61:M61" si="135">E60-E59</f>
        <v>-413080.80143743707</v>
      </c>
      <c r="F61" s="1375">
        <f t="shared" si="135"/>
        <v>652579.68423250609</v>
      </c>
      <c r="G61" s="1375">
        <f t="shared" si="135"/>
        <v>1764823.2226816898</v>
      </c>
      <c r="H61" s="1375">
        <f t="shared" si="135"/>
        <v>1963025.9520825024</v>
      </c>
      <c r="I61" s="1375">
        <f t="shared" si="135"/>
        <v>1995438.9991338705</v>
      </c>
      <c r="J61" s="1375">
        <f t="shared" si="135"/>
        <v>2023715.8958643745</v>
      </c>
      <c r="K61" s="1375">
        <f t="shared" si="135"/>
        <v>2044524.5231094908</v>
      </c>
      <c r="L61" s="1375">
        <f t="shared" si="135"/>
        <v>2069672.9919732823</v>
      </c>
      <c r="M61" s="1643">
        <f t="shared" si="135"/>
        <v>2095386.116780045</v>
      </c>
      <c r="O61" s="52" t="s">
        <v>761</v>
      </c>
      <c r="P61" s="182">
        <v>0</v>
      </c>
      <c r="Q61" s="182">
        <f>Q59-'1-INCREMENTAL CF'!$E$23</f>
        <v>372077.18518723827</v>
      </c>
      <c r="R61" s="182">
        <f>R59-'1-INCREMENTAL CF'!$F$23</f>
        <v>644175.37863295176</v>
      </c>
      <c r="S61" s="182">
        <f>S59-'1-INCREMENTAL CF'!$G$23</f>
        <v>1092031.8575569652</v>
      </c>
      <c r="T61" s="182">
        <f>T59-'1-INCREMENTAL CF'!$H$23</f>
        <v>1623657.9806213069</v>
      </c>
      <c r="U61" s="182">
        <f>U59-'1-INCREMENTAL CF'!$I$23</f>
        <v>1948429.2090049305</v>
      </c>
      <c r="V61" s="182">
        <f>V59-'1-INCREMENTAL CF'!$J$23</f>
        <v>1980378.3625205429</v>
      </c>
      <c r="W61" s="182">
        <f>W59-'1-INCREMENTAL CF'!$K$23</f>
        <v>2017288.3241482526</v>
      </c>
      <c r="X61" s="182">
        <f>X59-'1-INCREMENTAL CF'!$L$23</f>
        <v>2046915.7456862663</v>
      </c>
      <c r="Y61" s="182">
        <f>Y59-'1-INCREMENTAL CF'!$M$23</f>
        <v>2081018.0926493686</v>
      </c>
      <c r="Z61" s="1589">
        <f>Z59-'1-INCREMENTAL CF'!$N$23</f>
        <v>2115839.8051003446</v>
      </c>
    </row>
    <row r="62" spans="2:26" ht="17" thickBot="1" x14ac:dyDescent="0.25">
      <c r="O62" s="1492" t="s">
        <v>787</v>
      </c>
      <c r="P62" s="1563"/>
      <c r="Q62" s="1375">
        <f>Q61-Q60</f>
        <v>-864467.27036530129</v>
      </c>
      <c r="R62" s="1375">
        <f t="shared" ref="R62" si="136">R61-R60</f>
        <v>-838805.12836641492</v>
      </c>
      <c r="S62" s="1375">
        <f t="shared" ref="S62" si="137">S61-S60</f>
        <v>76797.319720354979</v>
      </c>
      <c r="T62" s="1375">
        <f t="shared" ref="T62" si="138">T61-T60</f>
        <v>1623657.9806213069</v>
      </c>
      <c r="U62" s="1375">
        <f t="shared" ref="U62" si="139">U61-U60</f>
        <v>1948429.2090049305</v>
      </c>
      <c r="V62" s="1375">
        <f t="shared" ref="V62" si="140">V61-V60</f>
        <v>1980378.3625205429</v>
      </c>
      <c r="W62" s="1375">
        <f t="shared" ref="W62" si="141">W61-W60</f>
        <v>2017288.3241482526</v>
      </c>
      <c r="X62" s="1375">
        <f t="shared" ref="X62" si="142">X61-X60</f>
        <v>2046915.7456862663</v>
      </c>
      <c r="Y62" s="1375">
        <f t="shared" ref="Y62" si="143">Y61-Y60</f>
        <v>2081018.0926493686</v>
      </c>
      <c r="Z62" s="1643">
        <f t="shared" ref="Z62" si="144">Z61-Z60</f>
        <v>2115839.8051003446</v>
      </c>
    </row>
    <row r="64" spans="2:26" ht="17" thickBot="1" x14ac:dyDescent="0.25"/>
    <row r="65" spans="2:26" ht="17" thickBot="1" x14ac:dyDescent="0.25">
      <c r="B65" s="2084" t="s">
        <v>790</v>
      </c>
      <c r="C65" s="2085"/>
      <c r="D65" s="2085"/>
      <c r="E65" s="2085"/>
      <c r="F65" s="2085"/>
      <c r="G65" s="2085"/>
      <c r="H65" s="2085"/>
      <c r="I65" s="2085"/>
      <c r="J65" s="2085"/>
      <c r="K65" s="2085"/>
      <c r="L65" s="2085"/>
      <c r="M65" s="2086"/>
      <c r="O65" s="2084" t="s">
        <v>790</v>
      </c>
      <c r="P65" s="2085"/>
      <c r="Q65" s="2085"/>
      <c r="R65" s="2085"/>
      <c r="S65" s="2085"/>
      <c r="T65" s="2085"/>
      <c r="U65" s="2085"/>
      <c r="V65" s="2085"/>
      <c r="W65" s="2085"/>
      <c r="X65" s="2085"/>
      <c r="Y65" s="2085"/>
      <c r="Z65" s="2086"/>
    </row>
    <row r="66" spans="2:26" x14ac:dyDescent="0.2">
      <c r="B66" s="1653" t="s">
        <v>791</v>
      </c>
      <c r="C66" s="1568">
        <f t="shared" ref="C66:M66" si="145">C26/C18-1</f>
        <v>0</v>
      </c>
      <c r="D66" s="1568">
        <f t="shared" si="145"/>
        <v>9.5418003364249326E-3</v>
      </c>
      <c r="E66" s="1568">
        <f t="shared" si="145"/>
        <v>9.5418003364249326E-3</v>
      </c>
      <c r="F66" s="1568">
        <f t="shared" si="145"/>
        <v>-2.723500037682447E-2</v>
      </c>
      <c r="G66" s="1568">
        <f t="shared" si="145"/>
        <v>-0.10696836572147728</v>
      </c>
      <c r="H66" s="1568">
        <f t="shared" si="145"/>
        <v>-0.10696836572147728</v>
      </c>
      <c r="I66" s="1568">
        <f t="shared" si="145"/>
        <v>-0.10696836572147717</v>
      </c>
      <c r="J66" s="1568">
        <f t="shared" si="145"/>
        <v>-0.10696836572147728</v>
      </c>
      <c r="K66" s="1568">
        <f t="shared" si="145"/>
        <v>-0.10696836572147728</v>
      </c>
      <c r="L66" s="1568">
        <f t="shared" si="145"/>
        <v>-0.10696836572147728</v>
      </c>
      <c r="M66" s="1569">
        <f t="shared" si="145"/>
        <v>-0.10696836572147717</v>
      </c>
      <c r="O66" s="1653" t="s">
        <v>792</v>
      </c>
      <c r="P66" s="1568">
        <f t="shared" ref="P66:Z66" si="146">P26/C19-1</f>
        <v>0</v>
      </c>
      <c r="Q66" s="1568">
        <f t="shared" si="146"/>
        <v>-3.0094247702913246E-2</v>
      </c>
      <c r="R66" s="1568">
        <f t="shared" si="146"/>
        <v>-5.9209814072161637E-2</v>
      </c>
      <c r="S66" s="1568">
        <f t="shared" si="146"/>
        <v>-8.7380889079058055E-2</v>
      </c>
      <c r="T66" s="1568">
        <f t="shared" si="146"/>
        <v>-0.11391390176284644</v>
      </c>
      <c r="U66" s="1568">
        <f t="shared" si="146"/>
        <v>-0.13942824389131658</v>
      </c>
      <c r="V66" s="1568">
        <f t="shared" si="146"/>
        <v>-0.13942824389131658</v>
      </c>
      <c r="W66" s="1568">
        <f t="shared" si="146"/>
        <v>-0.13782048192814311</v>
      </c>
      <c r="X66" s="1568">
        <f t="shared" si="146"/>
        <v>-0.13620971626596157</v>
      </c>
      <c r="Y66" s="1568">
        <f t="shared" si="146"/>
        <v>-0.13459594129311547</v>
      </c>
      <c r="Z66" s="1569">
        <f t="shared" si="146"/>
        <v>-0.13297915138746452</v>
      </c>
    </row>
    <row r="67" spans="2:26" x14ac:dyDescent="0.2">
      <c r="B67" s="1654" t="s">
        <v>793</v>
      </c>
      <c r="C67" s="1568">
        <f t="shared" ref="C67:M67" si="147">C46/C18-1</f>
        <v>0</v>
      </c>
      <c r="D67" s="1568">
        <f t="shared" si="147"/>
        <v>0.10495980370067559</v>
      </c>
      <c r="E67" s="1568">
        <f t="shared" si="147"/>
        <v>0.20939634930159823</v>
      </c>
      <c r="F67" s="1568">
        <f t="shared" si="147"/>
        <v>0.27548236254063529</v>
      </c>
      <c r="G67" s="1568">
        <f t="shared" si="147"/>
        <v>0.17093655626418736</v>
      </c>
      <c r="H67" s="1568">
        <f t="shared" si="147"/>
        <v>0.17093655626418736</v>
      </c>
      <c r="I67" s="1568">
        <f t="shared" si="147"/>
        <v>0.17093655626418736</v>
      </c>
      <c r="J67" s="1568">
        <f t="shared" si="147"/>
        <v>0.17093655626418713</v>
      </c>
      <c r="K67" s="1568">
        <f t="shared" si="147"/>
        <v>0.17093655626418713</v>
      </c>
      <c r="L67" s="1568">
        <f t="shared" si="147"/>
        <v>0.17093655626418713</v>
      </c>
      <c r="M67" s="1569">
        <f t="shared" si="147"/>
        <v>0.17093655626418713</v>
      </c>
      <c r="O67" s="1654" t="s">
        <v>794</v>
      </c>
      <c r="P67" s="1568">
        <f t="shared" ref="P67:Z67" si="148">P46/C19-1</f>
        <v>0</v>
      </c>
      <c r="Q67" s="1568">
        <f t="shared" si="148"/>
        <v>3.0094247702913135E-2</v>
      </c>
      <c r="R67" s="1568">
        <f t="shared" si="148"/>
        <v>6.1016610380465908E-2</v>
      </c>
      <c r="S67" s="1568">
        <f t="shared" si="148"/>
        <v>9.2787752301034088E-2</v>
      </c>
      <c r="T67" s="1568">
        <f t="shared" si="148"/>
        <v>0.12455889422160227</v>
      </c>
      <c r="U67" s="1568">
        <f t="shared" si="148"/>
        <v>0.15693992404236923</v>
      </c>
      <c r="V67" s="1568">
        <f t="shared" si="148"/>
        <v>0.15693992404236901</v>
      </c>
      <c r="W67" s="1568">
        <f t="shared" si="148"/>
        <v>0.15910137541507385</v>
      </c>
      <c r="X67" s="1568">
        <f t="shared" si="148"/>
        <v>0.16126686491624098</v>
      </c>
      <c r="Y67" s="1568">
        <f t="shared" si="148"/>
        <v>0.1634364000900983</v>
      </c>
      <c r="Z67" s="1569">
        <f t="shared" si="148"/>
        <v>0.16560998849496822</v>
      </c>
    </row>
    <row r="68" spans="2:26" x14ac:dyDescent="0.2">
      <c r="B68" s="1653" t="s">
        <v>795</v>
      </c>
      <c r="C68" s="1568">
        <f t="shared" ref="C68:M68" si="149">C31/C21-1</f>
        <v>2.4198661689567302E-5</v>
      </c>
      <c r="D68" s="1568">
        <f t="shared" si="149"/>
        <v>6.3548199650478976E-2</v>
      </c>
      <c r="E68" s="1568">
        <f t="shared" si="149"/>
        <v>4.1779838753452703E-2</v>
      </c>
      <c r="F68" s="1568">
        <f t="shared" si="149"/>
        <v>4.1970872734861331E-2</v>
      </c>
      <c r="G68" s="1568">
        <f t="shared" si="149"/>
        <v>-8.817956885061784E-2</v>
      </c>
      <c r="H68" s="1568">
        <f t="shared" si="149"/>
        <v>-8.8385939869773611E-2</v>
      </c>
      <c r="I68" s="1568">
        <f t="shared" si="149"/>
        <v>-8.8295903107308837E-2</v>
      </c>
      <c r="J68" s="1568">
        <f t="shared" si="149"/>
        <v>-8.8224262143886123E-2</v>
      </c>
      <c r="K68" s="1568">
        <f t="shared" si="149"/>
        <v>-8.8096896978396066E-2</v>
      </c>
      <c r="L68" s="1568">
        <f t="shared" si="149"/>
        <v>-8.7994574931760994E-2</v>
      </c>
      <c r="M68" s="1569">
        <f t="shared" si="149"/>
        <v>-8.7861758308056537E-2</v>
      </c>
      <c r="O68" s="1653" t="s">
        <v>796</v>
      </c>
      <c r="P68" s="1568">
        <f t="shared" ref="P68:Z68" si="150">P32/C21-1</f>
        <v>2.4198661689567302E-5</v>
      </c>
      <c r="Q68" s="1568">
        <f t="shared" si="150"/>
        <v>-3.9664463986748277E-3</v>
      </c>
      <c r="R68" s="1568">
        <f t="shared" si="150"/>
        <v>-8.6309312513712988E-2</v>
      </c>
      <c r="S68" s="1568">
        <f t="shared" si="150"/>
        <v>-0.14124041153407263</v>
      </c>
      <c r="T68" s="1568">
        <f t="shared" si="150"/>
        <v>-0.26662489495598707</v>
      </c>
      <c r="U68" s="1568">
        <f t="shared" si="150"/>
        <v>-0.28488638326977389</v>
      </c>
      <c r="V68" s="1568">
        <f t="shared" si="150"/>
        <v>-0.28455064176696909</v>
      </c>
      <c r="W68" s="1568">
        <f t="shared" si="150"/>
        <v>-0.28312914369632514</v>
      </c>
      <c r="X68" s="1568">
        <f t="shared" si="150"/>
        <v>-0.28156556959204404</v>
      </c>
      <c r="Y68" s="1568">
        <f t="shared" si="150"/>
        <v>-0.28006772888699294</v>
      </c>
      <c r="Z68" s="1569">
        <f t="shared" si="150"/>
        <v>-0.27853778937600626</v>
      </c>
    </row>
    <row r="69" spans="2:26" x14ac:dyDescent="0.2">
      <c r="B69" s="1654" t="s">
        <v>797</v>
      </c>
      <c r="C69" s="1568">
        <f t="shared" ref="C69:M69" si="151">C51/C21-1</f>
        <v>2.4198661689567302E-5</v>
      </c>
      <c r="D69" s="1568">
        <f t="shared" si="151"/>
        <v>0.14482244804768429</v>
      </c>
      <c r="E69" s="1568">
        <f t="shared" si="151"/>
        <v>0.20989248328511678</v>
      </c>
      <c r="F69" s="1568">
        <f t="shared" si="151"/>
        <v>0.30416142730621121</v>
      </c>
      <c r="G69" s="1568">
        <f t="shared" si="151"/>
        <v>0.14094131347217176</v>
      </c>
      <c r="H69" s="1568">
        <f t="shared" si="151"/>
        <v>0.14125093648080855</v>
      </c>
      <c r="I69" s="1568">
        <f t="shared" si="151"/>
        <v>0.14112600090985183</v>
      </c>
      <c r="J69" s="1568">
        <f t="shared" si="151"/>
        <v>0.14099130805474713</v>
      </c>
      <c r="K69" s="1568">
        <f t="shared" si="151"/>
        <v>0.14080789542412253</v>
      </c>
      <c r="L69" s="1568">
        <f t="shared" si="151"/>
        <v>0.14064433723258118</v>
      </c>
      <c r="M69" s="1569">
        <f t="shared" si="151"/>
        <v>0.14050636562093954</v>
      </c>
      <c r="O69" s="1654" t="s">
        <v>797</v>
      </c>
      <c r="P69" s="1568">
        <f t="shared" ref="P69:Z69" si="152">P52/C21-1</f>
        <v>2.4198661689567302E-5</v>
      </c>
      <c r="Q69" s="1568">
        <f t="shared" si="152"/>
        <v>8.3276651606562391E-2</v>
      </c>
      <c r="R69" s="1568">
        <f t="shared" si="152"/>
        <v>8.9285192286150838E-2</v>
      </c>
      <c r="S69" s="1568">
        <f t="shared" si="152"/>
        <v>0.15192325764101078</v>
      </c>
      <c r="T69" s="1568">
        <f t="shared" si="152"/>
        <v>0.10968497109239528</v>
      </c>
      <c r="U69" s="1568">
        <f t="shared" si="152"/>
        <v>0.13842965488692505</v>
      </c>
      <c r="V69" s="1568">
        <f t="shared" si="152"/>
        <v>0.13823785175266923</v>
      </c>
      <c r="W69" s="1568">
        <f t="shared" si="152"/>
        <v>0.13993792965159857</v>
      </c>
      <c r="X69" s="1568">
        <f t="shared" si="152"/>
        <v>0.14158784684074255</v>
      </c>
      <c r="Y69" s="1568">
        <f t="shared" si="152"/>
        <v>0.1432553858750949</v>
      </c>
      <c r="Z69" s="1569">
        <f t="shared" si="152"/>
        <v>0.14494640133438219</v>
      </c>
    </row>
    <row r="70" spans="2:26" x14ac:dyDescent="0.2">
      <c r="B70" s="1653" t="s">
        <v>798</v>
      </c>
      <c r="C70" s="1568">
        <f t="shared" ref="C70:M70" si="153">C33/C22-1</f>
        <v>4.2297212982100874E-5</v>
      </c>
      <c r="D70" s="1568">
        <f t="shared" si="153"/>
        <v>0.11191726090134679</v>
      </c>
      <c r="E70" s="1568">
        <f t="shared" si="153"/>
        <v>7.0055734487722177E-2</v>
      </c>
      <c r="F70" s="1568">
        <f t="shared" si="153"/>
        <v>6.8587784688662445E-2</v>
      </c>
      <c r="G70" s="1568">
        <f t="shared" si="153"/>
        <v>-0.13507235760610292</v>
      </c>
      <c r="H70" s="1568">
        <f t="shared" si="153"/>
        <v>-0.13404736383592697</v>
      </c>
      <c r="I70" s="1568">
        <f t="shared" si="153"/>
        <v>-0.13443065852529423</v>
      </c>
      <c r="J70" s="1568">
        <f t="shared" si="153"/>
        <v>-0.13480652473003951</v>
      </c>
      <c r="K70" s="1568">
        <f t="shared" si="153"/>
        <v>-0.13537248894008391</v>
      </c>
      <c r="L70" s="1568">
        <f t="shared" si="153"/>
        <v>-0.13585485817456477</v>
      </c>
      <c r="M70" s="1569">
        <f t="shared" si="153"/>
        <v>-0.13630075411396836</v>
      </c>
      <c r="O70" s="1653" t="s">
        <v>798</v>
      </c>
      <c r="P70" s="1568">
        <f t="shared" ref="P70:Z70" si="154">P34/C22-1</f>
        <v>4.2297212982100874E-5</v>
      </c>
      <c r="Q70" s="1568">
        <f t="shared" si="154"/>
        <v>-6.9854664474094941E-3</v>
      </c>
      <c r="R70" s="1568">
        <f t="shared" si="154"/>
        <v>-0.14472201094310866</v>
      </c>
      <c r="S70" s="1568">
        <f t="shared" si="154"/>
        <v>-0.23081166305104317</v>
      </c>
      <c r="T70" s="1568">
        <f t="shared" si="154"/>
        <v>-0.40841267005052273</v>
      </c>
      <c r="U70" s="1568">
        <f t="shared" si="154"/>
        <v>-0.43206270959307191</v>
      </c>
      <c r="V70" s="1568">
        <f t="shared" si="154"/>
        <v>-0.43322882274661656</v>
      </c>
      <c r="W70" s="1568">
        <f t="shared" si="154"/>
        <v>-0.43262085716563348</v>
      </c>
      <c r="X70" s="1568">
        <f t="shared" si="154"/>
        <v>-0.43266259383522443</v>
      </c>
      <c r="Y70" s="1568">
        <f t="shared" si="154"/>
        <v>-0.43239667464410414</v>
      </c>
      <c r="Z70" s="1569">
        <f t="shared" si="154"/>
        <v>-0.43209823559502025</v>
      </c>
    </row>
    <row r="71" spans="2:26" ht="17" thickBot="1" x14ac:dyDescent="0.25">
      <c r="B71" s="1655" t="s">
        <v>799</v>
      </c>
      <c r="C71" s="1656">
        <f t="shared" ref="C71:M71" si="155">C53/C22-1</f>
        <v>4.2297212982100874E-5</v>
      </c>
      <c r="D71" s="1656">
        <f t="shared" si="155"/>
        <v>0.25505257098817347</v>
      </c>
      <c r="E71" s="1656">
        <f t="shared" si="155"/>
        <v>0.35194420368067147</v>
      </c>
      <c r="F71" s="1656">
        <f t="shared" si="155"/>
        <v>0.4970532449602052</v>
      </c>
      <c r="G71" s="1656">
        <f t="shared" si="155"/>
        <v>0.21589213627294446</v>
      </c>
      <c r="H71" s="1656">
        <f t="shared" si="155"/>
        <v>0.21422316380304229</v>
      </c>
      <c r="I71" s="1656">
        <f t="shared" si="155"/>
        <v>0.21486456981243829</v>
      </c>
      <c r="J71" s="1656">
        <f t="shared" si="155"/>
        <v>0.2154344824670209</v>
      </c>
      <c r="K71" s="1656">
        <f t="shared" si="155"/>
        <v>0.21636988270600455</v>
      </c>
      <c r="L71" s="1656">
        <f t="shared" si="155"/>
        <v>0.21714084649656495</v>
      </c>
      <c r="M71" s="1657">
        <f t="shared" si="155"/>
        <v>0.21796881784223254</v>
      </c>
      <c r="O71" s="1655" t="s">
        <v>799</v>
      </c>
      <c r="P71" s="1656">
        <f t="shared" ref="P71:Z71" si="156">P54/C22-1</f>
        <v>4.2297212982100874E-5</v>
      </c>
      <c r="Q71" s="1656">
        <f t="shared" si="156"/>
        <v>0.14666182198872013</v>
      </c>
      <c r="R71" s="1656">
        <f t="shared" si="156"/>
        <v>0.1497119163478553</v>
      </c>
      <c r="S71" s="1656">
        <f t="shared" si="156"/>
        <v>0.24826931167497079</v>
      </c>
      <c r="T71" s="1656">
        <f t="shared" si="156"/>
        <v>0.1680140630365905</v>
      </c>
      <c r="U71" s="1656">
        <f t="shared" si="156"/>
        <v>0.20994436831977725</v>
      </c>
      <c r="V71" s="1656">
        <f t="shared" si="156"/>
        <v>0.21046735794353122</v>
      </c>
      <c r="W71" s="1656">
        <f t="shared" si="156"/>
        <v>0.21382492203201786</v>
      </c>
      <c r="X71" s="1656">
        <f t="shared" si="156"/>
        <v>0.21756838081594432</v>
      </c>
      <c r="Y71" s="1656">
        <f t="shared" si="156"/>
        <v>0.22117204550276148</v>
      </c>
      <c r="Z71" s="1657">
        <f t="shared" si="156"/>
        <v>0.2248566860990151</v>
      </c>
    </row>
    <row r="72" spans="2:26" ht="17" thickBot="1" x14ac:dyDescent="0.25"/>
    <row r="73" spans="2:26" ht="17" thickBot="1" x14ac:dyDescent="0.25">
      <c r="B73" s="2084" t="s">
        <v>784</v>
      </c>
      <c r="C73" s="2086"/>
      <c r="E73" s="2084" t="s">
        <v>800</v>
      </c>
      <c r="F73" s="2086"/>
      <c r="O73" s="2084" t="s">
        <v>801</v>
      </c>
      <c r="P73" s="2086"/>
      <c r="R73" s="2084" t="s">
        <v>802</v>
      </c>
      <c r="S73" s="2086"/>
    </row>
    <row r="74" spans="2:26" x14ac:dyDescent="0.2">
      <c r="B74" s="1871" t="s">
        <v>803</v>
      </c>
      <c r="C74" s="1558">
        <f>AVERAGE(C68:M68)/AVERAGE(C66:M66)</f>
        <v>0.62055384165501648</v>
      </c>
      <c r="E74" s="1871" t="s">
        <v>748</v>
      </c>
      <c r="F74" s="1574">
        <f>NPV($P$9,D40:M40)-SUM(D39:F39)</f>
        <v>1464865.7194879497</v>
      </c>
      <c r="O74" s="1871" t="s">
        <v>804</v>
      </c>
      <c r="P74" s="1558">
        <f>AVERAGE(P68:Z68)/AVERAGE(P66:Z66)</f>
        <v>1.9718582961724926</v>
      </c>
      <c r="R74" s="1871" t="s">
        <v>748</v>
      </c>
      <c r="S74" s="1574">
        <f>NPV($P$9,Q41:Z41)-SUM(Q40:S40)</f>
        <v>-3715052.3636377272</v>
      </c>
    </row>
    <row r="75" spans="2:26" ht="17" thickBot="1" x14ac:dyDescent="0.25">
      <c r="B75" s="1560" t="s">
        <v>805</v>
      </c>
      <c r="C75" s="1559">
        <f>AVERAGE(C70:M70)/AVERAGE(C66:M66)</f>
        <v>0.91855517102393747</v>
      </c>
      <c r="E75" s="1560" t="s">
        <v>269</v>
      </c>
      <c r="F75" s="1575">
        <f>IRR(D41:M41)</f>
        <v>0.22375443470369971</v>
      </c>
      <c r="J75" s="198"/>
      <c r="O75" s="1560" t="s">
        <v>806</v>
      </c>
      <c r="P75" s="1559">
        <f>AVERAGE(P70:Z70)/AVERAGE(P66:Z66)</f>
        <v>3.0475019198325386</v>
      </c>
      <c r="R75" s="1560" t="s">
        <v>269</v>
      </c>
      <c r="S75" s="1575">
        <f>IRR(Q42:Z42,)</f>
        <v>-0.44725502347138457</v>
      </c>
    </row>
    <row r="76" spans="2:26" ht="17" thickBot="1" x14ac:dyDescent="0.25">
      <c r="C76" s="1495"/>
      <c r="J76" s="198"/>
    </row>
    <row r="77" spans="2:26" ht="17" thickBot="1" x14ac:dyDescent="0.25">
      <c r="B77" s="2084" t="s">
        <v>807</v>
      </c>
      <c r="C77" s="2086"/>
      <c r="E77" s="2084" t="s">
        <v>807</v>
      </c>
      <c r="F77" s="2086"/>
      <c r="J77" s="198"/>
      <c r="O77" s="2084" t="s">
        <v>808</v>
      </c>
      <c r="P77" s="2086"/>
      <c r="R77" s="2084" t="s">
        <v>808</v>
      </c>
      <c r="S77" s="2086"/>
    </row>
    <row r="78" spans="2:26" x14ac:dyDescent="0.2">
      <c r="B78" s="1872" t="s">
        <v>803</v>
      </c>
      <c r="C78" s="1558">
        <f>AVERAGE(C69:M69)/AVERAGE(C67:M67)</f>
        <v>0.92094372096454102</v>
      </c>
      <c r="E78" s="1872" t="s">
        <v>748</v>
      </c>
      <c r="F78" s="1574">
        <f>NPV($P$9,D60:M60)-SUM(D59:F59)</f>
        <v>7846213.6710017286</v>
      </c>
      <c r="J78" s="198"/>
      <c r="O78" s="1872" t="s">
        <v>804</v>
      </c>
      <c r="P78" s="1558">
        <f>AVERAGE(P69:Z69)/AVERAGE(P67:Z67)</f>
        <v>1.0069489650103933</v>
      </c>
      <c r="R78" s="1872" t="s">
        <v>748</v>
      </c>
      <c r="S78" s="1574">
        <f>NPV($P$9,Q61:Z61)-SUM(Q60:S60)</f>
        <v>6699256.3466284499</v>
      </c>
    </row>
    <row r="79" spans="2:26" ht="17" thickBot="1" x14ac:dyDescent="0.25">
      <c r="B79" s="1561" t="s">
        <v>805</v>
      </c>
      <c r="C79" s="1559">
        <f>AVERAGE(C71:M71)/AVERAGE(C67:M67)</f>
        <v>1.4643945382320751</v>
      </c>
      <c r="E79" s="1561" t="s">
        <v>269</v>
      </c>
      <c r="F79" s="1575">
        <f>IRR(D61:M61)</f>
        <v>0.81607889828455282</v>
      </c>
      <c r="O79" s="1561" t="s">
        <v>806</v>
      </c>
      <c r="P79" s="1559">
        <f>AVERAGE(P71:Z71)/AVERAGE(P67:Z67)</f>
        <v>1.5809160905992223</v>
      </c>
      <c r="R79" s="1561" t="s">
        <v>269</v>
      </c>
      <c r="S79" s="1575">
        <f>IRR(Q62:Z62)</f>
        <v>0.54076886747769137</v>
      </c>
    </row>
    <row r="84" spans="9:12" x14ac:dyDescent="0.2">
      <c r="I84" s="1577"/>
      <c r="J84" s="1577"/>
      <c r="K84" s="1577"/>
      <c r="L84" s="1577"/>
    </row>
  </sheetData>
  <mergeCells count="17">
    <mergeCell ref="O24:Z24"/>
    <mergeCell ref="A1:E1"/>
    <mergeCell ref="B10:M10"/>
    <mergeCell ref="B17:M17"/>
    <mergeCell ref="B24:M24"/>
    <mergeCell ref="O44:Z44"/>
    <mergeCell ref="B44:M44"/>
    <mergeCell ref="B65:M65"/>
    <mergeCell ref="E77:F77"/>
    <mergeCell ref="B77:C77"/>
    <mergeCell ref="O73:P73"/>
    <mergeCell ref="R73:S73"/>
    <mergeCell ref="R77:S77"/>
    <mergeCell ref="O77:P77"/>
    <mergeCell ref="B73:C73"/>
    <mergeCell ref="E73:F73"/>
    <mergeCell ref="O65:Z65"/>
  </mergeCells>
  <conditionalFormatting sqref="D66:M71">
    <cfRule type="cellIs" dxfId="6" priority="3" operator="lessThan">
      <formula>0</formula>
    </cfRule>
    <cfRule type="cellIs" dxfId="5" priority="4" operator="greaterThan">
      <formula>0</formula>
    </cfRule>
  </conditionalFormatting>
  <conditionalFormatting sqref="Q66:Z71">
    <cfRule type="cellIs" dxfId="4" priority="1" operator="lessThan">
      <formula>0</formula>
    </cfRule>
    <cfRule type="cellIs" dxfId="3" priority="2" operator="greaterThan">
      <formula>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12AAF-8223-BE4A-946E-393C3984106F}">
  <sheetPr>
    <tabColor rgb="FFFFC000"/>
    <outlinePr summaryBelow="0" summaryRight="0"/>
    <pageSetUpPr autoPageBreaks="0" fitToPage="1"/>
  </sheetPr>
  <dimension ref="A1:CG155"/>
  <sheetViews>
    <sheetView showGridLines="0" topLeftCell="C29" zoomScale="125" zoomScaleNormal="75" zoomScaleSheetLayoutView="75" workbookViewId="0">
      <selection activeCell="O150" sqref="O150"/>
    </sheetView>
  </sheetViews>
  <sheetFormatPr baseColWidth="10" defaultColWidth="8.83203125" defaultRowHeight="13" x14ac:dyDescent="0.15"/>
  <cols>
    <col min="1" max="1" width="3.6640625" style="124" customWidth="1"/>
    <col min="2" max="2" width="8.6640625" style="124" customWidth="1"/>
    <col min="3" max="3" width="10.6640625" style="124" customWidth="1"/>
    <col min="4" max="4" width="33.5" style="124" customWidth="1"/>
    <col min="5" max="8" width="10.6640625" style="124" customWidth="1"/>
    <col min="9" max="9" width="15.6640625" style="124" customWidth="1"/>
    <col min="10" max="10" width="10.6640625" style="124" customWidth="1"/>
    <col min="11" max="11" width="15.6640625" style="124" customWidth="1"/>
    <col min="12" max="12" width="10.6640625" style="124" customWidth="1"/>
    <col min="13" max="13" width="15.6640625" style="124" customWidth="1"/>
    <col min="14" max="14" width="10.6640625" style="124" customWidth="1"/>
    <col min="15" max="15" width="7.6640625" style="124" bestFit="1" customWidth="1"/>
    <col min="16" max="19" width="9.1640625" style="124" customWidth="1"/>
    <col min="20" max="20" width="4.6640625" style="124" customWidth="1"/>
    <col min="21" max="67" width="9.1640625" style="124" customWidth="1"/>
    <col min="68" max="16384" width="8.83203125" style="124"/>
  </cols>
  <sheetData>
    <row r="1" spans="1:67" ht="35" thickBot="1" x14ac:dyDescent="0.2">
      <c r="A1" s="1900" t="s">
        <v>809</v>
      </c>
      <c r="B1" s="1936"/>
      <c r="C1" s="1936"/>
      <c r="D1" s="1936"/>
      <c r="E1" s="1901"/>
    </row>
    <row r="3" spans="1:67" ht="31.5" customHeight="1" x14ac:dyDescent="0.25">
      <c r="B3" s="387" t="s">
        <v>810</v>
      </c>
      <c r="C3" s="388"/>
      <c r="D3" s="388"/>
      <c r="E3" s="388"/>
      <c r="F3" s="388"/>
      <c r="G3" s="388"/>
      <c r="H3" s="388"/>
      <c r="I3" s="388"/>
      <c r="J3" s="388"/>
      <c r="K3" s="388"/>
      <c r="L3" s="388"/>
      <c r="M3" s="388"/>
      <c r="N3" s="388"/>
      <c r="O3" s="388"/>
      <c r="P3" s="388"/>
      <c r="Q3" s="388"/>
    </row>
    <row r="4" spans="1:67" ht="22" customHeight="1" x14ac:dyDescent="0.15">
      <c r="B4" s="388" t="s">
        <v>97</v>
      </c>
      <c r="C4" s="388"/>
      <c r="D4" s="388"/>
      <c r="E4" s="388"/>
      <c r="F4" s="388"/>
      <c r="G4" s="388"/>
      <c r="H4" s="388"/>
      <c r="I4" s="388"/>
      <c r="J4" s="388"/>
      <c r="K4" s="388"/>
      <c r="L4" s="388"/>
      <c r="M4" s="388"/>
      <c r="N4" s="388"/>
      <c r="O4" s="388"/>
      <c r="P4" s="388"/>
      <c r="Q4" s="388"/>
    </row>
    <row r="5" spans="1:67" ht="12.75" customHeight="1" x14ac:dyDescent="0.15">
      <c r="B5" s="388" t="s">
        <v>811</v>
      </c>
      <c r="C5" s="388"/>
      <c r="D5" s="388"/>
      <c r="E5" s="388"/>
      <c r="F5" s="388"/>
      <c r="G5" s="388"/>
      <c r="H5" s="388"/>
      <c r="I5" s="388"/>
      <c r="J5" s="388"/>
      <c r="K5" s="388"/>
      <c r="L5" s="388"/>
      <c r="M5" s="388"/>
      <c r="N5" s="388"/>
      <c r="O5" s="388"/>
      <c r="P5" s="388"/>
      <c r="Q5" s="388"/>
    </row>
    <row r="6" spans="1:67" ht="6" customHeight="1" x14ac:dyDescent="0.15">
      <c r="B6" s="388"/>
      <c r="C6" s="388"/>
      <c r="D6" s="388"/>
      <c r="E6" s="388"/>
      <c r="F6" s="388"/>
      <c r="G6" s="388"/>
      <c r="H6" s="388"/>
      <c r="I6" s="388"/>
      <c r="J6" s="388"/>
      <c r="K6" s="388"/>
      <c r="L6" s="388"/>
      <c r="M6" s="388"/>
      <c r="N6" s="388"/>
      <c r="O6" s="388"/>
      <c r="P6" s="388"/>
      <c r="Q6" s="388"/>
    </row>
    <row r="7" spans="1:67" ht="14" customHeight="1" x14ac:dyDescent="0.15">
      <c r="A7" s="125"/>
      <c r="B7" s="1873" t="s">
        <v>812</v>
      </c>
      <c r="C7" s="1874"/>
      <c r="D7" s="1874"/>
      <c r="E7" s="1874"/>
      <c r="F7" s="1874"/>
      <c r="G7" s="1874"/>
      <c r="H7" s="1874"/>
      <c r="I7" s="1874"/>
      <c r="J7" s="1874"/>
      <c r="K7" s="1874"/>
      <c r="L7" s="1874"/>
      <c r="M7" s="1874"/>
      <c r="N7" s="1874"/>
      <c r="O7" s="1874"/>
      <c r="P7" s="1874"/>
      <c r="Q7" s="1875"/>
      <c r="R7" s="125"/>
      <c r="S7" s="125"/>
      <c r="T7" s="125"/>
      <c r="U7" s="125"/>
      <c r="V7" s="125"/>
      <c r="W7" s="125"/>
      <c r="X7" s="125"/>
      <c r="Y7" s="125"/>
      <c r="Z7" s="125"/>
      <c r="AA7" s="125"/>
      <c r="AB7" s="125"/>
      <c r="AC7" s="125"/>
      <c r="AD7" s="125"/>
      <c r="AE7" s="125"/>
      <c r="AF7" s="125"/>
      <c r="AG7" s="125"/>
      <c r="AH7" s="125"/>
      <c r="AI7" s="125"/>
      <c r="AJ7" s="125"/>
      <c r="AK7" s="125"/>
      <c r="AL7" s="125"/>
      <c r="AM7" s="125"/>
      <c r="AN7" s="125"/>
      <c r="AO7" s="125"/>
      <c r="AP7" s="125"/>
      <c r="AQ7" s="125"/>
      <c r="AR7" s="125"/>
      <c r="AS7" s="125"/>
      <c r="AT7" s="125"/>
      <c r="AU7" s="125"/>
      <c r="AV7" s="125"/>
      <c r="AW7" s="125"/>
      <c r="AX7" s="125"/>
      <c r="AY7" s="125"/>
      <c r="AZ7" s="125"/>
      <c r="BA7" s="125"/>
      <c r="BB7" s="125"/>
      <c r="BC7" s="125"/>
      <c r="BD7" s="125"/>
      <c r="BE7" s="125"/>
      <c r="BF7" s="125"/>
      <c r="BG7" s="125"/>
      <c r="BH7" s="125"/>
      <c r="BI7" s="125"/>
      <c r="BJ7" s="125"/>
      <c r="BK7" s="125"/>
      <c r="BL7" s="125"/>
      <c r="BM7" s="125"/>
      <c r="BN7" s="125"/>
      <c r="BO7" s="125"/>
    </row>
    <row r="8" spans="1:67" ht="27.75" customHeight="1" x14ac:dyDescent="0.15">
      <c r="B8" s="1876"/>
      <c r="C8" s="1877" t="s">
        <v>650</v>
      </c>
      <c r="D8" s="1877" t="s">
        <v>651</v>
      </c>
      <c r="E8" s="1877" t="s">
        <v>652</v>
      </c>
      <c r="F8" s="1877" t="s">
        <v>653</v>
      </c>
      <c r="G8" s="1877" t="s">
        <v>654</v>
      </c>
      <c r="H8" s="1877" t="s">
        <v>655</v>
      </c>
      <c r="I8" s="1877" t="s">
        <v>656</v>
      </c>
      <c r="J8" s="1877" t="s">
        <v>657</v>
      </c>
      <c r="K8" s="1877" t="s">
        <v>658</v>
      </c>
      <c r="L8" s="1877" t="s">
        <v>659</v>
      </c>
      <c r="M8" s="1877" t="s">
        <v>660</v>
      </c>
      <c r="N8" s="1878" t="s">
        <v>661</v>
      </c>
      <c r="O8" s="388"/>
      <c r="P8" s="1876" t="s">
        <v>813</v>
      </c>
      <c r="Q8" s="1878" t="s">
        <v>814</v>
      </c>
    </row>
    <row r="9" spans="1:67" x14ac:dyDescent="0.15">
      <c r="B9" s="389">
        <v>2013</v>
      </c>
      <c r="C9" s="390">
        <v>62.4575139450682</v>
      </c>
      <c r="D9" s="390">
        <v>65.652689113307801</v>
      </c>
      <c r="E9" s="390">
        <v>61.227166005370698</v>
      </c>
      <c r="F9" s="390">
        <v>64.920540028894493</v>
      </c>
      <c r="G9" s="390">
        <v>63.875403165542501</v>
      </c>
      <c r="H9" s="390">
        <v>71.6223218734429</v>
      </c>
      <c r="I9" s="390">
        <v>60.547278075124098</v>
      </c>
      <c r="J9" s="390">
        <v>61.697285307873997</v>
      </c>
      <c r="K9" s="390">
        <v>77.334828101644206</v>
      </c>
      <c r="L9" s="390">
        <v>71.975987270360093</v>
      </c>
      <c r="M9" s="390">
        <v>70.361733931240593</v>
      </c>
      <c r="N9" s="1688">
        <v>56.9906938618062</v>
      </c>
      <c r="O9" s="388"/>
      <c r="P9" s="376">
        <v>65.663898953267307</v>
      </c>
      <c r="Q9" s="1688">
        <v>63.944432513745703</v>
      </c>
    </row>
    <row r="10" spans="1:67" x14ac:dyDescent="0.15">
      <c r="B10" s="391">
        <v>2014</v>
      </c>
      <c r="C10" s="392">
        <v>64.181493803944207</v>
      </c>
      <c r="D10" s="392">
        <v>72.5037369207772</v>
      </c>
      <c r="E10" s="392">
        <v>70.413231110468203</v>
      </c>
      <c r="F10" s="392">
        <v>61.581963129048297</v>
      </c>
      <c r="G10" s="392">
        <v>70.793191571435401</v>
      </c>
      <c r="H10" s="392">
        <v>68.307424015944093</v>
      </c>
      <c r="I10" s="392">
        <v>69.547712040117602</v>
      </c>
      <c r="J10" s="392">
        <v>62.570037128116098</v>
      </c>
      <c r="K10" s="392">
        <v>78.718676829572004</v>
      </c>
      <c r="L10" s="392">
        <v>73.404332251797001</v>
      </c>
      <c r="M10" s="392">
        <v>73.0015443630747</v>
      </c>
      <c r="N10" s="1689">
        <v>59.171487400725503</v>
      </c>
      <c r="O10" s="388"/>
      <c r="P10" s="377">
        <v>68.632770059064697</v>
      </c>
      <c r="Q10" s="1689">
        <v>67.4463451992101</v>
      </c>
    </row>
    <row r="11" spans="1:67" x14ac:dyDescent="0.15">
      <c r="B11" s="389">
        <v>2015</v>
      </c>
      <c r="C11" s="390">
        <v>61.9215005545108</v>
      </c>
      <c r="D11" s="390">
        <v>72.520286141362305</v>
      </c>
      <c r="E11" s="390">
        <v>70.793295874013296</v>
      </c>
      <c r="F11" s="390">
        <v>65.096105965541199</v>
      </c>
      <c r="G11" s="390">
        <v>69.8637329184468</v>
      </c>
      <c r="H11" s="390">
        <v>76.008660594295904</v>
      </c>
      <c r="I11" s="390">
        <v>71.105020543623198</v>
      </c>
      <c r="J11" s="390">
        <v>65.4139792974225</v>
      </c>
      <c r="K11" s="390">
        <v>81.099995022646894</v>
      </c>
      <c r="L11" s="390">
        <v>75.421238521309107</v>
      </c>
      <c r="M11" s="390">
        <v>74.743065693430594</v>
      </c>
      <c r="N11" s="1688">
        <v>59.495173063338797</v>
      </c>
      <c r="O11" s="388"/>
      <c r="P11" s="376">
        <v>70.237815360896604</v>
      </c>
      <c r="Q11" s="1688">
        <v>69.026275483609297</v>
      </c>
    </row>
    <row r="12" spans="1:67" x14ac:dyDescent="0.15">
      <c r="B12" s="391">
        <v>2016</v>
      </c>
      <c r="C12" s="392">
        <v>64.168792416954503</v>
      </c>
      <c r="D12" s="392">
        <v>71.724540414356497</v>
      </c>
      <c r="E12" s="392">
        <v>68.001731976618302</v>
      </c>
      <c r="F12" s="392">
        <v>73.640696430308296</v>
      </c>
      <c r="G12" s="392">
        <v>72.198010109472193</v>
      </c>
      <c r="H12" s="392">
        <v>80.6589825892422</v>
      </c>
      <c r="I12" s="392">
        <v>70.485329969784502</v>
      </c>
      <c r="J12" s="392">
        <v>62.413283507629103</v>
      </c>
      <c r="K12" s="392">
        <v>81.267386441007602</v>
      </c>
      <c r="L12" s="392">
        <v>72.374532865625696</v>
      </c>
      <c r="M12" s="392">
        <v>75.682539682539598</v>
      </c>
      <c r="N12" s="1689">
        <v>59.5327509915858</v>
      </c>
      <c r="O12" s="388"/>
      <c r="P12" s="377">
        <v>70.923590918597</v>
      </c>
      <c r="Q12" s="1689">
        <v>70.313703519652407</v>
      </c>
    </row>
    <row r="13" spans="1:67" x14ac:dyDescent="0.15">
      <c r="B13" s="389">
        <v>2017</v>
      </c>
      <c r="C13" s="390">
        <v>66.842579112711604</v>
      </c>
      <c r="D13" s="390">
        <v>72.597132677298902</v>
      </c>
      <c r="E13" s="390">
        <v>73.167947330778105</v>
      </c>
      <c r="F13" s="390">
        <v>65.903922683342799</v>
      </c>
      <c r="G13" s="390">
        <v>76.850850006418597</v>
      </c>
      <c r="H13" s="390">
        <v>75.8124881561493</v>
      </c>
      <c r="I13" s="390">
        <v>71.828751673421394</v>
      </c>
      <c r="J13" s="390">
        <v>69.595375722543295</v>
      </c>
      <c r="K13" s="390">
        <v>83.077506158802294</v>
      </c>
      <c r="L13" s="390">
        <v>75.184305598855602</v>
      </c>
      <c r="M13" s="390">
        <v>77.323289747962804</v>
      </c>
      <c r="N13" s="1688">
        <v>66.561546523814997</v>
      </c>
      <c r="O13" s="388"/>
      <c r="P13" s="376">
        <v>72.891453001716997</v>
      </c>
      <c r="Q13" s="1688">
        <v>71.588584059688699</v>
      </c>
    </row>
    <row r="14" spans="1:67" x14ac:dyDescent="0.15">
      <c r="B14" s="391">
        <v>2018</v>
      </c>
      <c r="C14" s="392">
        <v>69.678061215133198</v>
      </c>
      <c r="D14" s="392">
        <v>73.596503695281399</v>
      </c>
      <c r="E14" s="392">
        <v>74.9688239285517</v>
      </c>
      <c r="F14" s="392">
        <v>71.539700587454902</v>
      </c>
      <c r="G14" s="392">
        <v>69.010984980469104</v>
      </c>
      <c r="H14" s="392">
        <v>81.474796285768406</v>
      </c>
      <c r="I14" s="392">
        <v>71.603642098699694</v>
      </c>
      <c r="J14" s="392">
        <v>70.978174099205305</v>
      </c>
      <c r="K14" s="392">
        <v>78.473100540738699</v>
      </c>
      <c r="L14" s="392">
        <v>75.0186104218362</v>
      </c>
      <c r="M14" s="392">
        <v>73.645604395604295</v>
      </c>
      <c r="N14" s="1689">
        <v>59.451435661113003</v>
      </c>
      <c r="O14" s="388"/>
      <c r="P14" s="377">
        <v>72.390968693088297</v>
      </c>
      <c r="Q14" s="1689">
        <v>72.814671490183997</v>
      </c>
    </row>
    <row r="15" spans="1:67" x14ac:dyDescent="0.15">
      <c r="B15" s="389">
        <v>2019</v>
      </c>
      <c r="C15" s="390">
        <v>64.313796675905095</v>
      </c>
      <c r="D15" s="390">
        <v>70.409983922199103</v>
      </c>
      <c r="E15" s="390">
        <v>71.458741023438606</v>
      </c>
      <c r="F15" s="390">
        <v>65.102022142922394</v>
      </c>
      <c r="G15" s="390">
        <v>73.9748346364658</v>
      </c>
      <c r="H15" s="390">
        <v>73.786714246500097</v>
      </c>
      <c r="I15" s="390">
        <v>70.073406355980893</v>
      </c>
      <c r="J15" s="390">
        <v>65.605713121939502</v>
      </c>
      <c r="K15" s="390">
        <v>74.652468886193105</v>
      </c>
      <c r="L15" s="390">
        <v>73.426120379670294</v>
      </c>
      <c r="M15" s="390">
        <v>75.431549624837103</v>
      </c>
      <c r="N15" s="1688">
        <v>60.386319896887102</v>
      </c>
      <c r="O15" s="388"/>
      <c r="P15" s="378">
        <v>69.854821886543306</v>
      </c>
      <c r="Q15" s="1690">
        <v>69.318125456352206</v>
      </c>
    </row>
    <row r="16" spans="1:67" x14ac:dyDescent="0.15">
      <c r="B16" s="391">
        <v>2020</v>
      </c>
      <c r="C16" s="392">
        <v>65.512584683027498</v>
      </c>
      <c r="D16" s="392">
        <v>65.298352157708507</v>
      </c>
      <c r="E16" s="392">
        <v>24.360370982694</v>
      </c>
      <c r="F16" s="392">
        <v>10.5009259259259</v>
      </c>
      <c r="G16" s="392">
        <v>13.007752388142</v>
      </c>
      <c r="H16" s="392">
        <v>19.1743369468875</v>
      </c>
      <c r="I16" s="392">
        <v>24.440498627380801</v>
      </c>
      <c r="J16" s="392">
        <v>27.441098089939</v>
      </c>
      <c r="K16" s="392">
        <v>29.067853981148701</v>
      </c>
      <c r="L16" s="392">
        <v>23.427287067040901</v>
      </c>
      <c r="M16" s="392">
        <v>16.218913437933601</v>
      </c>
      <c r="N16" s="1689">
        <v>18.779836505397299</v>
      </c>
      <c r="O16" s="388"/>
      <c r="P16" s="377">
        <v>30.3591078102857</v>
      </c>
      <c r="Q16" s="1689">
        <v>34.704266741377701</v>
      </c>
    </row>
    <row r="17" spans="2:18" x14ac:dyDescent="0.15">
      <c r="B17" s="389">
        <v>2021</v>
      </c>
      <c r="C17" s="390">
        <v>19.001834691934299</v>
      </c>
      <c r="D17" s="390">
        <v>20.4077959477527</v>
      </c>
      <c r="E17" s="390">
        <v>21.958823939246098</v>
      </c>
      <c r="F17" s="390">
        <v>21.2449004079673</v>
      </c>
      <c r="G17" s="390">
        <v>21.8072876750505</v>
      </c>
      <c r="H17" s="390">
        <v>26.645525017617999</v>
      </c>
      <c r="I17" s="390">
        <v>32.807494598822899</v>
      </c>
      <c r="J17" s="390">
        <v>37.1484330157272</v>
      </c>
      <c r="K17" s="390">
        <v>47.283985765124498</v>
      </c>
      <c r="L17" s="390">
        <v>47.866587350944997</v>
      </c>
      <c r="M17" s="390">
        <v>44.785831960461202</v>
      </c>
      <c r="N17" s="1688">
        <v>30.922392871694001</v>
      </c>
      <c r="O17" s="388"/>
      <c r="P17" s="376">
        <v>32.094927111141097</v>
      </c>
      <c r="Q17" s="1688">
        <v>25.794690144743001</v>
      </c>
    </row>
    <row r="18" spans="2:18" x14ac:dyDescent="0.15">
      <c r="B18" s="391">
        <v>2022</v>
      </c>
      <c r="C18" s="392">
        <v>26.961435581300499</v>
      </c>
      <c r="D18" s="392">
        <v>34.838589472032602</v>
      </c>
      <c r="E18" s="392">
        <v>43.056367469132503</v>
      </c>
      <c r="F18" s="392">
        <v>47.743964562569197</v>
      </c>
      <c r="G18" s="392">
        <v>64.793912763905197</v>
      </c>
      <c r="H18" s="392">
        <v>65.124695459579101</v>
      </c>
      <c r="I18" s="392">
        <v>63.276390526202903</v>
      </c>
      <c r="J18" s="392">
        <v>54.096667023898803</v>
      </c>
      <c r="K18" s="392">
        <v>65.878465506124996</v>
      </c>
      <c r="L18" s="392">
        <v>63.502994946028501</v>
      </c>
      <c r="M18" s="392">
        <v>63.619036105738203</v>
      </c>
      <c r="N18" s="1689">
        <v>50.609518312847001</v>
      </c>
      <c r="O18" s="388"/>
      <c r="P18" s="377">
        <v>54.043042809718798</v>
      </c>
      <c r="Q18" s="1689">
        <v>50.293534696072797</v>
      </c>
    </row>
    <row r="19" spans="2:18" x14ac:dyDescent="0.15">
      <c r="B19" s="389">
        <v>2023</v>
      </c>
      <c r="C19" s="390">
        <v>48.307514658323498</v>
      </c>
      <c r="D19" s="390">
        <v>57.655961163035698</v>
      </c>
      <c r="E19" s="390">
        <v>62.6022571672667</v>
      </c>
      <c r="F19" s="390">
        <v>52.714499596913498</v>
      </c>
      <c r="G19" s="390">
        <v>62.453143517366101</v>
      </c>
      <c r="H19" s="390">
        <v>69.3608935974205</v>
      </c>
      <c r="I19" s="390">
        <v>59.791087799586897</v>
      </c>
      <c r="J19" s="390">
        <v>54.6043149433143</v>
      </c>
      <c r="K19" s="390">
        <v>69.943574389682098</v>
      </c>
      <c r="L19" s="390">
        <v>66.026507778487598</v>
      </c>
      <c r="M19" s="390">
        <v>71.237524950099797</v>
      </c>
      <c r="N19" s="1688">
        <v>58.294824742574399</v>
      </c>
      <c r="O19" s="388"/>
      <c r="P19" s="376">
        <v>61.116705599408803</v>
      </c>
      <c r="Q19" s="1688">
        <v>58.464910285858998</v>
      </c>
    </row>
    <row r="20" spans="2:18" x14ac:dyDescent="0.15">
      <c r="B20" s="391">
        <v>2024</v>
      </c>
      <c r="C20" s="392">
        <v>61.334155510319299</v>
      </c>
      <c r="D20" s="392">
        <v>58.529232743304497</v>
      </c>
      <c r="E20" s="392">
        <v>62.102791798282396</v>
      </c>
      <c r="F20" s="392">
        <v>64.311789691195003</v>
      </c>
      <c r="G20" s="392">
        <v>61.062949700230703</v>
      </c>
      <c r="H20" s="392">
        <v>78.794765840220293</v>
      </c>
      <c r="I20" s="392">
        <v>71.072528807132898</v>
      </c>
      <c r="J20" s="392">
        <v>60.255043099617801</v>
      </c>
      <c r="K20" s="392">
        <v>79.248546066727798</v>
      </c>
      <c r="L20" s="392">
        <v>71.814553156195302</v>
      </c>
      <c r="M20" s="392">
        <v>73.440465258646995</v>
      </c>
      <c r="N20" s="1689">
        <v>62.3726265588435</v>
      </c>
      <c r="O20" s="388"/>
      <c r="P20" s="379">
        <v>67.026016675041902</v>
      </c>
      <c r="Q20" s="1691">
        <v>64.706035448757106</v>
      </c>
    </row>
    <row r="21" spans="2:18" x14ac:dyDescent="0.15">
      <c r="B21" s="389">
        <v>2025</v>
      </c>
      <c r="C21" s="390">
        <v>58.275570958855397</v>
      </c>
      <c r="D21" s="390">
        <v>66.551472517381598</v>
      </c>
      <c r="E21" s="390">
        <v>66.125576166794602</v>
      </c>
      <c r="F21" s="390">
        <v>58.897785797526403</v>
      </c>
      <c r="G21" s="390">
        <v>70.886250941330104</v>
      </c>
      <c r="H21" s="390">
        <v>70.6977181308973</v>
      </c>
      <c r="I21" s="390">
        <v>66.4324533030276</v>
      </c>
      <c r="J21" s="390">
        <v>59.334659206807103</v>
      </c>
      <c r="K21" s="390"/>
      <c r="L21" s="390"/>
      <c r="M21" s="390"/>
      <c r="N21" s="1688"/>
      <c r="O21" s="388"/>
      <c r="P21" s="378"/>
      <c r="Q21" s="1690">
        <v>64.636199001346398</v>
      </c>
      <c r="R21" s="143"/>
    </row>
    <row r="22" spans="2:18" x14ac:dyDescent="0.15">
      <c r="B22" s="1879" t="s">
        <v>815</v>
      </c>
      <c r="C22" s="1880">
        <v>56.848281544489701</v>
      </c>
      <c r="D22" s="1880">
        <v>62.156304503239298</v>
      </c>
      <c r="E22" s="1880">
        <v>59.701626161716803</v>
      </c>
      <c r="F22" s="1880">
        <v>57.819593125336098</v>
      </c>
      <c r="G22" s="1880">
        <v>62.927923544599601</v>
      </c>
      <c r="H22" s="1880">
        <v>67.682291748590501</v>
      </c>
      <c r="I22" s="1880">
        <v>62.586692574584497</v>
      </c>
      <c r="J22" s="1880">
        <v>57.966961421332797</v>
      </c>
      <c r="K22" s="1880">
        <v>70.847504377669793</v>
      </c>
      <c r="L22" s="1880">
        <v>66.131221619179996</v>
      </c>
      <c r="M22" s="1880">
        <v>66.379037524928805</v>
      </c>
      <c r="N22" s="1881">
        <v>54.271214452092401</v>
      </c>
      <c r="O22" s="388"/>
      <c r="P22" s="1882">
        <v>61.841889261034602</v>
      </c>
      <c r="Q22" s="1881">
        <v>60.919793902253303</v>
      </c>
      <c r="R22" s="143"/>
    </row>
    <row r="23" spans="2:18" x14ac:dyDescent="0.15">
      <c r="B23" s="388"/>
      <c r="C23" s="388"/>
      <c r="D23" s="388"/>
      <c r="E23" s="388"/>
      <c r="F23" s="388"/>
      <c r="G23" s="388"/>
      <c r="H23" s="388"/>
      <c r="I23" s="388"/>
      <c r="J23" s="388"/>
      <c r="K23" s="388"/>
      <c r="L23" s="388"/>
      <c r="M23" s="388"/>
      <c r="N23" s="388"/>
      <c r="O23" s="388"/>
      <c r="P23" s="393"/>
      <c r="Q23" s="394"/>
      <c r="R23" s="143"/>
    </row>
    <row r="24" spans="2:18" x14ac:dyDescent="0.15">
      <c r="B24" s="388"/>
      <c r="C24" s="388"/>
      <c r="D24" s="388"/>
      <c r="E24" s="388"/>
      <c r="F24" s="388"/>
      <c r="G24" s="388"/>
      <c r="H24" s="388"/>
      <c r="I24" s="388"/>
      <c r="J24" s="388"/>
      <c r="K24" s="388"/>
      <c r="L24" s="388"/>
      <c r="M24" s="388"/>
      <c r="N24" s="388"/>
      <c r="O24" s="388"/>
      <c r="P24" s="388"/>
      <c r="Q24" s="388"/>
      <c r="R24" s="143"/>
    </row>
    <row r="25" spans="2:18" ht="14" x14ac:dyDescent="0.15">
      <c r="B25" s="1873" t="s">
        <v>816</v>
      </c>
      <c r="C25" s="1874"/>
      <c r="D25" s="1874"/>
      <c r="E25" s="1874"/>
      <c r="F25" s="1874"/>
      <c r="G25" s="1874"/>
      <c r="H25" s="1874"/>
      <c r="I25" s="1874"/>
      <c r="J25" s="1874"/>
      <c r="K25" s="1874"/>
      <c r="L25" s="1874"/>
      <c r="M25" s="1874"/>
      <c r="N25" s="1874"/>
      <c r="O25" s="1874"/>
      <c r="P25" s="1874"/>
      <c r="Q25" s="1875"/>
    </row>
    <row r="26" spans="2:18" x14ac:dyDescent="0.15">
      <c r="B26" s="1876"/>
      <c r="C26" s="1877" t="s">
        <v>650</v>
      </c>
      <c r="D26" s="1877" t="s">
        <v>651</v>
      </c>
      <c r="E26" s="1877" t="s">
        <v>652</v>
      </c>
      <c r="F26" s="1877" t="s">
        <v>653</v>
      </c>
      <c r="G26" s="1877" t="s">
        <v>654</v>
      </c>
      <c r="H26" s="1877" t="s">
        <v>655</v>
      </c>
      <c r="I26" s="1877" t="s">
        <v>656</v>
      </c>
      <c r="J26" s="1877" t="s">
        <v>657</v>
      </c>
      <c r="K26" s="1877" t="s">
        <v>658</v>
      </c>
      <c r="L26" s="1877" t="s">
        <v>659</v>
      </c>
      <c r="M26" s="1877" t="s">
        <v>660</v>
      </c>
      <c r="N26" s="1878" t="s">
        <v>661</v>
      </c>
      <c r="O26" s="388"/>
      <c r="P26" s="1876" t="s">
        <v>813</v>
      </c>
      <c r="Q26" s="1878" t="s">
        <v>814</v>
      </c>
    </row>
    <row r="27" spans="2:18" x14ac:dyDescent="0.15">
      <c r="B27" s="389">
        <v>2013</v>
      </c>
      <c r="C27" s="395">
        <v>135.484977833269</v>
      </c>
      <c r="D27" s="395">
        <v>136.29223651574401</v>
      </c>
      <c r="E27" s="395">
        <v>144.12933115985999</v>
      </c>
      <c r="F27" s="395">
        <v>130.171345182826</v>
      </c>
      <c r="G27" s="395">
        <v>131.63998214188101</v>
      </c>
      <c r="H27" s="395">
        <v>125.47965424401301</v>
      </c>
      <c r="I27" s="395">
        <v>107.23574956175401</v>
      </c>
      <c r="J27" s="395">
        <v>107.848466961564</v>
      </c>
      <c r="K27" s="395">
        <v>156.36468261308701</v>
      </c>
      <c r="L27" s="395">
        <v>156.764921933664</v>
      </c>
      <c r="M27" s="395">
        <v>128.679031731815</v>
      </c>
      <c r="N27" s="1692">
        <v>114.045737065816</v>
      </c>
      <c r="O27" s="388"/>
      <c r="P27" s="396">
        <v>131.98998522213699</v>
      </c>
      <c r="Q27" s="1692">
        <v>127.28349910233899</v>
      </c>
    </row>
    <row r="28" spans="2:18" x14ac:dyDescent="0.15">
      <c r="B28" s="391">
        <v>2014</v>
      </c>
      <c r="C28" s="397">
        <v>134.112258554986</v>
      </c>
      <c r="D28" s="397">
        <v>137.803785838941</v>
      </c>
      <c r="E28" s="397">
        <v>137.886801219543</v>
      </c>
      <c r="F28" s="397">
        <v>133.58317068295599</v>
      </c>
      <c r="G28" s="397">
        <v>133.09446576856999</v>
      </c>
      <c r="H28" s="397">
        <v>121.170493810333</v>
      </c>
      <c r="I28" s="397">
        <v>112.47810913800301</v>
      </c>
      <c r="J28" s="397">
        <v>108.697591240713</v>
      </c>
      <c r="K28" s="397">
        <v>148.901058012682</v>
      </c>
      <c r="L28" s="397">
        <v>142.07063528649101</v>
      </c>
      <c r="M28" s="397">
        <v>128.171892722607</v>
      </c>
      <c r="N28" s="1693">
        <v>115.196529360635</v>
      </c>
      <c r="O28" s="388"/>
      <c r="P28" s="398">
        <v>129.93660044905499</v>
      </c>
      <c r="Q28" s="1693">
        <v>127.404458280759</v>
      </c>
    </row>
    <row r="29" spans="2:18" x14ac:dyDescent="0.15">
      <c r="B29" s="389">
        <v>2015</v>
      </c>
      <c r="C29" s="395">
        <v>135.10447892990899</v>
      </c>
      <c r="D29" s="395">
        <v>145.30952307983301</v>
      </c>
      <c r="E29" s="395">
        <v>148.472306457326</v>
      </c>
      <c r="F29" s="395">
        <v>134.35410256781299</v>
      </c>
      <c r="G29" s="395">
        <v>133.46254397222799</v>
      </c>
      <c r="H29" s="395">
        <v>146.62532340962201</v>
      </c>
      <c r="I29" s="395">
        <v>117.15568055467099</v>
      </c>
      <c r="J29" s="395">
        <v>112.420361229197</v>
      </c>
      <c r="K29" s="395">
        <v>164.04602400029401</v>
      </c>
      <c r="L29" s="395">
        <v>142.05075253001701</v>
      </c>
      <c r="M29" s="395">
        <v>127.794351875687</v>
      </c>
      <c r="N29" s="1692">
        <v>115.13351668983201</v>
      </c>
      <c r="O29" s="388"/>
      <c r="P29" s="396">
        <v>135.83352781925899</v>
      </c>
      <c r="Q29" s="1692">
        <v>134.19359964830701</v>
      </c>
    </row>
    <row r="30" spans="2:18" x14ac:dyDescent="0.15">
      <c r="B30" s="391">
        <v>2016</v>
      </c>
      <c r="C30" s="397">
        <v>140.34244411545899</v>
      </c>
      <c r="D30" s="397">
        <v>144.83343918952599</v>
      </c>
      <c r="E30" s="397">
        <v>147.98996665247799</v>
      </c>
      <c r="F30" s="397">
        <v>140.012624701492</v>
      </c>
      <c r="G30" s="397">
        <v>131.450667891357</v>
      </c>
      <c r="H30" s="397">
        <v>128.50756312847</v>
      </c>
      <c r="I30" s="397">
        <v>115.81535053477801</v>
      </c>
      <c r="J30" s="397">
        <v>112.29223341779</v>
      </c>
      <c r="K30" s="397">
        <v>153.09073066450401</v>
      </c>
      <c r="L30" s="397">
        <v>138.913560283328</v>
      </c>
      <c r="M30" s="397">
        <v>132.04846735638</v>
      </c>
      <c r="N30" s="1693">
        <v>117.256393236798</v>
      </c>
      <c r="O30" s="388"/>
      <c r="P30" s="398">
        <v>133.929020489805</v>
      </c>
      <c r="Q30" s="1693">
        <v>132.56099464092</v>
      </c>
    </row>
    <row r="31" spans="2:18" x14ac:dyDescent="0.15">
      <c r="B31" s="389">
        <v>2017</v>
      </c>
      <c r="C31" s="395">
        <v>144.020205721102</v>
      </c>
      <c r="D31" s="395">
        <v>144.624823218719</v>
      </c>
      <c r="E31" s="395">
        <v>154.30808965655899</v>
      </c>
      <c r="F31" s="395">
        <v>127.29357950923701</v>
      </c>
      <c r="G31" s="395">
        <v>140.37814559633401</v>
      </c>
      <c r="H31" s="395">
        <v>129.07922898297099</v>
      </c>
      <c r="I31" s="395">
        <v>115.95431542682</v>
      </c>
      <c r="J31" s="395">
        <v>113.769820758761</v>
      </c>
      <c r="K31" s="395">
        <v>167.36592325062699</v>
      </c>
      <c r="L31" s="395">
        <v>168.28097817060899</v>
      </c>
      <c r="M31" s="395">
        <v>140.061145002389</v>
      </c>
      <c r="N31" s="1692">
        <v>118.675275810792</v>
      </c>
      <c r="O31" s="388"/>
      <c r="P31" s="396">
        <v>139.26256736982199</v>
      </c>
      <c r="Q31" s="1692">
        <v>133.62664964249399</v>
      </c>
    </row>
    <row r="32" spans="2:18" x14ac:dyDescent="0.15">
      <c r="B32" s="391">
        <v>2018</v>
      </c>
      <c r="C32" s="397">
        <v>146.30663138584899</v>
      </c>
      <c r="D32" s="397">
        <v>146.536346673379</v>
      </c>
      <c r="E32" s="397">
        <v>155.681999174407</v>
      </c>
      <c r="F32" s="397">
        <v>134.15022311259099</v>
      </c>
      <c r="G32" s="397">
        <v>130.458775102309</v>
      </c>
      <c r="H32" s="397">
        <v>152.91547886798801</v>
      </c>
      <c r="I32" s="397">
        <v>118.62679896324001</v>
      </c>
      <c r="J32" s="397">
        <v>119.187458551125</v>
      </c>
      <c r="K32" s="397">
        <v>158.713896618859</v>
      </c>
      <c r="L32" s="397">
        <v>147.25541080412501</v>
      </c>
      <c r="M32" s="397">
        <v>138.14718222852201</v>
      </c>
      <c r="N32" s="1693">
        <v>123.292827816799</v>
      </c>
      <c r="O32" s="388"/>
      <c r="P32" s="398">
        <v>139.824644546516</v>
      </c>
      <c r="Q32" s="1693">
        <v>138.21751949616899</v>
      </c>
    </row>
    <row r="33" spans="2:22" x14ac:dyDescent="0.15">
      <c r="B33" s="389">
        <v>2019</v>
      </c>
      <c r="C33" s="395">
        <v>146.22294207747299</v>
      </c>
      <c r="D33" s="395">
        <v>146.266602835382</v>
      </c>
      <c r="E33" s="395">
        <v>155.111258025414</v>
      </c>
      <c r="F33" s="395">
        <v>127.532632157132</v>
      </c>
      <c r="G33" s="395">
        <v>151.77833407268199</v>
      </c>
      <c r="H33" s="395">
        <v>131.51684661352999</v>
      </c>
      <c r="I33" s="395">
        <v>116.750180531363</v>
      </c>
      <c r="J33" s="395">
        <v>113.585396319366</v>
      </c>
      <c r="K33" s="395">
        <v>156.294150584698</v>
      </c>
      <c r="L33" s="395">
        <v>145.665615717821</v>
      </c>
      <c r="M33" s="395">
        <v>164.67715930611999</v>
      </c>
      <c r="N33" s="1692">
        <v>123.828212810495</v>
      </c>
      <c r="O33" s="388"/>
      <c r="P33" s="396">
        <v>140.515021355724</v>
      </c>
      <c r="Q33" s="1692">
        <v>136.26430756111401</v>
      </c>
    </row>
    <row r="34" spans="2:22" x14ac:dyDescent="0.15">
      <c r="B34" s="391">
        <v>2020</v>
      </c>
      <c r="C34" s="397">
        <v>139.80371714075301</v>
      </c>
      <c r="D34" s="397">
        <v>141.133983071584</v>
      </c>
      <c r="E34" s="397">
        <v>130.66936608175601</v>
      </c>
      <c r="F34" s="397">
        <v>117.87143533638999</v>
      </c>
      <c r="G34" s="397">
        <v>113.714869233816</v>
      </c>
      <c r="H34" s="397">
        <v>115.30915423567799</v>
      </c>
      <c r="I34" s="397">
        <v>114.539892948177</v>
      </c>
      <c r="J34" s="397">
        <v>111.04533542767101</v>
      </c>
      <c r="K34" s="397">
        <v>117.700678944445</v>
      </c>
      <c r="L34" s="397">
        <v>113.435243384171</v>
      </c>
      <c r="M34" s="397">
        <v>103.789423901813</v>
      </c>
      <c r="N34" s="1693">
        <v>100.696997598846</v>
      </c>
      <c r="O34" s="388"/>
      <c r="P34" s="398">
        <v>126.006490642914</v>
      </c>
      <c r="Q34" s="1693">
        <v>131.084060231069</v>
      </c>
    </row>
    <row r="35" spans="2:22" x14ac:dyDescent="0.15">
      <c r="B35" s="389">
        <v>2021</v>
      </c>
      <c r="C35" s="395">
        <v>97.822751553968999</v>
      </c>
      <c r="D35" s="395">
        <v>97.926328977447298</v>
      </c>
      <c r="E35" s="395">
        <v>98.747859284524395</v>
      </c>
      <c r="F35" s="395">
        <v>97.814893500607099</v>
      </c>
      <c r="G35" s="395">
        <v>103.809680683173</v>
      </c>
      <c r="H35" s="395">
        <v>111.539803791426</v>
      </c>
      <c r="I35" s="395">
        <v>112.395807997039</v>
      </c>
      <c r="J35" s="395">
        <v>115.941111341161</v>
      </c>
      <c r="K35" s="395">
        <v>124.945279745311</v>
      </c>
      <c r="L35" s="395">
        <v>127.023837922609</v>
      </c>
      <c r="M35" s="395">
        <v>132.78228452496199</v>
      </c>
      <c r="N35" s="1692">
        <v>118.46707644105101</v>
      </c>
      <c r="O35" s="388"/>
      <c r="P35" s="396">
        <v>116.60951239507099</v>
      </c>
      <c r="Q35" s="1692">
        <v>106.932073127444</v>
      </c>
    </row>
    <row r="36" spans="2:22" x14ac:dyDescent="0.15">
      <c r="B36" s="391">
        <v>2022</v>
      </c>
      <c r="C36" s="397">
        <v>113.204214614816</v>
      </c>
      <c r="D36" s="397">
        <v>114.03623199988699</v>
      </c>
      <c r="E36" s="397">
        <v>122.19578213539999</v>
      </c>
      <c r="F36" s="397">
        <v>124.304469991278</v>
      </c>
      <c r="G36" s="397">
        <v>151.55753112710701</v>
      </c>
      <c r="H36" s="397">
        <v>156.77956603459401</v>
      </c>
      <c r="I36" s="397">
        <v>150.77168180992899</v>
      </c>
      <c r="J36" s="397">
        <v>144.525440048338</v>
      </c>
      <c r="K36" s="397">
        <v>170.09946577469299</v>
      </c>
      <c r="L36" s="397">
        <v>179.17839359950099</v>
      </c>
      <c r="M36" s="397">
        <v>170.293389760509</v>
      </c>
      <c r="N36" s="1693">
        <v>138.024568476409</v>
      </c>
      <c r="O36" s="388"/>
      <c r="P36" s="398">
        <v>149.95473536827001</v>
      </c>
      <c r="Q36" s="1693">
        <v>139.39505617120699</v>
      </c>
    </row>
    <row r="37" spans="2:22" x14ac:dyDescent="0.15">
      <c r="B37" s="389">
        <v>2023</v>
      </c>
      <c r="C37" s="395">
        <v>148.14870150446899</v>
      </c>
      <c r="D37" s="395">
        <v>173.74029587630699</v>
      </c>
      <c r="E37" s="395">
        <v>166.297755697496</v>
      </c>
      <c r="F37" s="395">
        <v>142.264132788604</v>
      </c>
      <c r="G37" s="395">
        <v>153.20235728077901</v>
      </c>
      <c r="H37" s="395">
        <v>173.066654965716</v>
      </c>
      <c r="I37" s="395">
        <v>137.68607665482099</v>
      </c>
      <c r="J37" s="395">
        <v>129.20879192840599</v>
      </c>
      <c r="K37" s="395">
        <v>149.411449016831</v>
      </c>
      <c r="L37" s="395">
        <v>160.01228840570201</v>
      </c>
      <c r="M37" s="395">
        <v>170.307341608293</v>
      </c>
      <c r="N37" s="1692">
        <v>137.76029174738099</v>
      </c>
      <c r="O37" s="388"/>
      <c r="P37" s="396">
        <v>154.01432730740501</v>
      </c>
      <c r="Q37" s="1692">
        <v>153.43654996494101</v>
      </c>
    </row>
    <row r="38" spans="2:22" x14ac:dyDescent="0.15">
      <c r="B38" s="391">
        <v>2024</v>
      </c>
      <c r="C38" s="397">
        <v>180.03568743286399</v>
      </c>
      <c r="D38" s="397">
        <v>137.71135398798401</v>
      </c>
      <c r="E38" s="397">
        <v>162.62595634425099</v>
      </c>
      <c r="F38" s="397">
        <v>150.33059736531999</v>
      </c>
      <c r="G38" s="397">
        <v>145.652596173322</v>
      </c>
      <c r="H38" s="397">
        <v>181.088801520846</v>
      </c>
      <c r="I38" s="397">
        <v>140.77559371404601</v>
      </c>
      <c r="J38" s="397">
        <v>126.178511466705</v>
      </c>
      <c r="K38" s="397">
        <v>172.46381271460501</v>
      </c>
      <c r="L38" s="397">
        <v>154.955426512418</v>
      </c>
      <c r="M38" s="397">
        <v>156.02394464218699</v>
      </c>
      <c r="N38" s="1693">
        <v>134.30685149936701</v>
      </c>
      <c r="O38" s="388"/>
      <c r="P38" s="398">
        <v>154.48250770205399</v>
      </c>
      <c r="Q38" s="1693">
        <v>153.96133539137</v>
      </c>
    </row>
    <row r="39" spans="2:22" x14ac:dyDescent="0.15">
      <c r="B39" s="389">
        <v>2025</v>
      </c>
      <c r="C39" s="395">
        <v>145.294151450573</v>
      </c>
      <c r="D39" s="395">
        <v>166.35457273008299</v>
      </c>
      <c r="E39" s="395">
        <v>160.48643878952899</v>
      </c>
      <c r="F39" s="395">
        <v>134.72587897864301</v>
      </c>
      <c r="G39" s="395">
        <v>163.80738422376101</v>
      </c>
      <c r="H39" s="395">
        <v>149.66902074709</v>
      </c>
      <c r="I39" s="395">
        <v>131.346170412378</v>
      </c>
      <c r="J39" s="395">
        <v>123.408550229902</v>
      </c>
      <c r="K39" s="395"/>
      <c r="L39" s="395"/>
      <c r="M39" s="395"/>
      <c r="N39" s="1692"/>
      <c r="O39" s="388"/>
      <c r="P39" s="396"/>
      <c r="Q39" s="1692">
        <v>147.347360599605</v>
      </c>
    </row>
    <row r="40" spans="2:22" x14ac:dyDescent="0.15">
      <c r="B40" s="1883" t="s">
        <v>815</v>
      </c>
      <c r="C40" s="1884">
        <v>143.527441101926</v>
      </c>
      <c r="D40" s="1884">
        <v>145.20279124208</v>
      </c>
      <c r="E40" s="1884">
        <v>150.10488082449899</v>
      </c>
      <c r="F40" s="1884">
        <v>134.019056347375</v>
      </c>
      <c r="G40" s="1884">
        <v>142.153363584424</v>
      </c>
      <c r="H40" s="1884">
        <v>145.33757583965499</v>
      </c>
      <c r="I40" s="1884">
        <v>124.117508796313</v>
      </c>
      <c r="J40" s="1884">
        <v>118.93769316360699</v>
      </c>
      <c r="K40" s="1884">
        <v>156.825524756166</v>
      </c>
      <c r="L40" s="1884">
        <v>151.053950193552</v>
      </c>
      <c r="M40" s="1884">
        <v>145.12506738142301</v>
      </c>
      <c r="N40" s="1885">
        <v>123.59422597512101</v>
      </c>
      <c r="O40" s="388"/>
      <c r="P40" s="1886">
        <v>139.85464153987701</v>
      </c>
      <c r="Q40" s="1885">
        <v>137.91117414963199</v>
      </c>
    </row>
    <row r="41" spans="2:22" x14ac:dyDescent="0.15">
      <c r="B41" s="380"/>
      <c r="C41" s="143"/>
      <c r="D41" s="143"/>
      <c r="E41" s="381"/>
      <c r="F41" s="143"/>
      <c r="G41" s="381"/>
      <c r="H41" s="143"/>
      <c r="I41" s="382"/>
      <c r="J41" s="143"/>
      <c r="K41" s="382"/>
      <c r="L41" s="143"/>
      <c r="M41" s="382"/>
      <c r="N41" s="143"/>
    </row>
    <row r="42" spans="2:22" ht="25" x14ac:dyDescent="0.2">
      <c r="B42" s="399"/>
      <c r="C42" s="400"/>
      <c r="D42" s="399"/>
      <c r="E42" s="1694">
        <v>2023</v>
      </c>
      <c r="F42" s="1887"/>
      <c r="G42" s="1888" t="s">
        <v>817</v>
      </c>
      <c r="H42" s="1887"/>
      <c r="I42" s="1889">
        <v>7</v>
      </c>
      <c r="J42" s="399"/>
      <c r="K42" s="1694">
        <v>2022</v>
      </c>
      <c r="L42" s="1887"/>
      <c r="M42" s="1888" t="s">
        <v>817</v>
      </c>
      <c r="N42" s="1887"/>
      <c r="O42" s="1889">
        <v>5</v>
      </c>
      <c r="P42" s="399"/>
      <c r="Q42" s="1694">
        <v>2021</v>
      </c>
      <c r="R42" s="1887"/>
      <c r="S42" s="1888" t="s">
        <v>817</v>
      </c>
      <c r="T42" s="1887"/>
      <c r="U42" s="1889">
        <v>8</v>
      </c>
      <c r="V42" s="399"/>
    </row>
    <row r="43" spans="2:22" ht="18" x14ac:dyDescent="0.2">
      <c r="B43" s="401"/>
      <c r="C43" s="400"/>
      <c r="D43" s="401"/>
      <c r="E43" s="1694"/>
      <c r="F43" s="402"/>
      <c r="G43" s="403" t="s">
        <v>818</v>
      </c>
      <c r="H43" s="402"/>
      <c r="I43" s="1695">
        <v>2999</v>
      </c>
      <c r="J43" s="401"/>
      <c r="K43" s="1694"/>
      <c r="L43" s="402"/>
      <c r="M43" s="403" t="s">
        <v>818</v>
      </c>
      <c r="N43" s="402"/>
      <c r="O43" s="1695">
        <v>2034</v>
      </c>
      <c r="P43" s="401"/>
      <c r="Q43" s="1694"/>
      <c r="R43" s="402"/>
      <c r="S43" s="403" t="s">
        <v>818</v>
      </c>
      <c r="T43" s="402"/>
      <c r="U43" s="1695">
        <v>3022</v>
      </c>
      <c r="V43" s="401"/>
    </row>
    <row r="44" spans="2:22" ht="18" x14ac:dyDescent="0.2">
      <c r="B44" s="404"/>
      <c r="C44" s="404"/>
      <c r="D44" s="405">
        <v>0.63600000000000001</v>
      </c>
      <c r="E44" s="1694"/>
      <c r="F44" s="406"/>
      <c r="G44" s="403" t="s">
        <v>819</v>
      </c>
      <c r="H44" s="406"/>
      <c r="I44" s="1696">
        <v>0.61799999999999999</v>
      </c>
      <c r="J44" s="404"/>
      <c r="K44" s="1694"/>
      <c r="L44" s="406"/>
      <c r="M44" s="403" t="s">
        <v>819</v>
      </c>
      <c r="N44" s="406"/>
      <c r="O44" s="1697">
        <v>0.51600000000000001</v>
      </c>
      <c r="P44" s="404"/>
      <c r="Q44" s="1694"/>
      <c r="R44" s="406"/>
      <c r="S44" s="403" t="s">
        <v>819</v>
      </c>
      <c r="T44" s="406"/>
      <c r="U44" s="1697">
        <v>0.29299999999999998</v>
      </c>
      <c r="V44" s="404"/>
    </row>
    <row r="45" spans="2:22" ht="18" x14ac:dyDescent="0.2">
      <c r="B45" s="407"/>
      <c r="C45" s="400"/>
      <c r="D45" s="408">
        <v>127.12</v>
      </c>
      <c r="E45" s="1694"/>
      <c r="F45" s="406"/>
      <c r="G45" s="403" t="s">
        <v>820</v>
      </c>
      <c r="H45" s="406"/>
      <c r="I45" s="1698">
        <v>179.03</v>
      </c>
      <c r="J45" s="407"/>
      <c r="K45" s="1694"/>
      <c r="L45" s="406"/>
      <c r="M45" s="403" t="s">
        <v>820</v>
      </c>
      <c r="N45" s="406"/>
      <c r="O45" s="1699">
        <v>180.76</v>
      </c>
      <c r="P45" s="407"/>
      <c r="Q45" s="1694"/>
      <c r="R45" s="406"/>
      <c r="S45" s="403" t="s">
        <v>820</v>
      </c>
      <c r="T45" s="406"/>
      <c r="U45" s="1699">
        <v>123.73</v>
      </c>
      <c r="V45" s="407"/>
    </row>
    <row r="46" spans="2:22" ht="16" x14ac:dyDescent="0.2">
      <c r="B46" s="400"/>
      <c r="C46" s="400"/>
      <c r="D46" s="408">
        <v>80.848320000000001</v>
      </c>
      <c r="E46" s="1694"/>
      <c r="F46" s="406"/>
      <c r="G46" s="403" t="s">
        <v>821</v>
      </c>
      <c r="H46" s="406"/>
      <c r="I46" s="1698">
        <v>110.66</v>
      </c>
      <c r="J46" s="409"/>
      <c r="K46" s="1694"/>
      <c r="L46" s="406"/>
      <c r="M46" s="403" t="s">
        <v>821</v>
      </c>
      <c r="N46" s="406"/>
      <c r="O46" s="1699">
        <v>93.25</v>
      </c>
      <c r="P46" s="410"/>
      <c r="Q46" s="1694"/>
      <c r="R46" s="406"/>
      <c r="S46" s="403" t="s">
        <v>821</v>
      </c>
      <c r="T46" s="406"/>
      <c r="U46" s="1699">
        <v>36.270000000000003</v>
      </c>
      <c r="V46" s="410"/>
    </row>
    <row r="47" spans="2:22" ht="23" x14ac:dyDescent="0.2">
      <c r="B47" s="411" t="s">
        <v>822</v>
      </c>
      <c r="C47" s="412"/>
      <c r="D47" s="412"/>
      <c r="E47" s="1694"/>
      <c r="F47" s="406"/>
      <c r="G47" s="403" t="s">
        <v>823</v>
      </c>
      <c r="H47" s="406"/>
      <c r="I47" s="1699">
        <v>155.28</v>
      </c>
      <c r="J47" s="409"/>
      <c r="K47" s="1694"/>
      <c r="L47" s="406"/>
      <c r="M47" s="403" t="s">
        <v>823</v>
      </c>
      <c r="N47" s="406"/>
      <c r="O47" s="1699">
        <v>144.99</v>
      </c>
      <c r="P47" s="400"/>
      <c r="Q47" s="1694"/>
      <c r="R47" s="406"/>
      <c r="S47" s="403" t="s">
        <v>823</v>
      </c>
      <c r="T47" s="406"/>
      <c r="U47" s="1699">
        <v>59.99</v>
      </c>
      <c r="V47" s="400"/>
    </row>
    <row r="48" spans="2:22" ht="16" x14ac:dyDescent="0.2">
      <c r="B48" s="413" t="s">
        <v>824</v>
      </c>
      <c r="C48" s="400"/>
      <c r="D48" s="400"/>
      <c r="E48" s="1694"/>
      <c r="F48" s="414"/>
      <c r="G48" s="415" t="s">
        <v>825</v>
      </c>
      <c r="H48" s="414"/>
      <c r="I48" s="416">
        <v>46.1</v>
      </c>
      <c r="J48" s="409"/>
      <c r="K48" s="1694"/>
      <c r="L48" s="414"/>
      <c r="M48" s="415" t="s">
        <v>825</v>
      </c>
      <c r="N48" s="414"/>
      <c r="O48" s="416">
        <v>51.07</v>
      </c>
      <c r="P48" s="400"/>
      <c r="Q48" s="1694"/>
      <c r="R48" s="414"/>
      <c r="S48" s="415" t="s">
        <v>825</v>
      </c>
      <c r="T48" s="414"/>
      <c r="U48" s="416">
        <v>5.34</v>
      </c>
      <c r="V48" s="400"/>
    </row>
    <row r="49" spans="2:22" ht="16" x14ac:dyDescent="0.2">
      <c r="B49" s="413"/>
      <c r="C49" s="400"/>
      <c r="D49" s="400"/>
      <c r="E49" s="400"/>
      <c r="F49" s="400"/>
      <c r="G49" s="400"/>
      <c r="H49" s="400"/>
      <c r="I49" s="400"/>
      <c r="J49" s="400"/>
      <c r="K49" s="400"/>
      <c r="L49" s="400"/>
      <c r="M49" s="400"/>
      <c r="N49" s="400"/>
      <c r="O49" s="400"/>
      <c r="P49" s="400"/>
      <c r="Q49" s="400"/>
      <c r="R49" s="400"/>
      <c r="S49" s="400"/>
      <c r="T49" s="400"/>
      <c r="U49" s="400"/>
      <c r="V49" s="400"/>
    </row>
    <row r="50" spans="2:22" ht="17" thickBot="1" x14ac:dyDescent="0.25">
      <c r="B50" s="417"/>
      <c r="C50" s="400"/>
      <c r="D50" s="439">
        <f>E55+E56+E57</f>
        <v>24.5</v>
      </c>
      <c r="E50" s="400"/>
      <c r="F50" s="400"/>
      <c r="G50" s="418"/>
      <c r="H50" s="419"/>
      <c r="I50" s="420"/>
      <c r="J50" s="400"/>
      <c r="K50" s="400"/>
      <c r="L50" s="400"/>
      <c r="M50" s="400"/>
      <c r="N50" s="400"/>
      <c r="O50" s="400"/>
      <c r="P50" s="400"/>
      <c r="Q50" s="400"/>
      <c r="R50" s="400"/>
      <c r="S50" s="400"/>
      <c r="T50" s="400"/>
      <c r="U50" s="400"/>
      <c r="V50" s="400"/>
    </row>
    <row r="51" spans="2:22" ht="17" thickBot="1" x14ac:dyDescent="0.2">
      <c r="B51" s="421" t="s">
        <v>826</v>
      </c>
      <c r="C51" s="1587" t="s">
        <v>827</v>
      </c>
      <c r="D51" s="1587"/>
      <c r="E51" s="1588">
        <v>2023</v>
      </c>
      <c r="F51" s="1588"/>
      <c r="G51" s="1588"/>
      <c r="H51" s="1588"/>
      <c r="I51" s="1588"/>
      <c r="J51" s="1588"/>
      <c r="K51" s="1588">
        <v>2022</v>
      </c>
      <c r="L51" s="1588"/>
      <c r="M51" s="1588"/>
      <c r="N51" s="1588"/>
      <c r="O51" s="1588"/>
      <c r="P51" s="1588"/>
      <c r="Q51" s="1588">
        <v>2021</v>
      </c>
      <c r="R51" s="1588"/>
      <c r="S51" s="1588"/>
      <c r="T51" s="1588"/>
      <c r="U51" s="1588"/>
      <c r="V51" s="1588"/>
    </row>
    <row r="52" spans="2:22" ht="21" customHeight="1" thickBot="1" x14ac:dyDescent="0.25">
      <c r="B52" s="422"/>
      <c r="C52" s="422"/>
      <c r="D52" s="422"/>
      <c r="E52" s="1586" t="s">
        <v>828</v>
      </c>
      <c r="F52" s="1586"/>
      <c r="G52" s="1584" t="s">
        <v>829</v>
      </c>
      <c r="H52" s="1584"/>
      <c r="I52" s="1584" t="s">
        <v>830</v>
      </c>
      <c r="J52" s="1584"/>
      <c r="K52" s="1586" t="s">
        <v>828</v>
      </c>
      <c r="L52" s="1586"/>
      <c r="M52" s="1584" t="s">
        <v>829</v>
      </c>
      <c r="N52" s="1584"/>
      <c r="O52" s="1584" t="s">
        <v>830</v>
      </c>
      <c r="P52" s="1584"/>
      <c r="Q52" s="1586" t="s">
        <v>828</v>
      </c>
      <c r="R52" s="1586"/>
      <c r="S52" s="1584" t="s">
        <v>829</v>
      </c>
      <c r="T52" s="1584"/>
      <c r="U52" s="1584" t="s">
        <v>830</v>
      </c>
      <c r="V52" s="1584"/>
    </row>
    <row r="53" spans="2:22" ht="17" thickBot="1" x14ac:dyDescent="0.25">
      <c r="B53" s="423" t="s">
        <v>686</v>
      </c>
      <c r="C53" s="422"/>
      <c r="D53" s="422"/>
      <c r="E53" s="1585" t="s">
        <v>233</v>
      </c>
      <c r="F53" s="1585"/>
      <c r="G53" s="1586" t="s">
        <v>130</v>
      </c>
      <c r="H53" s="1586"/>
      <c r="I53" s="1586" t="s">
        <v>130</v>
      </c>
      <c r="J53" s="1586"/>
      <c r="K53" s="1585" t="s">
        <v>233</v>
      </c>
      <c r="L53" s="1585"/>
      <c r="M53" s="1586" t="s">
        <v>130</v>
      </c>
      <c r="N53" s="1586"/>
      <c r="O53" s="1586" t="s">
        <v>130</v>
      </c>
      <c r="P53" s="1586"/>
      <c r="Q53" s="1585" t="s">
        <v>233</v>
      </c>
      <c r="R53" s="1585"/>
      <c r="S53" s="1586" t="s">
        <v>130</v>
      </c>
      <c r="T53" s="1586"/>
      <c r="U53" s="1586" t="s">
        <v>130</v>
      </c>
      <c r="V53" s="1586"/>
    </row>
    <row r="54" spans="2:22" ht="17" x14ac:dyDescent="0.2">
      <c r="B54" s="449" t="s">
        <v>138</v>
      </c>
      <c r="C54" s="449"/>
      <c r="D54" s="449"/>
      <c r="E54" s="450">
        <v>71.3</v>
      </c>
      <c r="F54" s="451" t="s">
        <v>233</v>
      </c>
      <c r="G54" s="452">
        <v>39635.54</v>
      </c>
      <c r="H54" s="451"/>
      <c r="I54" s="453">
        <v>179.03</v>
      </c>
      <c r="J54" s="454"/>
      <c r="K54" s="455">
        <v>64.3</v>
      </c>
      <c r="L54" s="451" t="s">
        <v>233</v>
      </c>
      <c r="M54" s="452">
        <v>34036.68</v>
      </c>
      <c r="N54" s="451"/>
      <c r="O54" s="453">
        <v>180.76</v>
      </c>
      <c r="P54" s="454"/>
      <c r="Q54" s="455">
        <v>60.5</v>
      </c>
      <c r="R54" s="451" t="s">
        <v>233</v>
      </c>
      <c r="S54" s="452">
        <v>13239.5</v>
      </c>
      <c r="T54" s="451"/>
      <c r="U54" s="453">
        <v>123.73</v>
      </c>
      <c r="V54" s="454"/>
    </row>
    <row r="55" spans="2:22" ht="16" x14ac:dyDescent="0.2">
      <c r="B55" s="438" t="s">
        <v>831</v>
      </c>
      <c r="C55" s="438"/>
      <c r="D55" s="438"/>
      <c r="E55" s="436">
        <v>14</v>
      </c>
      <c r="F55" s="437"/>
      <c r="G55" s="456">
        <v>7810.88</v>
      </c>
      <c r="H55" s="437"/>
      <c r="I55" s="457">
        <v>35.28</v>
      </c>
      <c r="J55" s="458"/>
      <c r="K55" s="436">
        <v>12.1</v>
      </c>
      <c r="L55" s="437"/>
      <c r="M55" s="456">
        <v>6411.76</v>
      </c>
      <c r="N55" s="437"/>
      <c r="O55" s="457">
        <v>34.049999999999997</v>
      </c>
      <c r="P55" s="458"/>
      <c r="Q55" s="436">
        <v>15.4</v>
      </c>
      <c r="R55" s="437"/>
      <c r="S55" s="456">
        <v>3380.89</v>
      </c>
      <c r="T55" s="437"/>
      <c r="U55" s="457">
        <v>31.6</v>
      </c>
      <c r="V55" s="458"/>
    </row>
    <row r="56" spans="2:22" ht="16" x14ac:dyDescent="0.2">
      <c r="B56" s="438" t="s">
        <v>832</v>
      </c>
      <c r="C56" s="438"/>
      <c r="D56" s="438"/>
      <c r="E56" s="436">
        <v>5.2</v>
      </c>
      <c r="F56" s="437"/>
      <c r="G56" s="456">
        <v>2891.43</v>
      </c>
      <c r="H56" s="437"/>
      <c r="I56" s="457">
        <v>13.06</v>
      </c>
      <c r="J56" s="458"/>
      <c r="K56" s="436">
        <v>3.8</v>
      </c>
      <c r="L56" s="437"/>
      <c r="M56" s="456">
        <v>2017.47</v>
      </c>
      <c r="N56" s="437"/>
      <c r="O56" s="457">
        <v>10.71</v>
      </c>
      <c r="P56" s="458"/>
      <c r="Q56" s="436">
        <v>2.9</v>
      </c>
      <c r="R56" s="437"/>
      <c r="S56" s="456">
        <v>635.77</v>
      </c>
      <c r="T56" s="437"/>
      <c r="U56" s="457">
        <v>5.94</v>
      </c>
      <c r="V56" s="458"/>
    </row>
    <row r="57" spans="2:22" ht="16" x14ac:dyDescent="0.2">
      <c r="B57" s="438" t="s">
        <v>833</v>
      </c>
      <c r="C57" s="438"/>
      <c r="D57" s="438"/>
      <c r="E57" s="436">
        <v>5.3</v>
      </c>
      <c r="F57" s="437"/>
      <c r="G57" s="456">
        <v>2923.84</v>
      </c>
      <c r="H57" s="437"/>
      <c r="I57" s="457">
        <v>13.21</v>
      </c>
      <c r="J57" s="458"/>
      <c r="K57" s="436">
        <v>4.8</v>
      </c>
      <c r="L57" s="437"/>
      <c r="M57" s="456">
        <v>2525.15</v>
      </c>
      <c r="N57" s="437"/>
      <c r="O57" s="457">
        <v>13.41</v>
      </c>
      <c r="P57" s="458"/>
      <c r="Q57" s="436">
        <v>6.6</v>
      </c>
      <c r="R57" s="437"/>
      <c r="S57" s="456">
        <v>1455.42</v>
      </c>
      <c r="T57" s="437"/>
      <c r="U57" s="457">
        <v>13.6</v>
      </c>
      <c r="V57" s="458"/>
    </row>
    <row r="58" spans="2:22" ht="16" x14ac:dyDescent="0.2">
      <c r="B58" s="438" t="s">
        <v>834</v>
      </c>
      <c r="C58" s="438"/>
      <c r="D58" s="438"/>
      <c r="E58" s="436">
        <v>1.5</v>
      </c>
      <c r="F58" s="437"/>
      <c r="G58" s="456">
        <v>808.17</v>
      </c>
      <c r="H58" s="437"/>
      <c r="I58" s="457">
        <v>3.65</v>
      </c>
      <c r="J58" s="458"/>
      <c r="K58" s="436">
        <v>1.9</v>
      </c>
      <c r="L58" s="437"/>
      <c r="M58" s="456">
        <v>994.24</v>
      </c>
      <c r="N58" s="437"/>
      <c r="O58" s="457">
        <v>5.28</v>
      </c>
      <c r="P58" s="458"/>
      <c r="Q58" s="436">
        <v>2.2000000000000002</v>
      </c>
      <c r="R58" s="437"/>
      <c r="S58" s="456">
        <v>483.43</v>
      </c>
      <c r="T58" s="437"/>
      <c r="U58" s="457">
        <v>4.5199999999999996</v>
      </c>
      <c r="V58" s="458"/>
    </row>
    <row r="59" spans="2:22" ht="16" x14ac:dyDescent="0.2">
      <c r="B59" s="438" t="s">
        <v>835</v>
      </c>
      <c r="C59" s="438"/>
      <c r="D59" s="438"/>
      <c r="E59" s="436">
        <v>2.8</v>
      </c>
      <c r="F59" s="437"/>
      <c r="G59" s="456">
        <v>1549.1</v>
      </c>
      <c r="H59" s="437"/>
      <c r="I59" s="457">
        <v>7</v>
      </c>
      <c r="J59" s="458"/>
      <c r="K59" s="436">
        <v>13.1</v>
      </c>
      <c r="L59" s="437"/>
      <c r="M59" s="456">
        <v>6935.9</v>
      </c>
      <c r="N59" s="437"/>
      <c r="O59" s="457">
        <v>36.799999999999997</v>
      </c>
      <c r="P59" s="458"/>
      <c r="Q59" s="436">
        <v>12.3</v>
      </c>
      <c r="R59" s="437"/>
      <c r="S59" s="456">
        <v>2700.5</v>
      </c>
      <c r="T59" s="437"/>
      <c r="U59" s="457">
        <v>25.2</v>
      </c>
      <c r="V59" s="458"/>
    </row>
    <row r="60" spans="2:22" ht="18" thickBot="1" x14ac:dyDescent="0.25">
      <c r="B60" s="1700" t="s">
        <v>836</v>
      </c>
      <c r="C60" s="1700"/>
      <c r="D60" s="1700"/>
      <c r="E60" s="459">
        <v>100</v>
      </c>
      <c r="F60" s="460" t="s">
        <v>233</v>
      </c>
      <c r="G60" s="461">
        <v>55619</v>
      </c>
      <c r="H60" s="460"/>
      <c r="I60" s="462">
        <v>251.23</v>
      </c>
      <c r="J60" s="463"/>
      <c r="K60" s="464">
        <v>100</v>
      </c>
      <c r="L60" s="460" t="s">
        <v>233</v>
      </c>
      <c r="M60" s="461">
        <v>52921</v>
      </c>
      <c r="N60" s="460"/>
      <c r="O60" s="462">
        <v>281.06</v>
      </c>
      <c r="P60" s="463"/>
      <c r="Q60" s="464">
        <v>100</v>
      </c>
      <c r="R60" s="460" t="s">
        <v>233</v>
      </c>
      <c r="S60" s="461">
        <v>21895</v>
      </c>
      <c r="T60" s="460"/>
      <c r="U60" s="462">
        <v>204.62</v>
      </c>
      <c r="V60" s="463"/>
    </row>
    <row r="61" spans="2:22" ht="16" x14ac:dyDescent="0.2">
      <c r="B61" s="465"/>
      <c r="C61" s="465"/>
      <c r="D61" s="465"/>
      <c r="E61" s="436"/>
      <c r="F61" s="437"/>
      <c r="G61" s="456"/>
      <c r="H61" s="437"/>
      <c r="I61" s="466"/>
      <c r="J61" s="458"/>
      <c r="K61" s="467"/>
      <c r="L61" s="437"/>
      <c r="M61" s="456"/>
      <c r="N61" s="437"/>
      <c r="O61" s="466"/>
      <c r="P61" s="458"/>
      <c r="Q61" s="467"/>
      <c r="R61" s="437"/>
      <c r="S61" s="456"/>
      <c r="T61" s="437"/>
      <c r="U61" s="466"/>
      <c r="V61" s="458"/>
    </row>
    <row r="62" spans="2:22" ht="17" thickBot="1" x14ac:dyDescent="0.25">
      <c r="B62" s="468" t="s">
        <v>837</v>
      </c>
      <c r="C62" s="469"/>
      <c r="D62" s="469"/>
      <c r="E62" s="436"/>
      <c r="F62" s="437"/>
      <c r="G62" s="456"/>
      <c r="H62" s="437"/>
      <c r="I62" s="466"/>
      <c r="J62" s="458"/>
      <c r="K62" s="467"/>
      <c r="L62" s="437"/>
      <c r="M62" s="456"/>
      <c r="N62" s="437"/>
      <c r="O62" s="466"/>
      <c r="P62" s="458"/>
      <c r="Q62" s="467"/>
      <c r="R62" s="437"/>
      <c r="S62" s="456"/>
      <c r="T62" s="437"/>
      <c r="U62" s="466"/>
      <c r="V62" s="458"/>
    </row>
    <row r="63" spans="2:22" ht="17" x14ac:dyDescent="0.2">
      <c r="B63" s="449" t="s">
        <v>138</v>
      </c>
      <c r="C63" s="449"/>
      <c r="D63" s="449"/>
      <c r="E63" s="450">
        <v>29</v>
      </c>
      <c r="F63" s="451" t="s">
        <v>233</v>
      </c>
      <c r="G63" s="452">
        <v>11498.96</v>
      </c>
      <c r="H63" s="451"/>
      <c r="I63" s="470">
        <v>51.94</v>
      </c>
      <c r="J63" s="454"/>
      <c r="K63" s="455">
        <v>27.2</v>
      </c>
      <c r="L63" s="451" t="s">
        <v>233</v>
      </c>
      <c r="M63" s="452">
        <v>9250.24</v>
      </c>
      <c r="N63" s="451"/>
      <c r="O63" s="470">
        <v>49.13</v>
      </c>
      <c r="P63" s="454"/>
      <c r="Q63" s="455">
        <v>36.9</v>
      </c>
      <c r="R63" s="451" t="s">
        <v>233</v>
      </c>
      <c r="S63" s="452">
        <v>4884.43</v>
      </c>
      <c r="T63" s="451"/>
      <c r="U63" s="470">
        <v>45.65</v>
      </c>
      <c r="V63" s="454"/>
    </row>
    <row r="64" spans="2:22" ht="16" x14ac:dyDescent="0.2">
      <c r="B64" s="438" t="s">
        <v>838</v>
      </c>
      <c r="C64" s="438"/>
      <c r="D64" s="438"/>
      <c r="E64" s="436">
        <v>81.8</v>
      </c>
      <c r="F64" s="437"/>
      <c r="G64" s="456">
        <v>11149</v>
      </c>
      <c r="H64" s="437"/>
      <c r="I64" s="466">
        <v>50.36</v>
      </c>
      <c r="J64" s="458"/>
      <c r="K64" s="467">
        <v>87.9</v>
      </c>
      <c r="L64" s="437"/>
      <c r="M64" s="456">
        <v>9625</v>
      </c>
      <c r="N64" s="437"/>
      <c r="O64" s="466">
        <v>51.12</v>
      </c>
      <c r="P64" s="458"/>
      <c r="Q64" s="467">
        <v>93.5</v>
      </c>
      <c r="R64" s="437"/>
      <c r="S64" s="456">
        <v>5117</v>
      </c>
      <c r="T64" s="437"/>
      <c r="U64" s="466">
        <v>47.82</v>
      </c>
      <c r="V64" s="458"/>
    </row>
    <row r="65" spans="2:22" ht="16" x14ac:dyDescent="0.2">
      <c r="B65" s="438" t="s">
        <v>834</v>
      </c>
      <c r="C65" s="438"/>
      <c r="D65" s="438"/>
      <c r="E65" s="436">
        <v>37</v>
      </c>
      <c r="F65" s="437"/>
      <c r="G65" s="456">
        <v>298.83999999999997</v>
      </c>
      <c r="H65" s="437"/>
      <c r="I65" s="457">
        <v>1.35</v>
      </c>
      <c r="J65" s="458"/>
      <c r="K65" s="436">
        <v>24.7</v>
      </c>
      <c r="L65" s="437"/>
      <c r="M65" s="456">
        <v>245.39</v>
      </c>
      <c r="N65" s="437"/>
      <c r="O65" s="457">
        <v>1.3</v>
      </c>
      <c r="P65" s="458"/>
      <c r="Q65" s="436">
        <v>40.799999999999997</v>
      </c>
      <c r="R65" s="437"/>
      <c r="S65" s="456">
        <v>197.39</v>
      </c>
      <c r="T65" s="437"/>
      <c r="U65" s="457">
        <v>1.84</v>
      </c>
      <c r="V65" s="458"/>
    </row>
    <row r="66" spans="2:22" ht="18" thickBot="1" x14ac:dyDescent="0.25">
      <c r="B66" s="1700" t="s">
        <v>839</v>
      </c>
      <c r="C66" s="1700"/>
      <c r="D66" s="1700"/>
      <c r="E66" s="459">
        <v>41.256543831845271</v>
      </c>
      <c r="F66" s="460" t="s">
        <v>233</v>
      </c>
      <c r="G66" s="461">
        <v>22946.448261232079</v>
      </c>
      <c r="H66" s="460"/>
      <c r="I66" s="462">
        <v>103.64930051200042</v>
      </c>
      <c r="J66" s="463"/>
      <c r="K66" s="459">
        <v>36.130534389017669</v>
      </c>
      <c r="L66" s="460" t="s">
        <v>233</v>
      </c>
      <c r="M66" s="461">
        <v>19120.72383636051</v>
      </c>
      <c r="N66" s="460"/>
      <c r="O66" s="462">
        <v>101.54690915232285</v>
      </c>
      <c r="P66" s="463"/>
      <c r="Q66" s="459">
        <v>46.578736398383548</v>
      </c>
      <c r="R66" s="460" t="s">
        <v>233</v>
      </c>
      <c r="S66" s="461">
        <v>10198.637120718253</v>
      </c>
      <c r="T66" s="460"/>
      <c r="U66" s="462">
        <v>95.308765353973769</v>
      </c>
      <c r="V66" s="463"/>
    </row>
    <row r="67" spans="2:22" ht="16" x14ac:dyDescent="0.2">
      <c r="B67" s="465"/>
      <c r="C67" s="465"/>
      <c r="D67" s="465"/>
      <c r="E67" s="436"/>
      <c r="F67" s="437"/>
      <c r="G67" s="456"/>
      <c r="H67" s="437"/>
      <c r="I67" s="466"/>
      <c r="J67" s="458"/>
      <c r="K67" s="467"/>
      <c r="L67" s="437"/>
      <c r="M67" s="456"/>
      <c r="N67" s="437"/>
      <c r="O67" s="466"/>
      <c r="P67" s="458"/>
      <c r="Q67" s="467"/>
      <c r="R67" s="437"/>
      <c r="S67" s="456"/>
      <c r="T67" s="437"/>
      <c r="U67" s="466"/>
      <c r="V67" s="458"/>
    </row>
    <row r="68" spans="2:22" ht="17" thickBot="1" x14ac:dyDescent="0.25">
      <c r="B68" s="471" t="s">
        <v>840</v>
      </c>
      <c r="C68" s="465"/>
      <c r="D68" s="465"/>
      <c r="E68" s="436"/>
      <c r="F68" s="437"/>
      <c r="G68" s="456"/>
      <c r="H68" s="437"/>
      <c r="I68" s="466"/>
      <c r="J68" s="458"/>
      <c r="K68" s="467"/>
      <c r="L68" s="437"/>
      <c r="M68" s="456"/>
      <c r="N68" s="437"/>
      <c r="O68" s="466"/>
      <c r="P68" s="458"/>
      <c r="Q68" s="467"/>
      <c r="R68" s="437"/>
      <c r="S68" s="456"/>
      <c r="T68" s="437"/>
      <c r="U68" s="466"/>
      <c r="V68" s="458"/>
    </row>
    <row r="69" spans="2:22" ht="17" x14ac:dyDescent="0.2">
      <c r="B69" s="449" t="s">
        <v>138</v>
      </c>
      <c r="C69" s="449"/>
      <c r="D69" s="449"/>
      <c r="E69" s="450">
        <v>71</v>
      </c>
      <c r="F69" s="451" t="s">
        <v>233</v>
      </c>
      <c r="G69" s="452">
        <v>28137</v>
      </c>
      <c r="H69" s="451"/>
      <c r="I69" s="470">
        <v>127.09</v>
      </c>
      <c r="J69" s="454"/>
      <c r="K69" s="455">
        <v>72.8</v>
      </c>
      <c r="L69" s="451" t="s">
        <v>233</v>
      </c>
      <c r="M69" s="452">
        <v>24786</v>
      </c>
      <c r="N69" s="451"/>
      <c r="O69" s="470">
        <v>131.63999999999999</v>
      </c>
      <c r="P69" s="454"/>
      <c r="Q69" s="455">
        <v>63.1</v>
      </c>
      <c r="R69" s="451" t="s">
        <v>233</v>
      </c>
      <c r="S69" s="452">
        <v>8355</v>
      </c>
      <c r="T69" s="451"/>
      <c r="U69" s="470">
        <v>78.08</v>
      </c>
      <c r="V69" s="454"/>
    </row>
    <row r="70" spans="2:22" ht="16" x14ac:dyDescent="0.2">
      <c r="B70" s="438" t="s">
        <v>838</v>
      </c>
      <c r="C70" s="438"/>
      <c r="D70" s="438"/>
      <c r="E70" s="436">
        <v>18.2</v>
      </c>
      <c r="F70" s="437"/>
      <c r="G70" s="456">
        <v>2478</v>
      </c>
      <c r="H70" s="437"/>
      <c r="I70" s="457">
        <v>11.19</v>
      </c>
      <c r="J70" s="458"/>
      <c r="K70" s="436">
        <v>12.1</v>
      </c>
      <c r="L70" s="437"/>
      <c r="M70" s="456">
        <v>1329</v>
      </c>
      <c r="N70" s="437"/>
      <c r="O70" s="457">
        <v>7.06</v>
      </c>
      <c r="P70" s="458"/>
      <c r="Q70" s="436">
        <v>6.5</v>
      </c>
      <c r="R70" s="437"/>
      <c r="S70" s="456">
        <v>355</v>
      </c>
      <c r="T70" s="437"/>
      <c r="U70" s="457">
        <v>3.32</v>
      </c>
      <c r="V70" s="458"/>
    </row>
    <row r="71" spans="2:22" ht="16" x14ac:dyDescent="0.2">
      <c r="B71" s="438" t="s">
        <v>834</v>
      </c>
      <c r="C71" s="438"/>
      <c r="D71" s="438"/>
      <c r="E71" s="436">
        <v>63</v>
      </c>
      <c r="F71" s="437"/>
      <c r="G71" s="456">
        <v>509</v>
      </c>
      <c r="H71" s="437"/>
      <c r="I71" s="457">
        <v>2.2999999999999998</v>
      </c>
      <c r="J71" s="458"/>
      <c r="K71" s="436">
        <v>75.3</v>
      </c>
      <c r="L71" s="437"/>
      <c r="M71" s="456">
        <v>749</v>
      </c>
      <c r="N71" s="437"/>
      <c r="O71" s="457">
        <v>3.98</v>
      </c>
      <c r="P71" s="458"/>
      <c r="Q71" s="436">
        <v>59.2</v>
      </c>
      <c r="R71" s="437"/>
      <c r="S71" s="456">
        <v>286</v>
      </c>
      <c r="T71" s="437"/>
      <c r="U71" s="457">
        <v>2.67</v>
      </c>
      <c r="V71" s="458"/>
    </row>
    <row r="72" spans="2:22" ht="18" thickBot="1" x14ac:dyDescent="0.25">
      <c r="B72" s="1700" t="s">
        <v>841</v>
      </c>
      <c r="C72" s="1700"/>
      <c r="D72" s="1700"/>
      <c r="E72" s="459">
        <v>58.743456167748562</v>
      </c>
      <c r="F72" s="460" t="s">
        <v>233</v>
      </c>
      <c r="G72" s="461">
        <v>32672.481803934646</v>
      </c>
      <c r="H72" s="460"/>
      <c r="I72" s="462">
        <v>147.58000000000001</v>
      </c>
      <c r="J72" s="463"/>
      <c r="K72" s="459">
        <v>63.869465615242781</v>
      </c>
      <c r="L72" s="460" t="s">
        <v>233</v>
      </c>
      <c r="M72" s="461">
        <v>33800.507915437563</v>
      </c>
      <c r="N72" s="460"/>
      <c r="O72" s="462">
        <v>179.51</v>
      </c>
      <c r="P72" s="463"/>
      <c r="Q72" s="459">
        <v>53.421263609080832</v>
      </c>
      <c r="R72" s="460" t="s">
        <v>233</v>
      </c>
      <c r="S72" s="461">
        <v>11696.841181336864</v>
      </c>
      <c r="T72" s="460"/>
      <c r="U72" s="462">
        <v>109.31</v>
      </c>
      <c r="V72" s="463"/>
    </row>
    <row r="73" spans="2:22" ht="16" x14ac:dyDescent="0.2">
      <c r="B73" s="465"/>
      <c r="C73" s="465"/>
      <c r="D73" s="465"/>
      <c r="E73" s="436"/>
      <c r="F73" s="437"/>
      <c r="G73" s="456"/>
      <c r="H73" s="437"/>
      <c r="I73" s="466"/>
      <c r="J73" s="458"/>
      <c r="K73" s="467"/>
      <c r="L73" s="437"/>
      <c r="M73" s="456"/>
      <c r="N73" s="437"/>
      <c r="O73" s="466"/>
      <c r="P73" s="458"/>
      <c r="Q73" s="467"/>
      <c r="R73" s="437"/>
      <c r="S73" s="456"/>
      <c r="T73" s="437"/>
      <c r="U73" s="466"/>
      <c r="V73" s="458"/>
    </row>
    <row r="74" spans="2:22" ht="17" thickBot="1" x14ac:dyDescent="0.25">
      <c r="B74" s="468" t="s">
        <v>842</v>
      </c>
      <c r="C74" s="469"/>
      <c r="D74" s="469"/>
      <c r="E74" s="472"/>
      <c r="F74" s="473"/>
      <c r="G74" s="474"/>
      <c r="H74" s="473"/>
      <c r="I74" s="475"/>
      <c r="J74" s="476"/>
      <c r="K74" s="477"/>
      <c r="L74" s="473"/>
      <c r="M74" s="474"/>
      <c r="N74" s="473"/>
      <c r="O74" s="475"/>
      <c r="P74" s="476"/>
      <c r="Q74" s="477"/>
      <c r="R74" s="473"/>
      <c r="S74" s="474"/>
      <c r="T74" s="473"/>
      <c r="U74" s="475"/>
      <c r="V74" s="476"/>
    </row>
    <row r="75" spans="2:22" ht="17" x14ac:dyDescent="0.2">
      <c r="B75" s="449" t="s">
        <v>843</v>
      </c>
      <c r="C75" s="449"/>
      <c r="D75" s="449"/>
      <c r="E75" s="436">
        <v>9.1</v>
      </c>
      <c r="F75" s="437" t="s">
        <v>233</v>
      </c>
      <c r="G75" s="456">
        <v>5079.6899999999996</v>
      </c>
      <c r="H75" s="437"/>
      <c r="I75" s="457">
        <v>22.94</v>
      </c>
      <c r="J75" s="458"/>
      <c r="K75" s="436">
        <v>8.9</v>
      </c>
      <c r="L75" s="437" t="s">
        <v>233</v>
      </c>
      <c r="M75" s="456">
        <v>4695.8100000000004</v>
      </c>
      <c r="N75" s="437"/>
      <c r="O75" s="457">
        <v>24.94</v>
      </c>
      <c r="P75" s="458"/>
      <c r="Q75" s="436">
        <v>12</v>
      </c>
      <c r="R75" s="437" t="s">
        <v>233</v>
      </c>
      <c r="S75" s="456">
        <v>2625.45</v>
      </c>
      <c r="T75" s="437"/>
      <c r="U75" s="457">
        <v>24.54</v>
      </c>
      <c r="V75" s="458"/>
    </row>
    <row r="76" spans="2:22" ht="16" x14ac:dyDescent="0.2">
      <c r="B76" s="438" t="s">
        <v>844</v>
      </c>
      <c r="C76" s="440"/>
      <c r="D76" s="440"/>
      <c r="E76" s="441">
        <v>1.8</v>
      </c>
      <c r="F76" s="442"/>
      <c r="G76" s="478">
        <v>1028.03</v>
      </c>
      <c r="H76" s="437"/>
      <c r="I76" s="457">
        <v>4.6399999999999997</v>
      </c>
      <c r="J76" s="458"/>
      <c r="K76" s="436">
        <v>1.6</v>
      </c>
      <c r="L76" s="437"/>
      <c r="M76" s="456">
        <v>849.85</v>
      </c>
      <c r="N76" s="437"/>
      <c r="O76" s="457">
        <v>4.51</v>
      </c>
      <c r="P76" s="458"/>
      <c r="Q76" s="436">
        <v>3.7</v>
      </c>
      <c r="R76" s="437"/>
      <c r="S76" s="456">
        <v>803.11</v>
      </c>
      <c r="T76" s="437"/>
      <c r="U76" s="457">
        <v>7.51</v>
      </c>
      <c r="V76" s="458"/>
    </row>
    <row r="77" spans="2:22" ht="16" x14ac:dyDescent="0.2">
      <c r="B77" s="438" t="s">
        <v>845</v>
      </c>
      <c r="C77" s="438"/>
      <c r="D77" s="438"/>
      <c r="E77" s="436">
        <v>6.6</v>
      </c>
      <c r="F77" s="437"/>
      <c r="G77" s="456">
        <v>3685.67</v>
      </c>
      <c r="H77" s="437"/>
      <c r="I77" s="457">
        <v>16.649999999999999</v>
      </c>
      <c r="J77" s="458"/>
      <c r="K77" s="436">
        <v>5.0999999999999996</v>
      </c>
      <c r="L77" s="437"/>
      <c r="M77" s="456">
        <v>2692.51</v>
      </c>
      <c r="N77" s="437"/>
      <c r="O77" s="457">
        <v>14.3</v>
      </c>
      <c r="P77" s="458"/>
      <c r="Q77" s="436">
        <v>7</v>
      </c>
      <c r="R77" s="437"/>
      <c r="S77" s="456">
        <v>1523.74</v>
      </c>
      <c r="T77" s="437"/>
      <c r="U77" s="457">
        <v>14.24</v>
      </c>
      <c r="V77" s="458"/>
    </row>
    <row r="78" spans="2:22" ht="16" x14ac:dyDescent="0.2">
      <c r="B78" s="438" t="s">
        <v>846</v>
      </c>
      <c r="C78" s="438"/>
      <c r="D78" s="438"/>
      <c r="E78" s="436">
        <v>0</v>
      </c>
      <c r="F78" s="437"/>
      <c r="G78" s="456">
        <v>0</v>
      </c>
      <c r="H78" s="437"/>
      <c r="I78" s="457">
        <v>0</v>
      </c>
      <c r="J78" s="458"/>
      <c r="K78" s="436">
        <v>0.2</v>
      </c>
      <c r="L78" s="437"/>
      <c r="M78" s="456">
        <v>119.21</v>
      </c>
      <c r="N78" s="437"/>
      <c r="O78" s="457">
        <v>0.63</v>
      </c>
      <c r="P78" s="458"/>
      <c r="Q78" s="436">
        <v>0.7</v>
      </c>
      <c r="R78" s="437"/>
      <c r="S78" s="456">
        <v>157.1</v>
      </c>
      <c r="T78" s="437"/>
      <c r="U78" s="457">
        <v>1.47</v>
      </c>
      <c r="V78" s="458"/>
    </row>
    <row r="79" spans="2:22" ht="16" x14ac:dyDescent="0.2">
      <c r="B79" s="438" t="s">
        <v>847</v>
      </c>
      <c r="C79" s="438"/>
      <c r="D79" s="438"/>
      <c r="E79" s="436">
        <v>6.1</v>
      </c>
      <c r="F79" s="437"/>
      <c r="G79" s="456">
        <v>3418.13</v>
      </c>
      <c r="H79" s="437"/>
      <c r="I79" s="457">
        <v>15.44</v>
      </c>
      <c r="J79" s="458"/>
      <c r="K79" s="436">
        <v>8</v>
      </c>
      <c r="L79" s="437"/>
      <c r="M79" s="456">
        <v>4225.87</v>
      </c>
      <c r="N79" s="437"/>
      <c r="O79" s="457">
        <v>22.44</v>
      </c>
      <c r="P79" s="458"/>
      <c r="Q79" s="436">
        <v>10.9</v>
      </c>
      <c r="R79" s="437"/>
      <c r="S79" s="456">
        <v>2392.6</v>
      </c>
      <c r="T79" s="437"/>
      <c r="U79" s="457">
        <v>22.36</v>
      </c>
      <c r="V79" s="458"/>
    </row>
    <row r="80" spans="2:22" ht="16" x14ac:dyDescent="0.2">
      <c r="B80" s="438" t="s">
        <v>848</v>
      </c>
      <c r="C80" s="438"/>
      <c r="D80" s="438"/>
      <c r="E80" s="436">
        <v>5.3</v>
      </c>
      <c r="F80" s="437"/>
      <c r="G80" s="456">
        <v>2947.86</v>
      </c>
      <c r="H80" s="437"/>
      <c r="I80" s="457">
        <v>13.32</v>
      </c>
      <c r="J80" s="458"/>
      <c r="K80" s="436">
        <v>4.9000000000000004</v>
      </c>
      <c r="L80" s="437"/>
      <c r="M80" s="456">
        <v>2576.1</v>
      </c>
      <c r="N80" s="437"/>
      <c r="O80" s="457">
        <v>13.68</v>
      </c>
      <c r="P80" s="458"/>
      <c r="Q80" s="436">
        <v>10.3</v>
      </c>
      <c r="R80" s="437"/>
      <c r="S80" s="456">
        <v>2244.6</v>
      </c>
      <c r="T80" s="437"/>
      <c r="U80" s="457">
        <v>20.98</v>
      </c>
      <c r="V80" s="458"/>
    </row>
    <row r="81" spans="2:22" ht="18" thickBot="1" x14ac:dyDescent="0.25">
      <c r="B81" s="1700" t="s">
        <v>849</v>
      </c>
      <c r="C81" s="1700"/>
      <c r="D81" s="1700"/>
      <c r="E81" s="459">
        <v>29.1</v>
      </c>
      <c r="F81" s="460"/>
      <c r="G81" s="461">
        <v>16159.39</v>
      </c>
      <c r="H81" s="460"/>
      <c r="I81" s="462">
        <v>72.989999999999995</v>
      </c>
      <c r="J81" s="463"/>
      <c r="K81" s="459">
        <v>28.6</v>
      </c>
      <c r="L81" s="460" t="s">
        <v>233</v>
      </c>
      <c r="M81" s="461">
        <v>15159.35</v>
      </c>
      <c r="N81" s="460"/>
      <c r="O81" s="462">
        <v>80.510000000000005</v>
      </c>
      <c r="P81" s="463"/>
      <c r="Q81" s="459">
        <v>44.5</v>
      </c>
      <c r="R81" s="460" t="s">
        <v>233</v>
      </c>
      <c r="S81" s="461">
        <v>9746.6</v>
      </c>
      <c r="T81" s="460"/>
      <c r="U81" s="462">
        <v>91.08</v>
      </c>
      <c r="V81" s="463"/>
    </row>
    <row r="82" spans="2:22" ht="17" thickBot="1" x14ac:dyDescent="0.25">
      <c r="B82" s="465"/>
      <c r="C82" s="465"/>
      <c r="D82" s="465"/>
      <c r="E82" s="436"/>
      <c r="F82" s="437"/>
      <c r="G82" s="456"/>
      <c r="H82" s="437"/>
      <c r="I82" s="466"/>
      <c r="J82" s="458"/>
      <c r="K82" s="467"/>
      <c r="L82" s="437"/>
      <c r="M82" s="456"/>
      <c r="N82" s="437"/>
      <c r="O82" s="466"/>
      <c r="P82" s="458"/>
      <c r="Q82" s="467"/>
      <c r="R82" s="437"/>
      <c r="S82" s="456"/>
      <c r="T82" s="437"/>
      <c r="U82" s="466"/>
      <c r="V82" s="458"/>
    </row>
    <row r="83" spans="2:22" ht="18" thickBot="1" x14ac:dyDescent="0.25">
      <c r="B83" s="479" t="s">
        <v>850</v>
      </c>
      <c r="C83" s="480"/>
      <c r="D83" s="480"/>
      <c r="E83" s="450">
        <v>29.7</v>
      </c>
      <c r="F83" s="451" t="s">
        <v>233</v>
      </c>
      <c r="G83" s="452">
        <v>16513</v>
      </c>
      <c r="H83" s="451"/>
      <c r="I83" s="470">
        <v>74.59</v>
      </c>
      <c r="J83" s="454"/>
      <c r="K83" s="450">
        <v>35.200000000000003</v>
      </c>
      <c r="L83" s="451" t="s">
        <v>233</v>
      </c>
      <c r="M83" s="452">
        <v>18641</v>
      </c>
      <c r="N83" s="451"/>
      <c r="O83" s="470">
        <v>99</v>
      </c>
      <c r="P83" s="454"/>
      <c r="Q83" s="450">
        <v>8.9</v>
      </c>
      <c r="R83" s="451" t="s">
        <v>233</v>
      </c>
      <c r="S83" s="452">
        <v>1950</v>
      </c>
      <c r="T83" s="451"/>
      <c r="U83" s="470">
        <v>18.23</v>
      </c>
      <c r="V83" s="454"/>
    </row>
    <row r="84" spans="2:22" ht="16" x14ac:dyDescent="0.2">
      <c r="B84" s="449" t="s">
        <v>851</v>
      </c>
      <c r="C84" s="449"/>
      <c r="D84" s="449"/>
      <c r="E84" s="450">
        <v>2.1</v>
      </c>
      <c r="F84" s="451"/>
      <c r="G84" s="452">
        <v>1171.24</v>
      </c>
      <c r="H84" s="451"/>
      <c r="I84" s="470">
        <v>5.29</v>
      </c>
      <c r="J84" s="454"/>
      <c r="K84" s="455">
        <v>1.5</v>
      </c>
      <c r="L84" s="451"/>
      <c r="M84" s="452">
        <v>773.22</v>
      </c>
      <c r="N84" s="451"/>
      <c r="O84" s="470">
        <v>4.1100000000000003</v>
      </c>
      <c r="P84" s="454"/>
      <c r="Q84" s="455">
        <v>1.5</v>
      </c>
      <c r="R84" s="451"/>
      <c r="S84" s="452">
        <v>330.07</v>
      </c>
      <c r="T84" s="451"/>
      <c r="U84" s="470">
        <v>3.08</v>
      </c>
      <c r="V84" s="454"/>
    </row>
    <row r="85" spans="2:22" ht="16" x14ac:dyDescent="0.2">
      <c r="B85" s="440" t="s">
        <v>852</v>
      </c>
      <c r="C85" s="440"/>
      <c r="D85" s="440"/>
      <c r="E85" s="441">
        <v>0.5</v>
      </c>
      <c r="F85" s="442"/>
      <c r="G85" s="481">
        <v>298.66000000000003</v>
      </c>
      <c r="H85" s="442"/>
      <c r="I85" s="482">
        <v>1.35</v>
      </c>
      <c r="J85" s="483"/>
      <c r="K85" s="441">
        <v>0.5</v>
      </c>
      <c r="L85" s="442"/>
      <c r="M85" s="481">
        <v>239</v>
      </c>
      <c r="N85" s="442"/>
      <c r="O85" s="482">
        <v>1.27</v>
      </c>
      <c r="P85" s="483"/>
      <c r="Q85" s="441">
        <v>0.5</v>
      </c>
      <c r="R85" s="442"/>
      <c r="S85" s="481">
        <v>114.39</v>
      </c>
      <c r="T85" s="442"/>
      <c r="U85" s="482">
        <v>1.07</v>
      </c>
      <c r="V85" s="483"/>
    </row>
    <row r="86" spans="2:22" ht="18" thickBot="1" x14ac:dyDescent="0.25">
      <c r="B86" s="468" t="s">
        <v>853</v>
      </c>
      <c r="C86" s="469"/>
      <c r="D86" s="469"/>
      <c r="E86" s="472">
        <v>27</v>
      </c>
      <c r="F86" s="473" t="s">
        <v>233</v>
      </c>
      <c r="G86" s="474">
        <v>15043</v>
      </c>
      <c r="H86" s="473"/>
      <c r="I86" s="475">
        <v>67.95</v>
      </c>
      <c r="J86" s="476"/>
      <c r="K86" s="477">
        <v>33.299999999999997</v>
      </c>
      <c r="L86" s="473" t="s">
        <v>233</v>
      </c>
      <c r="M86" s="474">
        <v>17629</v>
      </c>
      <c r="N86" s="473"/>
      <c r="O86" s="475">
        <v>93.62</v>
      </c>
      <c r="P86" s="476"/>
      <c r="Q86" s="477">
        <v>6.9</v>
      </c>
      <c r="R86" s="473" t="s">
        <v>233</v>
      </c>
      <c r="S86" s="474">
        <v>1506</v>
      </c>
      <c r="T86" s="473"/>
      <c r="U86" s="475">
        <v>14.07</v>
      </c>
      <c r="V86" s="476"/>
    </row>
    <row r="87" spans="2:22" ht="16" x14ac:dyDescent="0.2">
      <c r="B87" s="465"/>
      <c r="C87" s="465"/>
      <c r="D87" s="465"/>
      <c r="E87" s="436"/>
      <c r="F87" s="437"/>
      <c r="G87" s="456"/>
      <c r="H87" s="437"/>
      <c r="I87" s="466"/>
      <c r="J87" s="458"/>
      <c r="K87" s="467"/>
      <c r="L87" s="437"/>
      <c r="M87" s="456"/>
      <c r="N87" s="437"/>
      <c r="O87" s="466"/>
      <c r="P87" s="458"/>
      <c r="Q87" s="467"/>
      <c r="R87" s="437"/>
      <c r="S87" s="456"/>
      <c r="T87" s="437"/>
      <c r="U87" s="466"/>
      <c r="V87" s="458"/>
    </row>
    <row r="88" spans="2:22" ht="17" thickBot="1" x14ac:dyDescent="0.25">
      <c r="B88" s="468" t="s">
        <v>854</v>
      </c>
      <c r="C88" s="469"/>
      <c r="D88" s="469"/>
      <c r="E88" s="472"/>
      <c r="F88" s="473"/>
      <c r="G88" s="474"/>
      <c r="H88" s="473"/>
      <c r="I88" s="475"/>
      <c r="J88" s="476"/>
      <c r="K88" s="477"/>
      <c r="L88" s="473"/>
      <c r="M88" s="474"/>
      <c r="N88" s="473"/>
      <c r="O88" s="475"/>
      <c r="P88" s="476"/>
      <c r="Q88" s="477"/>
      <c r="R88" s="473"/>
      <c r="S88" s="474"/>
      <c r="T88" s="473"/>
      <c r="U88" s="475"/>
      <c r="V88" s="476"/>
    </row>
    <row r="89" spans="2:22" ht="17" x14ac:dyDescent="0.2">
      <c r="B89" s="438" t="s">
        <v>180</v>
      </c>
      <c r="C89" s="438"/>
      <c r="D89" s="438"/>
      <c r="E89" s="436">
        <v>-0.1</v>
      </c>
      <c r="F89" s="437" t="s">
        <v>233</v>
      </c>
      <c r="G89" s="456">
        <v>-42.54</v>
      </c>
      <c r="H89" s="437"/>
      <c r="I89" s="466">
        <v>-0.19</v>
      </c>
      <c r="J89" s="458"/>
      <c r="K89" s="467">
        <v>8.6</v>
      </c>
      <c r="L89" s="437" t="s">
        <v>233</v>
      </c>
      <c r="M89" s="456">
        <v>4531.8100000000004</v>
      </c>
      <c r="N89" s="437"/>
      <c r="O89" s="466">
        <v>24.07</v>
      </c>
      <c r="P89" s="458"/>
      <c r="Q89" s="467">
        <v>-8</v>
      </c>
      <c r="R89" s="437" t="s">
        <v>233</v>
      </c>
      <c r="S89" s="456">
        <v>-1760.59</v>
      </c>
      <c r="T89" s="437"/>
      <c r="U89" s="466">
        <v>-16.45</v>
      </c>
      <c r="V89" s="458"/>
    </row>
    <row r="90" spans="2:22" ht="16" x14ac:dyDescent="0.2">
      <c r="B90" s="438" t="s">
        <v>186</v>
      </c>
      <c r="C90" s="438"/>
      <c r="D90" s="438"/>
      <c r="E90" s="436">
        <v>13.4</v>
      </c>
      <c r="F90" s="437"/>
      <c r="G90" s="456">
        <v>7467</v>
      </c>
      <c r="H90" s="437"/>
      <c r="I90" s="457">
        <v>33.729999999999997</v>
      </c>
      <c r="J90" s="458"/>
      <c r="K90" s="436">
        <v>10.8</v>
      </c>
      <c r="L90" s="437"/>
      <c r="M90" s="456">
        <v>5723</v>
      </c>
      <c r="N90" s="437"/>
      <c r="O90" s="457">
        <v>30.4</v>
      </c>
      <c r="P90" s="458"/>
      <c r="Q90" s="436">
        <v>19.3</v>
      </c>
      <c r="R90" s="437"/>
      <c r="S90" s="456">
        <v>4227</v>
      </c>
      <c r="T90" s="437"/>
      <c r="U90" s="457">
        <v>39.5</v>
      </c>
      <c r="V90" s="458"/>
    </row>
    <row r="91" spans="2:22" ht="16" x14ac:dyDescent="0.2">
      <c r="B91" s="438" t="s">
        <v>855</v>
      </c>
      <c r="C91" s="438"/>
      <c r="D91" s="438"/>
      <c r="E91" s="436">
        <v>0.2</v>
      </c>
      <c r="F91" s="437"/>
      <c r="G91" s="456">
        <v>124</v>
      </c>
      <c r="H91" s="437"/>
      <c r="I91" s="466">
        <v>0.56000000000000005</v>
      </c>
      <c r="J91" s="458"/>
      <c r="K91" s="467">
        <v>0.1</v>
      </c>
      <c r="L91" s="437"/>
      <c r="M91" s="456">
        <v>71</v>
      </c>
      <c r="N91" s="437"/>
      <c r="O91" s="466">
        <v>0.38</v>
      </c>
      <c r="P91" s="458"/>
      <c r="Q91" s="467">
        <v>0.6</v>
      </c>
      <c r="R91" s="437"/>
      <c r="S91" s="456">
        <v>124</v>
      </c>
      <c r="T91" s="437"/>
      <c r="U91" s="466">
        <v>1.1599999999999999</v>
      </c>
      <c r="V91" s="458"/>
    </row>
    <row r="92" spans="2:22" ht="16" x14ac:dyDescent="0.2">
      <c r="B92" s="438" t="s">
        <v>856</v>
      </c>
      <c r="C92" s="438"/>
      <c r="D92" s="438"/>
      <c r="E92" s="441">
        <v>0.4</v>
      </c>
      <c r="F92" s="442"/>
      <c r="G92" s="481">
        <v>242</v>
      </c>
      <c r="H92" s="442"/>
      <c r="I92" s="482">
        <v>1.1000000000000001</v>
      </c>
      <c r="J92" s="483"/>
      <c r="K92" s="441">
        <v>0.6</v>
      </c>
      <c r="L92" s="442"/>
      <c r="M92" s="481">
        <v>324</v>
      </c>
      <c r="N92" s="442"/>
      <c r="O92" s="482">
        <v>1.72</v>
      </c>
      <c r="P92" s="483"/>
      <c r="Q92" s="441">
        <v>0.7</v>
      </c>
      <c r="R92" s="442"/>
      <c r="S92" s="481">
        <v>157</v>
      </c>
      <c r="T92" s="442"/>
      <c r="U92" s="482">
        <v>1.47</v>
      </c>
      <c r="V92" s="483"/>
    </row>
    <row r="93" spans="2:22" ht="18" thickBot="1" x14ac:dyDescent="0.25">
      <c r="B93" s="1700" t="s">
        <v>857</v>
      </c>
      <c r="C93" s="1700"/>
      <c r="D93" s="1700"/>
      <c r="E93" s="472">
        <v>13</v>
      </c>
      <c r="F93" s="473" t="s">
        <v>233</v>
      </c>
      <c r="G93" s="474">
        <v>7253</v>
      </c>
      <c r="H93" s="473"/>
      <c r="I93" s="475">
        <v>32.762055138725927</v>
      </c>
      <c r="J93" s="476"/>
      <c r="K93" s="477">
        <v>13.2</v>
      </c>
      <c r="L93" s="473" t="s">
        <v>233</v>
      </c>
      <c r="M93" s="474">
        <v>6978</v>
      </c>
      <c r="N93" s="473"/>
      <c r="O93" s="475">
        <v>37.060775098081052</v>
      </c>
      <c r="P93" s="476"/>
      <c r="Q93" s="477">
        <v>-5.7</v>
      </c>
      <c r="R93" s="473" t="s">
        <v>233</v>
      </c>
      <c r="S93" s="474">
        <v>-1241</v>
      </c>
      <c r="T93" s="473"/>
      <c r="U93" s="475">
        <v>-11.594928862961595</v>
      </c>
      <c r="V93" s="476"/>
    </row>
    <row r="94" spans="2:22" ht="16" x14ac:dyDescent="0.2">
      <c r="B94" s="484"/>
      <c r="C94" s="484"/>
      <c r="D94" s="484"/>
      <c r="E94" s="436"/>
      <c r="F94" s="437"/>
      <c r="G94" s="456"/>
      <c r="H94" s="437"/>
      <c r="I94" s="466"/>
      <c r="J94" s="458"/>
      <c r="K94" s="467"/>
      <c r="L94" s="437"/>
      <c r="M94" s="456"/>
      <c r="N94" s="437"/>
      <c r="O94" s="466"/>
      <c r="P94" s="458"/>
      <c r="Q94" s="467"/>
      <c r="R94" s="437"/>
      <c r="S94" s="456"/>
      <c r="T94" s="437"/>
      <c r="U94" s="466"/>
      <c r="V94" s="458"/>
    </row>
    <row r="95" spans="2:22" ht="16" x14ac:dyDescent="0.2">
      <c r="B95" s="438" t="s">
        <v>858</v>
      </c>
      <c r="C95" s="438"/>
      <c r="D95" s="438"/>
      <c r="E95" s="436">
        <v>2.2000000000000002</v>
      </c>
      <c r="F95" s="437"/>
      <c r="G95" s="456">
        <v>1248</v>
      </c>
      <c r="H95" s="437"/>
      <c r="I95" s="457">
        <v>5.64</v>
      </c>
      <c r="J95" s="458"/>
      <c r="K95" s="436">
        <v>3.4</v>
      </c>
      <c r="L95" s="437"/>
      <c r="M95" s="456">
        <v>1808</v>
      </c>
      <c r="N95" s="437"/>
      <c r="O95" s="457">
        <v>9.6</v>
      </c>
      <c r="P95" s="458"/>
      <c r="Q95" s="436">
        <v>2.7</v>
      </c>
      <c r="R95" s="437"/>
      <c r="S95" s="456">
        <v>589</v>
      </c>
      <c r="T95" s="437"/>
      <c r="U95" s="457">
        <v>5.5</v>
      </c>
      <c r="V95" s="458"/>
    </row>
    <row r="96" spans="2:22" ht="16" x14ac:dyDescent="0.2">
      <c r="B96" s="465"/>
      <c r="C96" s="465"/>
      <c r="D96" s="465"/>
      <c r="E96" s="436"/>
      <c r="F96" s="437"/>
      <c r="G96" s="456"/>
      <c r="H96" s="437"/>
      <c r="I96" s="466"/>
      <c r="J96" s="458"/>
      <c r="K96" s="467"/>
      <c r="L96" s="437"/>
      <c r="M96" s="456"/>
      <c r="N96" s="437"/>
      <c r="O96" s="466"/>
      <c r="P96" s="458"/>
      <c r="Q96" s="467"/>
      <c r="R96" s="437"/>
      <c r="S96" s="456"/>
      <c r="T96" s="437"/>
      <c r="U96" s="466"/>
      <c r="V96" s="458"/>
    </row>
    <row r="97" spans="2:22" ht="21" thickBot="1" x14ac:dyDescent="0.25">
      <c r="B97" s="471" t="s">
        <v>859</v>
      </c>
      <c r="C97" s="465"/>
      <c r="D97" s="465"/>
      <c r="E97" s="436"/>
      <c r="F97" s="437"/>
      <c r="G97" s="456"/>
      <c r="H97" s="437"/>
      <c r="I97" s="466"/>
      <c r="J97" s="458"/>
      <c r="K97" s="467"/>
      <c r="L97" s="437"/>
      <c r="M97" s="456"/>
      <c r="N97" s="437"/>
      <c r="O97" s="466"/>
      <c r="P97" s="458"/>
      <c r="Q97" s="467"/>
      <c r="R97" s="437"/>
      <c r="S97" s="456"/>
      <c r="T97" s="437"/>
      <c r="U97" s="466"/>
      <c r="V97" s="458"/>
    </row>
    <row r="98" spans="2:22" ht="17" x14ac:dyDescent="0.2">
      <c r="B98" s="449" t="s">
        <v>138</v>
      </c>
      <c r="C98" s="449"/>
      <c r="D98" s="449"/>
      <c r="E98" s="450">
        <v>13.6</v>
      </c>
      <c r="F98" s="451" t="s">
        <v>233</v>
      </c>
      <c r="G98" s="452">
        <v>5405.6</v>
      </c>
      <c r="H98" s="451"/>
      <c r="I98" s="470">
        <v>24.42</v>
      </c>
      <c r="J98" s="485"/>
      <c r="K98" s="455">
        <v>12.8</v>
      </c>
      <c r="L98" s="451" t="s">
        <v>233</v>
      </c>
      <c r="M98" s="452">
        <v>4364.5</v>
      </c>
      <c r="N98" s="451"/>
      <c r="O98" s="470">
        <v>23.18</v>
      </c>
      <c r="P98" s="485"/>
      <c r="Q98" s="455">
        <v>18.2</v>
      </c>
      <c r="R98" s="451" t="s">
        <v>233</v>
      </c>
      <c r="S98" s="452">
        <v>2517.9</v>
      </c>
      <c r="T98" s="451"/>
      <c r="U98" s="470">
        <v>22.54</v>
      </c>
      <c r="V98" s="485"/>
    </row>
    <row r="99" spans="2:22" ht="16" x14ac:dyDescent="0.2">
      <c r="B99" s="438" t="s">
        <v>142</v>
      </c>
      <c r="C99" s="438"/>
      <c r="D99" s="438"/>
      <c r="E99" s="436">
        <v>51.5</v>
      </c>
      <c r="F99" s="437"/>
      <c r="G99" s="456">
        <v>7010.8</v>
      </c>
      <c r="H99" s="437"/>
      <c r="I99" s="457">
        <v>31.67</v>
      </c>
      <c r="J99" s="458"/>
      <c r="K99" s="436">
        <v>53</v>
      </c>
      <c r="L99" s="437"/>
      <c r="M99" s="456">
        <v>5807.4</v>
      </c>
      <c r="N99" s="437"/>
      <c r="O99" s="457">
        <v>30.84</v>
      </c>
      <c r="P99" s="458"/>
      <c r="Q99" s="436">
        <v>58.4</v>
      </c>
      <c r="R99" s="437"/>
      <c r="S99" s="456">
        <v>3333.3</v>
      </c>
      <c r="T99" s="437"/>
      <c r="U99" s="457">
        <v>29.84</v>
      </c>
      <c r="V99" s="458"/>
    </row>
    <row r="100" spans="2:22" ht="16" x14ac:dyDescent="0.2">
      <c r="B100" s="438" t="s">
        <v>834</v>
      </c>
      <c r="C100" s="438"/>
      <c r="D100" s="438"/>
      <c r="E100" s="436">
        <v>67.3</v>
      </c>
      <c r="F100" s="437"/>
      <c r="G100" s="456">
        <v>537.1</v>
      </c>
      <c r="H100" s="437"/>
      <c r="I100" s="466">
        <v>2.44</v>
      </c>
      <c r="J100" s="458"/>
      <c r="K100" s="467">
        <v>29.2</v>
      </c>
      <c r="L100" s="437"/>
      <c r="M100" s="456">
        <v>290.3</v>
      </c>
      <c r="N100" s="437"/>
      <c r="O100" s="466">
        <v>1.54</v>
      </c>
      <c r="P100" s="458"/>
      <c r="Q100" s="467">
        <v>43.1</v>
      </c>
      <c r="R100" s="437"/>
      <c r="S100" s="456">
        <v>232.7</v>
      </c>
      <c r="T100" s="437"/>
      <c r="U100" s="466">
        <v>2.36</v>
      </c>
      <c r="V100" s="458"/>
    </row>
    <row r="101" spans="2:22" ht="16" x14ac:dyDescent="0.2">
      <c r="B101" s="438" t="s">
        <v>843</v>
      </c>
      <c r="C101" s="438"/>
      <c r="D101" s="438"/>
      <c r="E101" s="436">
        <v>5</v>
      </c>
      <c r="F101" s="437"/>
      <c r="G101" s="456">
        <v>2785.2</v>
      </c>
      <c r="H101" s="437"/>
      <c r="I101" s="457">
        <v>12.58</v>
      </c>
      <c r="J101" s="458"/>
      <c r="K101" s="436">
        <v>4.3</v>
      </c>
      <c r="L101" s="437"/>
      <c r="M101" s="456">
        <v>2289.5</v>
      </c>
      <c r="N101" s="437"/>
      <c r="O101" s="457">
        <v>12.16</v>
      </c>
      <c r="P101" s="458"/>
      <c r="Q101" s="436">
        <v>6.7</v>
      </c>
      <c r="R101" s="437"/>
      <c r="S101" s="456">
        <v>1534.9</v>
      </c>
      <c r="T101" s="437"/>
      <c r="U101" s="457">
        <v>13.74</v>
      </c>
      <c r="V101" s="458"/>
    </row>
    <row r="102" spans="2:22" ht="16" x14ac:dyDescent="0.2">
      <c r="B102" s="438" t="s">
        <v>860</v>
      </c>
      <c r="C102" s="438"/>
      <c r="D102" s="438"/>
      <c r="E102" s="436">
        <v>0.8</v>
      </c>
      <c r="F102" s="437"/>
      <c r="G102" s="456">
        <v>423.4</v>
      </c>
      <c r="H102" s="437"/>
      <c r="I102" s="457">
        <v>1.83</v>
      </c>
      <c r="J102" s="458"/>
      <c r="K102" s="436">
        <v>0.7</v>
      </c>
      <c r="L102" s="437"/>
      <c r="M102" s="456">
        <v>274.5</v>
      </c>
      <c r="N102" s="437"/>
      <c r="O102" s="457">
        <v>1.52</v>
      </c>
      <c r="P102" s="458"/>
      <c r="Q102" s="436">
        <v>0.9</v>
      </c>
      <c r="R102" s="437"/>
      <c r="S102" s="456">
        <v>178.3</v>
      </c>
      <c r="T102" s="437"/>
      <c r="U102" s="457">
        <v>1.75</v>
      </c>
      <c r="V102" s="458"/>
    </row>
    <row r="103" spans="2:22" ht="16" x14ac:dyDescent="0.2">
      <c r="B103" s="438" t="s">
        <v>861</v>
      </c>
      <c r="C103" s="438"/>
      <c r="D103" s="438"/>
      <c r="E103" s="436">
        <v>3.1</v>
      </c>
      <c r="F103" s="437"/>
      <c r="G103" s="456">
        <v>1714.6</v>
      </c>
      <c r="H103" s="437"/>
      <c r="I103" s="466">
        <v>7.74</v>
      </c>
      <c r="J103" s="458"/>
      <c r="K103" s="467">
        <v>2.1</v>
      </c>
      <c r="L103" s="437"/>
      <c r="M103" s="456">
        <v>1130</v>
      </c>
      <c r="N103" s="437"/>
      <c r="O103" s="466">
        <v>6</v>
      </c>
      <c r="P103" s="458"/>
      <c r="Q103" s="467">
        <v>3.5</v>
      </c>
      <c r="R103" s="437"/>
      <c r="S103" s="456">
        <v>798.6</v>
      </c>
      <c r="T103" s="437"/>
      <c r="U103" s="466">
        <v>7.15</v>
      </c>
      <c r="V103" s="458"/>
    </row>
    <row r="104" spans="2:22" ht="16" x14ac:dyDescent="0.2">
      <c r="B104" s="438" t="s">
        <v>862</v>
      </c>
      <c r="C104" s="438"/>
      <c r="D104" s="438"/>
      <c r="E104" s="436">
        <v>2.2000000000000002</v>
      </c>
      <c r="F104" s="437"/>
      <c r="G104" s="456">
        <v>1089.8</v>
      </c>
      <c r="H104" s="437"/>
      <c r="I104" s="457">
        <v>4.8600000000000003</v>
      </c>
      <c r="J104" s="458"/>
      <c r="K104" s="436">
        <v>1.8</v>
      </c>
      <c r="L104" s="437"/>
      <c r="M104" s="456">
        <v>786.6</v>
      </c>
      <c r="N104" s="437"/>
      <c r="O104" s="457">
        <v>3.99</v>
      </c>
      <c r="P104" s="458"/>
      <c r="Q104" s="436">
        <v>4.4000000000000004</v>
      </c>
      <c r="R104" s="437"/>
      <c r="S104" s="456">
        <v>789.4</v>
      </c>
      <c r="T104" s="437"/>
      <c r="U104" s="457">
        <v>8.5299999999999994</v>
      </c>
      <c r="V104" s="458"/>
    </row>
    <row r="105" spans="2:22" ht="18" thickBot="1" x14ac:dyDescent="0.25">
      <c r="B105" s="1700" t="s">
        <v>863</v>
      </c>
      <c r="C105" s="1700"/>
      <c r="D105" s="1700"/>
      <c r="E105" s="459">
        <v>33.1</v>
      </c>
      <c r="F105" s="460" t="s">
        <v>233</v>
      </c>
      <c r="G105" s="461">
        <v>18419.5</v>
      </c>
      <c r="H105" s="460"/>
      <c r="I105" s="462">
        <v>83.2</v>
      </c>
      <c r="J105" s="463"/>
      <c r="K105" s="459">
        <v>27.5</v>
      </c>
      <c r="L105" s="460" t="s">
        <v>233</v>
      </c>
      <c r="M105" s="461">
        <v>14564.1</v>
      </c>
      <c r="N105" s="460"/>
      <c r="O105" s="462">
        <v>77.349999999999994</v>
      </c>
      <c r="P105" s="463"/>
      <c r="Q105" s="459">
        <v>39.6</v>
      </c>
      <c r="R105" s="460" t="s">
        <v>233</v>
      </c>
      <c r="S105" s="461">
        <v>9051.4</v>
      </c>
      <c r="T105" s="460"/>
      <c r="U105" s="462">
        <v>81.03</v>
      </c>
      <c r="V105" s="463"/>
    </row>
    <row r="106" spans="2:22" ht="16" x14ac:dyDescent="0.2">
      <c r="B106" s="465"/>
      <c r="C106" s="465"/>
      <c r="D106" s="465"/>
      <c r="E106" s="436"/>
      <c r="F106" s="437"/>
      <c r="G106" s="456"/>
      <c r="H106" s="437"/>
      <c r="I106" s="466"/>
      <c r="J106" s="458"/>
      <c r="K106" s="467"/>
      <c r="L106" s="437"/>
      <c r="M106" s="456"/>
      <c r="N106" s="437"/>
      <c r="O106" s="466"/>
      <c r="P106" s="458"/>
      <c r="Q106" s="467"/>
      <c r="R106" s="437"/>
      <c r="S106" s="456"/>
      <c r="T106" s="437"/>
      <c r="U106" s="466"/>
      <c r="V106" s="458"/>
    </row>
    <row r="107" spans="2:22" ht="21" thickBot="1" x14ac:dyDescent="0.25">
      <c r="B107" s="471" t="s">
        <v>864</v>
      </c>
      <c r="C107" s="471"/>
      <c r="D107" s="471"/>
      <c r="E107" s="436"/>
      <c r="F107" s="437"/>
      <c r="G107" s="456"/>
      <c r="H107" s="437"/>
      <c r="I107" s="466"/>
      <c r="J107" s="458"/>
      <c r="K107" s="467"/>
      <c r="L107" s="437"/>
      <c r="M107" s="456"/>
      <c r="N107" s="437"/>
      <c r="O107" s="466"/>
      <c r="P107" s="458"/>
      <c r="Q107" s="467"/>
      <c r="R107" s="437"/>
      <c r="S107" s="456"/>
      <c r="T107" s="437"/>
      <c r="U107" s="466"/>
      <c r="V107" s="458"/>
    </row>
    <row r="108" spans="2:22" ht="17" x14ac:dyDescent="0.2">
      <c r="B108" s="449" t="s">
        <v>865</v>
      </c>
      <c r="C108" s="449"/>
      <c r="D108" s="449"/>
      <c r="E108" s="450">
        <v>28.4</v>
      </c>
      <c r="F108" s="451" t="s">
        <v>233</v>
      </c>
      <c r="G108" s="452">
        <v>2216.1</v>
      </c>
      <c r="H108" s="451"/>
      <c r="I108" s="470">
        <v>10.01</v>
      </c>
      <c r="J108" s="454"/>
      <c r="K108" s="455">
        <v>31.9</v>
      </c>
      <c r="L108" s="451" t="s">
        <v>233</v>
      </c>
      <c r="M108" s="452">
        <v>2046.2</v>
      </c>
      <c r="N108" s="451"/>
      <c r="O108" s="470">
        <v>10.87</v>
      </c>
      <c r="P108" s="454"/>
      <c r="Q108" s="455">
        <v>29.7</v>
      </c>
      <c r="R108" s="451" t="s">
        <v>233</v>
      </c>
      <c r="S108" s="452">
        <v>1047.5</v>
      </c>
      <c r="T108" s="451"/>
      <c r="U108" s="470">
        <v>9.3800000000000008</v>
      </c>
      <c r="V108" s="454"/>
    </row>
    <row r="109" spans="2:22" ht="16" x14ac:dyDescent="0.2">
      <c r="B109" s="438" t="s">
        <v>866</v>
      </c>
      <c r="C109" s="438"/>
      <c r="D109" s="438"/>
      <c r="E109" s="436">
        <v>14.6</v>
      </c>
      <c r="F109" s="437"/>
      <c r="G109" s="456">
        <v>421.4</v>
      </c>
      <c r="H109" s="437"/>
      <c r="I109" s="457">
        <v>1.9</v>
      </c>
      <c r="J109" s="458"/>
      <c r="K109" s="436">
        <v>21.8</v>
      </c>
      <c r="L109" s="437"/>
      <c r="M109" s="456">
        <v>439.6</v>
      </c>
      <c r="N109" s="437"/>
      <c r="O109" s="457">
        <v>2.33</v>
      </c>
      <c r="P109" s="458"/>
      <c r="Q109" s="436">
        <v>30.1</v>
      </c>
      <c r="R109" s="437"/>
      <c r="S109" s="456">
        <v>199.8</v>
      </c>
      <c r="T109" s="437"/>
      <c r="U109" s="457">
        <v>1.79</v>
      </c>
      <c r="V109" s="458"/>
    </row>
    <row r="110" spans="2:22" ht="17" x14ac:dyDescent="0.2">
      <c r="B110" s="1701" t="s">
        <v>867</v>
      </c>
      <c r="C110" s="1701"/>
      <c r="D110" s="1701"/>
      <c r="E110" s="1702">
        <v>19.399999999999999</v>
      </c>
      <c r="F110" s="1703" t="s">
        <v>233</v>
      </c>
      <c r="G110" s="1704">
        <v>2637.5</v>
      </c>
      <c r="H110" s="1703"/>
      <c r="I110" s="1705">
        <v>11.91</v>
      </c>
      <c r="J110" s="1706"/>
      <c r="K110" s="1707">
        <v>22.7</v>
      </c>
      <c r="L110" s="1703" t="s">
        <v>233</v>
      </c>
      <c r="M110" s="1704">
        <v>2485.9</v>
      </c>
      <c r="N110" s="1703"/>
      <c r="O110" s="1705">
        <v>13.2</v>
      </c>
      <c r="P110" s="1706"/>
      <c r="Q110" s="1707">
        <v>21.8</v>
      </c>
      <c r="R110" s="1703" t="s">
        <v>233</v>
      </c>
      <c r="S110" s="1704">
        <v>1247.2</v>
      </c>
      <c r="T110" s="1703"/>
      <c r="U110" s="1705">
        <v>11.17</v>
      </c>
      <c r="V110" s="1706"/>
    </row>
    <row r="111" spans="2:22" ht="16" x14ac:dyDescent="0.2">
      <c r="B111" s="486"/>
      <c r="C111" s="486"/>
      <c r="D111" s="486"/>
      <c r="E111" s="436"/>
      <c r="F111" s="437"/>
      <c r="G111" s="456"/>
      <c r="H111" s="437"/>
      <c r="I111" s="487"/>
      <c r="J111" s="458"/>
      <c r="K111" s="467"/>
      <c r="L111" s="437"/>
      <c r="M111" s="456"/>
      <c r="N111" s="437"/>
      <c r="O111" s="487"/>
      <c r="P111" s="458"/>
      <c r="Q111" s="467"/>
      <c r="R111" s="437"/>
      <c r="S111" s="456"/>
      <c r="T111" s="437"/>
      <c r="U111" s="487"/>
      <c r="V111" s="458"/>
    </row>
    <row r="112" spans="2:22" ht="17" x14ac:dyDescent="0.2">
      <c r="B112" s="1701" t="s">
        <v>868</v>
      </c>
      <c r="C112" s="1701"/>
      <c r="D112" s="1701"/>
      <c r="E112" s="1702">
        <v>51.5</v>
      </c>
      <c r="F112" s="1703" t="s">
        <v>233</v>
      </c>
      <c r="G112" s="1704">
        <v>7010.8</v>
      </c>
      <c r="H112" s="1703"/>
      <c r="I112" s="1705">
        <v>31.67</v>
      </c>
      <c r="J112" s="1706"/>
      <c r="K112" s="1707">
        <v>53</v>
      </c>
      <c r="L112" s="1703" t="s">
        <v>233</v>
      </c>
      <c r="M112" s="1704">
        <v>5807.4</v>
      </c>
      <c r="N112" s="1703"/>
      <c r="O112" s="1705">
        <v>30.84</v>
      </c>
      <c r="P112" s="1706"/>
      <c r="Q112" s="1707">
        <v>58.4</v>
      </c>
      <c r="R112" s="1703" t="s">
        <v>233</v>
      </c>
      <c r="S112" s="1704">
        <v>3333.3</v>
      </c>
      <c r="T112" s="1703"/>
      <c r="U112" s="1705">
        <v>29.84</v>
      </c>
      <c r="V112" s="1706"/>
    </row>
    <row r="113" spans="2:22" ht="16" x14ac:dyDescent="0.2">
      <c r="B113" s="486"/>
      <c r="C113" s="486"/>
      <c r="D113" s="486"/>
      <c r="E113" s="436"/>
      <c r="F113" s="437"/>
      <c r="G113" s="456"/>
      <c r="H113" s="437"/>
      <c r="I113" s="487"/>
      <c r="J113" s="458"/>
      <c r="K113" s="467"/>
      <c r="L113" s="437"/>
      <c r="M113" s="456"/>
      <c r="N113" s="437"/>
      <c r="O113" s="487"/>
      <c r="P113" s="458"/>
      <c r="Q113" s="467"/>
      <c r="R113" s="437"/>
      <c r="S113" s="456"/>
      <c r="T113" s="437"/>
      <c r="U113" s="487"/>
      <c r="V113" s="458"/>
    </row>
    <row r="114" spans="2:22" ht="18" thickBot="1" x14ac:dyDescent="0.25">
      <c r="B114" s="1700" t="s">
        <v>869</v>
      </c>
      <c r="C114" s="1700"/>
      <c r="D114" s="1700"/>
      <c r="E114" s="459">
        <v>11</v>
      </c>
      <c r="F114" s="460" t="s">
        <v>233</v>
      </c>
      <c r="G114" s="461">
        <v>1500.4</v>
      </c>
      <c r="H114" s="460"/>
      <c r="I114" s="488">
        <v>6.78</v>
      </c>
      <c r="J114" s="463"/>
      <c r="K114" s="464">
        <v>12.2</v>
      </c>
      <c r="L114" s="460" t="s">
        <v>233</v>
      </c>
      <c r="M114" s="461">
        <v>1331.8</v>
      </c>
      <c r="N114" s="460"/>
      <c r="O114" s="488">
        <v>7.07</v>
      </c>
      <c r="P114" s="463"/>
      <c r="Q114" s="464">
        <v>13.3</v>
      </c>
      <c r="R114" s="460" t="s">
        <v>233</v>
      </c>
      <c r="S114" s="461">
        <v>760.7</v>
      </c>
      <c r="T114" s="460"/>
      <c r="U114" s="488">
        <v>6.81</v>
      </c>
      <c r="V114" s="463"/>
    </row>
    <row r="115" spans="2:22" ht="16" x14ac:dyDescent="0.2">
      <c r="B115" s="465"/>
      <c r="C115" s="465"/>
      <c r="D115" s="465"/>
      <c r="E115" s="489"/>
      <c r="F115" s="489"/>
      <c r="G115" s="490"/>
      <c r="H115" s="489"/>
      <c r="I115" s="491"/>
      <c r="J115" s="492"/>
      <c r="K115" s="465"/>
      <c r="L115" s="465"/>
      <c r="M115" s="465"/>
      <c r="N115" s="465"/>
      <c r="O115" s="465"/>
      <c r="P115" s="465"/>
      <c r="Q115" s="465"/>
      <c r="R115" s="465"/>
      <c r="S115" s="465"/>
      <c r="T115" s="465"/>
      <c r="U115" s="465"/>
      <c r="V115" s="465"/>
    </row>
    <row r="116" spans="2:22" ht="20" x14ac:dyDescent="0.2">
      <c r="B116" s="493" t="s">
        <v>870</v>
      </c>
      <c r="C116" s="465"/>
      <c r="D116" s="465"/>
      <c r="E116" s="494"/>
      <c r="F116" s="494"/>
      <c r="G116" s="495"/>
      <c r="H116" s="494"/>
      <c r="I116" s="496"/>
      <c r="J116" s="465"/>
      <c r="K116" s="465"/>
      <c r="L116" s="465"/>
      <c r="M116" s="465"/>
      <c r="N116" s="465"/>
      <c r="O116" s="465"/>
      <c r="P116" s="465"/>
      <c r="Q116" s="465"/>
      <c r="R116" s="465"/>
      <c r="S116" s="465"/>
      <c r="T116" s="465"/>
      <c r="U116" s="465"/>
      <c r="V116" s="465"/>
    </row>
    <row r="117" spans="2:22" ht="20" x14ac:dyDescent="0.2">
      <c r="B117" s="493" t="s">
        <v>871</v>
      </c>
      <c r="C117" s="465"/>
      <c r="D117" s="465"/>
      <c r="E117" s="494"/>
      <c r="F117" s="494"/>
      <c r="G117" s="495"/>
      <c r="H117" s="494"/>
      <c r="I117" s="496"/>
      <c r="J117" s="465"/>
      <c r="K117" s="465"/>
      <c r="L117" s="465"/>
      <c r="M117" s="465"/>
      <c r="N117" s="465"/>
      <c r="O117" s="465"/>
      <c r="P117" s="465"/>
      <c r="Q117" s="465"/>
      <c r="R117" s="465"/>
      <c r="S117" s="465"/>
      <c r="T117" s="465"/>
      <c r="U117" s="465"/>
      <c r="V117" s="465"/>
    </row>
    <row r="118" spans="2:22" ht="20" x14ac:dyDescent="0.2">
      <c r="B118" s="493" t="s">
        <v>872</v>
      </c>
      <c r="C118" s="465"/>
      <c r="D118" s="465"/>
      <c r="E118" s="494"/>
      <c r="F118" s="494"/>
      <c r="G118" s="495"/>
      <c r="H118" s="494"/>
      <c r="I118" s="496"/>
      <c r="J118" s="465"/>
      <c r="K118" s="465"/>
      <c r="L118" s="465"/>
      <c r="M118" s="465"/>
      <c r="N118" s="465"/>
      <c r="O118" s="465"/>
      <c r="P118" s="465"/>
      <c r="Q118" s="465"/>
      <c r="R118" s="465"/>
      <c r="S118" s="465"/>
      <c r="T118" s="465"/>
      <c r="U118" s="465"/>
      <c r="V118" s="465"/>
    </row>
    <row r="119" spans="2:22" ht="16" x14ac:dyDescent="0.2">
      <c r="B119" s="497" t="s">
        <v>873</v>
      </c>
      <c r="C119" s="465"/>
      <c r="D119" s="465"/>
      <c r="E119" s="494"/>
      <c r="F119" s="494"/>
      <c r="G119" s="495"/>
      <c r="H119" s="494"/>
      <c r="I119" s="496"/>
      <c r="J119" s="465"/>
      <c r="K119" s="465"/>
      <c r="L119" s="465"/>
      <c r="M119" s="465"/>
      <c r="N119" s="465"/>
      <c r="O119" s="465"/>
      <c r="P119" s="465"/>
      <c r="Q119" s="465"/>
      <c r="R119" s="465"/>
      <c r="S119" s="465"/>
      <c r="T119" s="465"/>
      <c r="U119" s="465"/>
      <c r="V119" s="465"/>
    </row>
    <row r="120" spans="2:22" ht="16" x14ac:dyDescent="0.2">
      <c r="B120" s="497"/>
      <c r="C120" s="465"/>
      <c r="D120" s="465"/>
      <c r="E120" s="494"/>
      <c r="F120" s="494"/>
      <c r="G120" s="495"/>
      <c r="H120" s="494"/>
      <c r="I120" s="496"/>
      <c r="J120" s="465"/>
      <c r="K120" s="465"/>
      <c r="L120" s="465"/>
      <c r="M120" s="465"/>
      <c r="N120" s="465"/>
      <c r="O120" s="465"/>
      <c r="P120" s="465"/>
      <c r="Q120" s="465"/>
      <c r="R120" s="465"/>
      <c r="S120" s="465"/>
      <c r="T120" s="465"/>
      <c r="U120" s="465"/>
      <c r="V120" s="465"/>
    </row>
    <row r="121" spans="2:22" ht="16" x14ac:dyDescent="0.2">
      <c r="B121" s="471" t="s">
        <v>874</v>
      </c>
      <c r="C121" s="465"/>
      <c r="D121" s="465"/>
      <c r="E121" s="465"/>
      <c r="F121" s="465"/>
      <c r="G121" s="496"/>
      <c r="H121" s="465"/>
      <c r="I121" s="496"/>
      <c r="J121" s="465"/>
      <c r="K121" s="465"/>
      <c r="L121" s="465"/>
      <c r="M121" s="465"/>
      <c r="N121" s="465"/>
      <c r="O121" s="465"/>
      <c r="P121" s="465"/>
      <c r="Q121" s="465"/>
      <c r="R121" s="465"/>
      <c r="S121" s="465"/>
      <c r="T121" s="465"/>
      <c r="U121" s="465"/>
      <c r="V121" s="465"/>
    </row>
    <row r="122" spans="2:22" ht="16" x14ac:dyDescent="0.2">
      <c r="B122" s="498" t="s">
        <v>875</v>
      </c>
      <c r="C122" s="465"/>
      <c r="D122" s="465"/>
      <c r="E122" s="465"/>
      <c r="F122" s="465"/>
      <c r="G122" s="496"/>
      <c r="H122" s="465"/>
      <c r="I122" s="496"/>
      <c r="J122" s="465"/>
      <c r="K122" s="465"/>
      <c r="L122" s="465"/>
      <c r="M122" s="465"/>
      <c r="N122" s="465"/>
      <c r="O122" s="465"/>
      <c r="P122" s="465"/>
      <c r="Q122" s="465"/>
      <c r="R122" s="465"/>
      <c r="S122" s="465"/>
      <c r="T122" s="465"/>
      <c r="U122" s="465"/>
      <c r="V122" s="465"/>
    </row>
    <row r="123" spans="2:22" ht="16" x14ac:dyDescent="0.2">
      <c r="B123" s="498" t="s">
        <v>876</v>
      </c>
      <c r="C123" s="465"/>
      <c r="D123" s="465"/>
      <c r="E123" s="465"/>
      <c r="F123" s="465"/>
      <c r="G123" s="496"/>
      <c r="H123" s="465"/>
      <c r="I123" s="496"/>
      <c r="J123" s="465"/>
      <c r="K123" s="465"/>
      <c r="L123" s="465"/>
      <c r="M123" s="465"/>
      <c r="N123" s="465"/>
      <c r="O123" s="465"/>
      <c r="P123" s="465"/>
      <c r="Q123" s="465"/>
      <c r="R123" s="465"/>
      <c r="S123" s="465"/>
      <c r="T123" s="465"/>
      <c r="U123" s="465"/>
      <c r="V123" s="465"/>
    </row>
    <row r="124" spans="2:22" ht="16" x14ac:dyDescent="0.2">
      <c r="B124" s="498" t="s">
        <v>877</v>
      </c>
      <c r="C124" s="465"/>
      <c r="D124" s="465"/>
      <c r="E124" s="465"/>
      <c r="F124" s="465"/>
      <c r="G124" s="496"/>
      <c r="H124" s="465"/>
      <c r="I124" s="496"/>
      <c r="J124" s="465"/>
      <c r="K124" s="465"/>
      <c r="L124" s="465"/>
      <c r="M124" s="465"/>
      <c r="N124" s="465"/>
      <c r="O124" s="465"/>
      <c r="P124" s="465"/>
      <c r="Q124" s="465"/>
      <c r="R124" s="465"/>
      <c r="S124" s="465"/>
      <c r="T124" s="465"/>
      <c r="U124" s="465"/>
      <c r="V124" s="465"/>
    </row>
    <row r="125" spans="2:22" ht="16" x14ac:dyDescent="0.2">
      <c r="B125" s="498" t="s">
        <v>878</v>
      </c>
      <c r="C125" s="465"/>
      <c r="D125" s="465"/>
      <c r="E125" s="465"/>
      <c r="F125" s="465"/>
      <c r="G125" s="496"/>
      <c r="H125" s="465"/>
      <c r="I125" s="496"/>
      <c r="J125" s="465"/>
      <c r="K125" s="465"/>
      <c r="L125" s="465"/>
      <c r="M125" s="465"/>
      <c r="N125" s="465"/>
      <c r="O125" s="465"/>
      <c r="P125" s="465"/>
      <c r="Q125" s="465"/>
      <c r="R125" s="465"/>
      <c r="S125" s="465"/>
      <c r="T125" s="465"/>
      <c r="U125" s="465"/>
      <c r="V125" s="465"/>
    </row>
    <row r="126" spans="2:22" ht="16" x14ac:dyDescent="0.2">
      <c r="B126" s="421"/>
      <c r="C126" s="412"/>
      <c r="D126" s="412"/>
      <c r="E126" s="412"/>
      <c r="F126" s="412"/>
      <c r="G126" s="424"/>
      <c r="H126" s="412"/>
      <c r="I126" s="424"/>
      <c r="J126" s="412"/>
      <c r="K126" s="412"/>
      <c r="L126" s="412"/>
      <c r="M126" s="412"/>
      <c r="N126" s="412"/>
      <c r="O126" s="412"/>
      <c r="P126" s="412"/>
      <c r="Q126" s="412"/>
      <c r="R126" s="412"/>
      <c r="S126" s="412"/>
      <c r="T126" s="412"/>
      <c r="U126" s="412"/>
      <c r="V126" s="412"/>
    </row>
    <row r="127" spans="2:22" ht="16" x14ac:dyDescent="0.2">
      <c r="B127" s="400"/>
      <c r="C127" s="400"/>
      <c r="D127" s="400"/>
      <c r="E127" s="400"/>
      <c r="F127" s="400"/>
      <c r="G127" s="418"/>
      <c r="H127" s="400"/>
      <c r="I127" s="418"/>
      <c r="J127" s="400"/>
      <c r="K127" s="400"/>
      <c r="L127" s="400"/>
      <c r="M127" s="400"/>
      <c r="N127" s="400"/>
      <c r="O127" s="400"/>
      <c r="P127" s="400"/>
      <c r="Q127" s="400"/>
      <c r="R127" s="400"/>
      <c r="S127" s="400"/>
      <c r="T127" s="400"/>
      <c r="U127" s="400"/>
      <c r="V127" s="400"/>
    </row>
    <row r="128" spans="2:22" ht="16" x14ac:dyDescent="0.2">
      <c r="B128" s="1583"/>
      <c r="C128" s="1583"/>
      <c r="D128" s="1583"/>
      <c r="E128" s="1583"/>
      <c r="F128" s="1583"/>
      <c r="G128" s="1583"/>
      <c r="H128" s="1583"/>
      <c r="I128" s="1583"/>
      <c r="J128" s="1583"/>
      <c r="K128" s="1583"/>
      <c r="L128" s="1583"/>
      <c r="M128" s="1583"/>
      <c r="N128" s="1583"/>
      <c r="O128" s="1583"/>
      <c r="P128" s="1583"/>
      <c r="Q128" s="1583"/>
      <c r="R128" s="1583"/>
      <c r="S128" s="1583"/>
      <c r="T128" s="1583"/>
      <c r="U128"/>
      <c r="V128"/>
    </row>
    <row r="129" spans="2:22" ht="16" x14ac:dyDescent="0.2">
      <c r="B129"/>
      <c r="C129"/>
      <c r="D129"/>
      <c r="E129"/>
      <c r="F129"/>
      <c r="G129"/>
      <c r="H129"/>
      <c r="I129"/>
      <c r="J129"/>
      <c r="K129"/>
      <c r="L129"/>
      <c r="M129"/>
      <c r="N129"/>
      <c r="O129"/>
      <c r="P129"/>
      <c r="Q129"/>
      <c r="R129"/>
      <c r="S129"/>
      <c r="T129"/>
      <c r="U129"/>
      <c r="V129"/>
    </row>
    <row r="130" spans="2:22" ht="16" x14ac:dyDescent="0.2">
      <c r="B130" s="1583"/>
      <c r="C130" s="1583"/>
      <c r="D130" s="1583"/>
      <c r="E130" s="1583"/>
      <c r="F130" s="1583"/>
      <c r="G130" s="1583"/>
      <c r="H130" s="1583"/>
      <c r="I130" s="1583"/>
      <c r="J130" s="1583"/>
      <c r="K130" s="1583"/>
      <c r="L130" s="1583"/>
      <c r="M130" s="1583"/>
      <c r="N130" s="1583"/>
      <c r="O130" s="1583"/>
      <c r="P130" s="1583"/>
      <c r="Q130" s="1583"/>
      <c r="R130" s="1583"/>
      <c r="S130" s="1583"/>
      <c r="T130" s="1583"/>
      <c r="U130"/>
      <c r="V130"/>
    </row>
    <row r="131" spans="2:22" x14ac:dyDescent="0.15">
      <c r="B131" s="380"/>
      <c r="C131" s="143"/>
      <c r="D131" s="143"/>
      <c r="E131" s="381"/>
      <c r="F131" s="143"/>
      <c r="G131" s="381"/>
      <c r="H131" s="143"/>
      <c r="I131" s="382"/>
      <c r="J131" s="143"/>
      <c r="K131" s="382"/>
      <c r="L131" s="143"/>
      <c r="M131" s="382"/>
      <c r="N131" s="143"/>
    </row>
    <row r="132" spans="2:22" x14ac:dyDescent="0.15">
      <c r="B132" s="380"/>
      <c r="C132" s="143"/>
      <c r="D132" s="143"/>
      <c r="E132" s="381"/>
      <c r="F132" s="143"/>
      <c r="G132" s="381"/>
      <c r="H132" s="143"/>
      <c r="I132" s="382"/>
      <c r="J132" s="143"/>
      <c r="K132" s="382"/>
      <c r="L132" s="143"/>
      <c r="M132" s="382"/>
      <c r="N132" s="143"/>
    </row>
    <row r="133" spans="2:22" x14ac:dyDescent="0.15">
      <c r="B133" s="380"/>
      <c r="C133" s="143"/>
      <c r="D133" s="143"/>
      <c r="E133" s="381"/>
      <c r="F133" s="143"/>
      <c r="G133" s="381"/>
      <c r="H133" s="143"/>
      <c r="I133" s="382"/>
      <c r="J133" s="143"/>
      <c r="K133" s="382"/>
      <c r="L133" s="143"/>
      <c r="M133" s="382"/>
      <c r="N133" s="143"/>
    </row>
    <row r="134" spans="2:22" x14ac:dyDescent="0.15">
      <c r="B134" s="380"/>
      <c r="C134" s="143"/>
      <c r="D134" s="143"/>
      <c r="E134" s="381"/>
      <c r="F134" s="143"/>
      <c r="G134" s="381"/>
      <c r="H134" s="143"/>
      <c r="I134" s="382"/>
      <c r="J134" s="143"/>
      <c r="K134" s="382"/>
      <c r="L134" s="143"/>
      <c r="M134" s="382"/>
      <c r="N134" s="143"/>
    </row>
    <row r="135" spans="2:22" x14ac:dyDescent="0.15">
      <c r="B135" s="380"/>
      <c r="C135" s="143"/>
      <c r="D135" s="143"/>
      <c r="E135" s="381"/>
      <c r="F135" s="143"/>
      <c r="G135" s="381"/>
      <c r="H135" s="143"/>
      <c r="I135" s="382"/>
      <c r="J135" s="143"/>
      <c r="K135" s="382"/>
      <c r="L135" s="143"/>
      <c r="M135" s="382"/>
      <c r="N135" s="143"/>
    </row>
    <row r="136" spans="2:22" x14ac:dyDescent="0.15">
      <c r="B136" s="380"/>
      <c r="C136" s="143"/>
      <c r="D136" s="143"/>
      <c r="E136" s="381"/>
      <c r="F136" s="143"/>
      <c r="G136" s="381"/>
      <c r="H136" s="143"/>
      <c r="I136" s="382"/>
      <c r="J136" s="143"/>
      <c r="K136" s="382"/>
      <c r="L136" s="143"/>
      <c r="M136" s="382"/>
      <c r="N136" s="143"/>
    </row>
    <row r="137" spans="2:22" x14ac:dyDescent="0.15">
      <c r="B137" s="380"/>
      <c r="C137" s="143"/>
      <c r="D137" s="143"/>
      <c r="E137" s="381"/>
      <c r="F137" s="143"/>
      <c r="G137" s="381"/>
      <c r="H137" s="143"/>
      <c r="I137" s="382"/>
      <c r="J137" s="143"/>
      <c r="K137" s="382"/>
      <c r="L137" s="143"/>
      <c r="M137" s="382"/>
      <c r="N137" s="143"/>
    </row>
    <row r="138" spans="2:22" x14ac:dyDescent="0.15">
      <c r="B138" s="380"/>
      <c r="C138" s="143"/>
      <c r="D138" s="143"/>
      <c r="E138" s="381"/>
      <c r="F138" s="143"/>
      <c r="G138" s="381"/>
      <c r="H138" s="143"/>
      <c r="I138" s="382"/>
      <c r="J138" s="143"/>
      <c r="K138" s="382"/>
      <c r="L138" s="143"/>
      <c r="M138" s="382"/>
      <c r="N138" s="143"/>
    </row>
    <row r="139" spans="2:22" x14ac:dyDescent="0.15">
      <c r="B139" s="380"/>
      <c r="C139" s="143"/>
      <c r="D139" s="143"/>
      <c r="E139" s="381"/>
      <c r="F139" s="143"/>
      <c r="G139" s="381"/>
      <c r="H139" s="143"/>
      <c r="I139" s="382"/>
      <c r="J139" s="143"/>
      <c r="K139" s="382"/>
      <c r="L139" s="143"/>
      <c r="M139" s="382"/>
      <c r="N139" s="143"/>
    </row>
    <row r="140" spans="2:22" x14ac:dyDescent="0.15">
      <c r="B140" s="383"/>
      <c r="C140" s="384"/>
      <c r="D140" s="384"/>
      <c r="E140" s="385"/>
      <c r="F140" s="384"/>
      <c r="G140" s="385"/>
      <c r="H140" s="384"/>
      <c r="I140" s="386"/>
      <c r="J140" s="384"/>
      <c r="K140" s="386"/>
      <c r="L140" s="384"/>
      <c r="M140" s="386"/>
      <c r="N140" s="384"/>
    </row>
    <row r="141" spans="2:22" x14ac:dyDescent="0.15">
      <c r="B141" s="380"/>
      <c r="C141" s="143"/>
      <c r="D141" s="143"/>
      <c r="E141" s="381"/>
      <c r="F141" s="143"/>
      <c r="G141" s="381"/>
      <c r="H141" s="143"/>
      <c r="I141" s="382"/>
      <c r="J141" s="143"/>
      <c r="K141" s="382"/>
      <c r="L141" s="143"/>
      <c r="M141" s="382"/>
      <c r="N141" s="143"/>
    </row>
    <row r="142" spans="2:22" x14ac:dyDescent="0.15">
      <c r="B142" s="380"/>
      <c r="C142" s="143"/>
      <c r="D142" s="143"/>
      <c r="E142" s="381"/>
      <c r="F142" s="143"/>
      <c r="G142" s="381"/>
      <c r="H142" s="143"/>
      <c r="I142" s="382"/>
      <c r="J142" s="143"/>
      <c r="K142" s="382"/>
      <c r="L142" s="143"/>
      <c r="M142" s="382"/>
      <c r="N142" s="143"/>
    </row>
    <row r="143" spans="2:22" x14ac:dyDescent="0.15">
      <c r="B143" s="380"/>
      <c r="C143" s="143"/>
      <c r="D143" s="143"/>
      <c r="E143" s="381"/>
      <c r="F143" s="143"/>
      <c r="G143" s="381"/>
      <c r="H143" s="143"/>
      <c r="I143" s="382"/>
      <c r="J143" s="143"/>
      <c r="K143" s="382"/>
      <c r="L143" s="143"/>
      <c r="M143" s="382"/>
      <c r="N143" s="143"/>
    </row>
    <row r="144" spans="2:22" x14ac:dyDescent="0.15">
      <c r="B144" s="380"/>
      <c r="C144" s="143"/>
      <c r="D144" s="143"/>
      <c r="E144" s="381"/>
      <c r="F144" s="143"/>
      <c r="G144" s="381"/>
      <c r="H144" s="143"/>
      <c r="I144" s="382"/>
      <c r="J144" s="143"/>
      <c r="K144" s="382"/>
      <c r="L144" s="143"/>
      <c r="M144" s="382"/>
      <c r="N144" s="143"/>
    </row>
    <row r="145" spans="2:85" x14ac:dyDescent="0.15">
      <c r="B145" s="380"/>
      <c r="C145" s="143"/>
      <c r="D145" s="143"/>
      <c r="E145" s="381"/>
      <c r="F145" s="143"/>
      <c r="G145" s="381"/>
      <c r="H145" s="143"/>
      <c r="I145" s="382"/>
      <c r="J145" s="143"/>
      <c r="K145" s="382"/>
      <c r="L145" s="143"/>
      <c r="M145" s="382"/>
      <c r="N145" s="143"/>
    </row>
    <row r="146" spans="2:85" x14ac:dyDescent="0.15">
      <c r="B146" s="380"/>
      <c r="C146" s="143"/>
      <c r="D146" s="143"/>
      <c r="E146" s="381"/>
      <c r="F146" s="143"/>
      <c r="G146" s="381"/>
      <c r="H146" s="143"/>
      <c r="I146" s="382"/>
      <c r="J146" s="143"/>
      <c r="K146" s="382"/>
      <c r="L146" s="143"/>
      <c r="M146" s="382"/>
      <c r="N146" s="143"/>
    </row>
    <row r="147" spans="2:85" x14ac:dyDescent="0.15">
      <c r="B147" s="380"/>
      <c r="C147" s="143"/>
      <c r="D147" s="143"/>
      <c r="E147" s="381"/>
      <c r="F147" s="143"/>
      <c r="G147" s="381"/>
      <c r="H147" s="143"/>
      <c r="I147" s="382"/>
      <c r="J147" s="143"/>
      <c r="K147" s="382"/>
      <c r="L147" s="143"/>
      <c r="M147" s="382"/>
      <c r="N147" s="143"/>
    </row>
    <row r="148" spans="2:85" x14ac:dyDescent="0.15">
      <c r="B148" s="380"/>
      <c r="C148" s="143"/>
      <c r="D148" s="143"/>
      <c r="E148" s="381"/>
      <c r="F148" s="143"/>
      <c r="G148" s="381"/>
      <c r="H148" s="143"/>
      <c r="I148" s="382"/>
      <c r="J148" s="143"/>
      <c r="K148" s="382"/>
      <c r="L148" s="143"/>
      <c r="M148" s="382"/>
      <c r="N148" s="143"/>
    </row>
    <row r="150" spans="2:85" ht="50" customHeight="1" x14ac:dyDescent="0.15"/>
    <row r="153" spans="2:85" ht="14" x14ac:dyDescent="0.15">
      <c r="B153" s="127"/>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c r="AA153" s="127"/>
      <c r="AB153" s="127"/>
      <c r="AC153" s="127"/>
      <c r="AD153" s="127"/>
      <c r="AE153" s="127"/>
      <c r="AF153" s="127"/>
      <c r="AG153" s="127"/>
      <c r="AH153" s="127"/>
      <c r="AI153" s="127"/>
      <c r="AJ153" s="127"/>
      <c r="AK153" s="127"/>
      <c r="AL153" s="127"/>
      <c r="AM153" s="127"/>
      <c r="AN153" s="127"/>
      <c r="AO153" s="127"/>
      <c r="AP153" s="127"/>
      <c r="AQ153" s="127"/>
      <c r="AR153" s="127"/>
      <c r="AS153" s="127"/>
      <c r="AT153" s="127"/>
      <c r="AU153" s="127"/>
      <c r="AV153" s="127"/>
      <c r="AW153" s="127"/>
      <c r="AX153" s="127"/>
      <c r="AY153" s="127"/>
      <c r="AZ153" s="127"/>
      <c r="BA153" s="127"/>
      <c r="BB153" s="127"/>
      <c r="BC153" s="127"/>
      <c r="BD153" s="127"/>
      <c r="BE153" s="127"/>
      <c r="BF153" s="127"/>
      <c r="BG153" s="127"/>
      <c r="BH153" s="127"/>
      <c r="BI153" s="127"/>
      <c r="BJ153" s="127"/>
      <c r="BK153" s="127"/>
      <c r="BL153" s="127"/>
      <c r="BM153" s="127"/>
      <c r="BN153" s="127"/>
      <c r="BO153" s="127"/>
      <c r="BP153" s="127"/>
      <c r="BQ153" s="127"/>
      <c r="BR153" s="127"/>
      <c r="BS153" s="127"/>
      <c r="BT153" s="127"/>
      <c r="BU153" s="127"/>
      <c r="BV153" s="127"/>
      <c r="BW153" s="127"/>
      <c r="BX153" s="127"/>
      <c r="BY153" s="127"/>
      <c r="BZ153" s="127"/>
      <c r="CA153" s="127"/>
      <c r="CB153" s="127"/>
      <c r="CC153" s="127"/>
      <c r="CD153" s="127"/>
      <c r="CE153" s="127"/>
      <c r="CF153" s="127"/>
      <c r="CG153" s="127"/>
    </row>
    <row r="154" spans="2:85" ht="14" x14ac:dyDescent="0.15">
      <c r="B154" s="128"/>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c r="AA154" s="128"/>
      <c r="AB154" s="128"/>
      <c r="AC154" s="128"/>
      <c r="AD154" s="128"/>
      <c r="AE154" s="128"/>
      <c r="AF154" s="128"/>
      <c r="AG154" s="128"/>
      <c r="AH154" s="128"/>
      <c r="AI154" s="128"/>
      <c r="AJ154" s="128"/>
      <c r="AK154" s="128"/>
      <c r="AL154" s="128"/>
      <c r="AM154" s="128"/>
      <c r="AN154" s="128"/>
      <c r="AO154" s="128"/>
      <c r="AP154" s="128"/>
      <c r="AQ154" s="128"/>
      <c r="AR154" s="128"/>
      <c r="AS154" s="128"/>
      <c r="AT154" s="128"/>
      <c r="AU154" s="128"/>
      <c r="AV154" s="128"/>
      <c r="AW154" s="128"/>
      <c r="AX154" s="128"/>
      <c r="AY154" s="128"/>
      <c r="AZ154" s="128"/>
      <c r="BA154" s="128"/>
      <c r="BB154" s="128"/>
      <c r="BC154" s="128"/>
      <c r="BD154" s="128"/>
      <c r="BE154" s="128"/>
      <c r="BF154" s="128"/>
      <c r="BG154" s="128"/>
      <c r="BH154" s="128"/>
      <c r="BI154" s="128"/>
      <c r="BJ154" s="128"/>
      <c r="BK154" s="128"/>
      <c r="BL154" s="128"/>
      <c r="BM154" s="128"/>
      <c r="BN154" s="128"/>
      <c r="BO154" s="128"/>
      <c r="BP154" s="128"/>
      <c r="BQ154" s="128"/>
      <c r="BR154" s="128"/>
      <c r="BS154" s="128"/>
      <c r="BT154" s="128"/>
      <c r="BU154" s="128"/>
      <c r="BV154" s="128"/>
      <c r="BW154" s="128"/>
      <c r="BX154" s="128"/>
      <c r="BY154" s="128"/>
      <c r="BZ154" s="128"/>
      <c r="CA154" s="128"/>
      <c r="CB154" s="128"/>
      <c r="CC154" s="128"/>
      <c r="CD154" s="128"/>
      <c r="CE154" s="128"/>
      <c r="CF154" s="128"/>
      <c r="CG154" s="128"/>
    </row>
    <row r="155" spans="2:85" ht="16" x14ac:dyDescent="0.2">
      <c r="B155" s="128"/>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c r="AA155" s="128"/>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row>
  </sheetData>
  <mergeCells count="1">
    <mergeCell ref="A1:E1"/>
  </mergeCells>
  <printOptions gridLinesSet="0"/>
  <pageMargins left="0" right="0" top="0" bottom="0" header="0.5" footer="0.5"/>
  <pageSetup paperSize="0" fitToHeight="0" orientation="landscape" horizontalDpi="0" verticalDpi="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9CA5C-2905-FD4C-B839-20041664E7C7}">
  <sheetPr>
    <tabColor rgb="FFFFC000"/>
  </sheetPr>
  <dimension ref="A1:CV135"/>
  <sheetViews>
    <sheetView showGridLines="0" zoomScale="84" workbookViewId="0">
      <selection activeCell="F18" sqref="F18"/>
    </sheetView>
  </sheetViews>
  <sheetFormatPr baseColWidth="10" defaultColWidth="11" defaultRowHeight="16" x14ac:dyDescent="0.2"/>
  <cols>
    <col min="1" max="1" width="25.6640625" bestFit="1" customWidth="1"/>
    <col min="2" max="2" width="17.1640625" customWidth="1"/>
    <col min="3" max="3" width="16" customWidth="1"/>
    <col min="4" max="4" width="16.6640625" customWidth="1"/>
    <col min="14" max="14" width="20.33203125" bestFit="1" customWidth="1"/>
    <col min="15" max="15" width="15.6640625" bestFit="1" customWidth="1"/>
    <col min="16" max="25" width="14" bestFit="1" customWidth="1"/>
    <col min="26" max="26" width="15" bestFit="1" customWidth="1"/>
  </cols>
  <sheetData>
    <row r="1" spans="1:26" ht="35" thickBot="1" x14ac:dyDescent="0.25">
      <c r="A1" s="1900" t="s">
        <v>879</v>
      </c>
      <c r="B1" s="1936"/>
      <c r="C1" s="1936"/>
      <c r="D1" s="1936"/>
      <c r="E1" s="1901"/>
    </row>
    <row r="3" spans="1:26" ht="17" thickBot="1" x14ac:dyDescent="0.25"/>
    <row r="4" spans="1:26" ht="19" x14ac:dyDescent="0.25">
      <c r="A4" s="1491"/>
      <c r="B4" s="1565">
        <v>2026</v>
      </c>
      <c r="C4" s="1566">
        <v>2027</v>
      </c>
      <c r="D4" s="1566">
        <v>2028</v>
      </c>
      <c r="E4" s="1566">
        <v>2029</v>
      </c>
      <c r="F4" s="1566">
        <v>2030</v>
      </c>
      <c r="G4" s="1566">
        <v>2031</v>
      </c>
      <c r="H4" s="1566">
        <v>2032</v>
      </c>
      <c r="I4" s="1566">
        <v>2033</v>
      </c>
      <c r="J4" s="1566">
        <v>2034</v>
      </c>
      <c r="K4" s="1566">
        <v>2035</v>
      </c>
      <c r="L4" s="1592" t="s">
        <v>682</v>
      </c>
      <c r="N4" s="1491" t="s">
        <v>880</v>
      </c>
      <c r="O4" s="152"/>
      <c r="P4" s="152"/>
      <c r="Q4" s="152"/>
      <c r="R4" s="152"/>
      <c r="S4" s="152"/>
      <c r="T4" s="152"/>
      <c r="U4" s="152"/>
      <c r="V4" s="152"/>
      <c r="W4" s="152"/>
      <c r="X4" s="154"/>
    </row>
    <row r="5" spans="1:26" x14ac:dyDescent="0.2">
      <c r="A5" s="1562" t="s">
        <v>881</v>
      </c>
      <c r="B5" s="204">
        <v>2246678.4631292666</v>
      </c>
      <c r="C5" s="204">
        <v>2526467.0326686092</v>
      </c>
      <c r="D5" s="204">
        <v>2777202.8800657718</v>
      </c>
      <c r="E5" s="204">
        <v>3516944.6119435211</v>
      </c>
      <c r="F5" s="204">
        <v>3722151.5168315037</v>
      </c>
      <c r="G5" s="204">
        <v>3747986.2577490052</v>
      </c>
      <c r="H5" s="204">
        <v>3778166.808273939</v>
      </c>
      <c r="I5" s="204">
        <v>3781851.4937010705</v>
      </c>
      <c r="J5" s="204">
        <v>3798647.5078895036</v>
      </c>
      <c r="K5" s="204">
        <v>3815345.058885579</v>
      </c>
      <c r="L5" s="1590">
        <f>SUM(B5:K5)</f>
        <v>33711441.631137773</v>
      </c>
      <c r="N5" s="52"/>
      <c r="X5" s="144"/>
    </row>
    <row r="6" spans="1:26" x14ac:dyDescent="0.2">
      <c r="A6" s="1562" t="s">
        <v>882</v>
      </c>
      <c r="B6" s="204">
        <v>1844673.285322939</v>
      </c>
      <c r="C6" s="204">
        <v>1845766.909889899</v>
      </c>
      <c r="D6" s="204">
        <v>1855662.4893640154</v>
      </c>
      <c r="E6" s="204">
        <v>1847011.0857509119</v>
      </c>
      <c r="F6" s="204">
        <v>1847141.3680777424</v>
      </c>
      <c r="G6" s="204">
        <v>1840520.0468761446</v>
      </c>
      <c r="H6" s="204">
        <v>1842842.7794254897</v>
      </c>
      <c r="I6" s="204">
        <v>1825824.8053231493</v>
      </c>
      <c r="J6" s="204">
        <v>1817724.8114724997</v>
      </c>
      <c r="K6" s="204">
        <v>1809105.3553734429</v>
      </c>
      <c r="L6" s="1590">
        <f>SUM(B6:K6)</f>
        <v>18376272.936876237</v>
      </c>
      <c r="N6" s="52"/>
      <c r="X6" s="144"/>
      <c r="Y6" s="1594"/>
      <c r="Z6" s="1594"/>
    </row>
    <row r="7" spans="1:26" x14ac:dyDescent="0.2">
      <c r="A7" s="52"/>
      <c r="L7" s="1593">
        <f>L5-L6</f>
        <v>15335168.694261536</v>
      </c>
      <c r="N7" s="52"/>
      <c r="X7" s="144"/>
      <c r="Y7" s="1594"/>
      <c r="Z7" s="1594"/>
    </row>
    <row r="8" spans="1:26" x14ac:dyDescent="0.2">
      <c r="A8" s="52"/>
      <c r="L8" s="144"/>
      <c r="N8" s="52"/>
      <c r="X8" s="144"/>
      <c r="Y8" s="1594"/>
      <c r="Z8" s="1594"/>
    </row>
    <row r="9" spans="1:26" x14ac:dyDescent="0.2">
      <c r="A9" s="1562" t="s">
        <v>883</v>
      </c>
      <c r="B9" s="204">
        <v>1543913.7503006863</v>
      </c>
      <c r="C9" s="204">
        <v>1770470.1329690199</v>
      </c>
      <c r="D9" s="204">
        <v>1956711.2368456507</v>
      </c>
      <c r="E9" s="204">
        <v>2546363.4652525028</v>
      </c>
      <c r="F9" s="204">
        <v>2705809.3400330381</v>
      </c>
      <c r="G9" s="204">
        <v>2721493.9291204736</v>
      </c>
      <c r="H9" s="204">
        <v>2740548.7494552881</v>
      </c>
      <c r="I9" s="204">
        <v>2738275.4475251948</v>
      </c>
      <c r="J9" s="204">
        <v>2746387.3820961909</v>
      </c>
      <c r="K9" s="204">
        <v>2754304.2838253365</v>
      </c>
      <c r="L9" s="1590">
        <f>SUM(B9:K9)</f>
        <v>24224277.717423383</v>
      </c>
      <c r="N9" s="52"/>
      <c r="X9" s="144"/>
      <c r="Y9" s="1594"/>
      <c r="Z9" s="1594"/>
    </row>
    <row r="10" spans="1:26" x14ac:dyDescent="0.2">
      <c r="A10" s="1562" t="s">
        <v>884</v>
      </c>
      <c r="B10" s="204">
        <v>1544754.2870320673</v>
      </c>
      <c r="C10" s="204">
        <v>1543862.1665493797</v>
      </c>
      <c r="D10" s="204">
        <v>1551040.1875566253</v>
      </c>
      <c r="E10" s="204">
        <v>1541074.6981392328</v>
      </c>
      <c r="F10" s="204">
        <v>1539158.6695333601</v>
      </c>
      <c r="G10" s="204">
        <v>1530968.6087182206</v>
      </c>
      <c r="H10" s="204">
        <v>1530978.7921389891</v>
      </c>
      <c r="I10" s="204">
        <v>1513098.0419653577</v>
      </c>
      <c r="J10" s="204">
        <v>1503391.2599024349</v>
      </c>
      <c r="K10" s="204">
        <v>1493152.1287435722</v>
      </c>
      <c r="L10" s="1590">
        <f>SUM(B10:K10)</f>
        <v>15291478.84027924</v>
      </c>
      <c r="N10" s="52"/>
      <c r="X10" s="144"/>
      <c r="Y10" s="1594"/>
      <c r="Z10" s="1595"/>
    </row>
    <row r="11" spans="1:26" x14ac:dyDescent="0.2">
      <c r="A11" s="52"/>
      <c r="L11" s="1593">
        <f>L9-L10</f>
        <v>8932798.877144143</v>
      </c>
      <c r="N11" s="52"/>
      <c r="X11" s="144"/>
    </row>
    <row r="12" spans="1:26" x14ac:dyDescent="0.2">
      <c r="A12" s="52"/>
      <c r="L12" s="144"/>
      <c r="N12" s="52"/>
      <c r="X12" s="144"/>
    </row>
    <row r="13" spans="1:26" x14ac:dyDescent="0.2">
      <c r="A13" s="52"/>
      <c r="L13" s="144"/>
      <c r="N13" s="52"/>
      <c r="X13" s="144"/>
    </row>
    <row r="14" spans="1:26" x14ac:dyDescent="0.2">
      <c r="A14" s="52"/>
      <c r="L14" s="144"/>
      <c r="N14" s="52"/>
      <c r="X14" s="144"/>
    </row>
    <row r="15" spans="1:26" x14ac:dyDescent="0.2">
      <c r="A15" s="52"/>
      <c r="L15" s="144"/>
      <c r="N15" s="52"/>
      <c r="X15" s="144"/>
    </row>
    <row r="16" spans="1:26" x14ac:dyDescent="0.2">
      <c r="A16" s="52"/>
      <c r="L16" s="144"/>
      <c r="N16" s="52"/>
      <c r="X16" s="144"/>
    </row>
    <row r="17" spans="1:24" x14ac:dyDescent="0.2">
      <c r="A17" s="52"/>
      <c r="L17" s="144"/>
      <c r="N17" s="52"/>
      <c r="X17" s="144"/>
    </row>
    <row r="18" spans="1:24" x14ac:dyDescent="0.2">
      <c r="A18" s="52"/>
      <c r="L18" s="144"/>
      <c r="N18" s="52"/>
      <c r="X18" s="144"/>
    </row>
    <row r="19" spans="1:24" x14ac:dyDescent="0.2">
      <c r="A19" s="52"/>
      <c r="L19" s="144"/>
      <c r="N19" s="52"/>
      <c r="X19" s="144"/>
    </row>
    <row r="20" spans="1:24" x14ac:dyDescent="0.2">
      <c r="A20" s="52"/>
      <c r="L20" s="144"/>
      <c r="N20" s="52"/>
      <c r="X20" s="144"/>
    </row>
    <row r="21" spans="1:24" x14ac:dyDescent="0.2">
      <c r="A21" s="52"/>
      <c r="L21" s="144"/>
      <c r="N21" s="52"/>
      <c r="X21" s="144"/>
    </row>
    <row r="22" spans="1:24" x14ac:dyDescent="0.2">
      <c r="A22" s="52"/>
      <c r="L22" s="144"/>
      <c r="N22" s="52"/>
      <c r="X22" s="144"/>
    </row>
    <row r="23" spans="1:24" x14ac:dyDescent="0.2">
      <c r="A23" s="52"/>
      <c r="L23" s="144"/>
      <c r="N23" s="52"/>
      <c r="X23" s="144"/>
    </row>
    <row r="24" spans="1:24" ht="17" thickBot="1" x14ac:dyDescent="0.25">
      <c r="A24" s="1492"/>
      <c r="B24" s="1563"/>
      <c r="C24" s="1563"/>
      <c r="D24" s="1563"/>
      <c r="E24" s="1563"/>
      <c r="F24" s="1563"/>
      <c r="G24" s="1563"/>
      <c r="H24" s="1563"/>
      <c r="I24" s="1563"/>
      <c r="J24" s="1563"/>
      <c r="K24" s="1563"/>
      <c r="L24" s="1564"/>
      <c r="N24" s="52"/>
      <c r="X24" s="144"/>
    </row>
    <row r="25" spans="1:24" x14ac:dyDescent="0.2">
      <c r="N25" s="52"/>
      <c r="X25" s="144"/>
    </row>
    <row r="26" spans="1:24" ht="17" thickBot="1" x14ac:dyDescent="0.25">
      <c r="N26" s="52"/>
      <c r="X26" s="144"/>
    </row>
    <row r="27" spans="1:24" ht="19" x14ac:dyDescent="0.25">
      <c r="A27" s="1491"/>
      <c r="B27" s="1565">
        <v>2026</v>
      </c>
      <c r="C27" s="1566">
        <v>2027</v>
      </c>
      <c r="D27" s="1566">
        <v>2028</v>
      </c>
      <c r="E27" s="1566">
        <v>2029</v>
      </c>
      <c r="F27" s="1566">
        <v>2030</v>
      </c>
      <c r="G27" s="1566">
        <v>2031</v>
      </c>
      <c r="H27" s="1566">
        <v>2032</v>
      </c>
      <c r="I27" s="1566">
        <v>2033</v>
      </c>
      <c r="J27" s="1566">
        <v>2034</v>
      </c>
      <c r="K27" s="1571">
        <v>2035</v>
      </c>
      <c r="N27" s="52"/>
      <c r="X27" s="144"/>
    </row>
    <row r="28" spans="1:24" x14ac:dyDescent="0.2">
      <c r="A28" s="1567" t="s">
        <v>885</v>
      </c>
      <c r="B28" s="1568">
        <v>0.40622869831473613</v>
      </c>
      <c r="C28" s="1568">
        <v>0.66792440146988252</v>
      </c>
      <c r="D28" s="1568">
        <v>0.38852625845696048</v>
      </c>
      <c r="E28" s="1568">
        <v>0.5649069579829763</v>
      </c>
      <c r="F28" s="1568">
        <v>0.47699075796396362</v>
      </c>
      <c r="G28" s="1568">
        <v>0.20388146387510253</v>
      </c>
      <c r="H28" s="1568">
        <v>0.22204194235505492</v>
      </c>
      <c r="I28" s="1568">
        <v>3.9782004210069513E-2</v>
      </c>
      <c r="J28" s="1568">
        <v>0.14376463693212443</v>
      </c>
      <c r="K28" s="1569">
        <v>0.14081785683500075</v>
      </c>
      <c r="N28" s="52"/>
      <c r="X28" s="144"/>
    </row>
    <row r="29" spans="1:24" x14ac:dyDescent="0.2">
      <c r="A29" s="1570" t="s">
        <v>886</v>
      </c>
      <c r="B29" s="712">
        <v>2.8914745800627077E-2</v>
      </c>
      <c r="C29" s="712">
        <v>2.2029506097050469E-2</v>
      </c>
      <c r="D29" s="712">
        <v>0.14565396983728771</v>
      </c>
      <c r="E29" s="712">
        <v>-0.26334364422372269</v>
      </c>
      <c r="F29" s="712">
        <v>2.5466770420550793E-3</v>
      </c>
      <c r="G29" s="712">
        <v>-0.16883161856667933</v>
      </c>
      <c r="H29" s="712">
        <v>4.0176141914438114E-2</v>
      </c>
      <c r="I29" s="712">
        <v>-0.78898683765669997</v>
      </c>
      <c r="J29" s="712">
        <v>-0.20164434338710432</v>
      </c>
      <c r="K29" s="908">
        <v>-0.21286877381663211</v>
      </c>
      <c r="N29" s="52"/>
      <c r="X29" s="144"/>
    </row>
    <row r="30" spans="1:24" ht="17" thickBot="1" x14ac:dyDescent="0.25">
      <c r="A30" s="52"/>
      <c r="K30" s="144"/>
      <c r="N30" s="1492"/>
      <c r="O30" s="1563"/>
      <c r="P30" s="1563"/>
      <c r="Q30" s="1563"/>
      <c r="R30" s="1563"/>
      <c r="S30" s="1563"/>
      <c r="T30" s="1563"/>
      <c r="U30" s="1563"/>
      <c r="V30" s="1563"/>
      <c r="W30" s="1563"/>
      <c r="X30" s="1564"/>
    </row>
    <row r="31" spans="1:24" x14ac:dyDescent="0.2">
      <c r="A31" s="52"/>
      <c r="K31" s="144"/>
    </row>
    <row r="32" spans="1:24" x14ac:dyDescent="0.2">
      <c r="A32" s="52"/>
      <c r="K32" s="144"/>
    </row>
    <row r="33" spans="1:99" ht="17" thickBot="1" x14ac:dyDescent="0.25">
      <c r="A33" s="52"/>
      <c r="K33" s="144"/>
    </row>
    <row r="34" spans="1:99" x14ac:dyDescent="0.2">
      <c r="A34" s="52"/>
      <c r="K34" s="144"/>
      <c r="O34" s="1596" t="s">
        <v>131</v>
      </c>
      <c r="P34" s="1597">
        <v>43374</v>
      </c>
      <c r="Q34" s="1597">
        <v>43405</v>
      </c>
      <c r="R34" s="1597">
        <v>43435</v>
      </c>
      <c r="S34" s="1597">
        <v>43466</v>
      </c>
      <c r="T34" s="1597">
        <v>43497</v>
      </c>
      <c r="U34" s="1597">
        <v>43525</v>
      </c>
      <c r="V34" s="1597">
        <v>43556</v>
      </c>
      <c r="W34" s="1597">
        <v>43586</v>
      </c>
      <c r="X34" s="1597">
        <v>43617</v>
      </c>
      <c r="Y34" s="1597">
        <v>43647</v>
      </c>
      <c r="Z34" s="1597">
        <v>43678</v>
      </c>
      <c r="AA34" s="1597">
        <v>43709</v>
      </c>
      <c r="AB34" s="1597">
        <v>43739</v>
      </c>
      <c r="AC34" s="1597">
        <v>43770</v>
      </c>
      <c r="AD34" s="1597">
        <v>43800</v>
      </c>
      <c r="AE34" s="1597">
        <v>43831</v>
      </c>
      <c r="AF34" s="1597">
        <v>43862</v>
      </c>
      <c r="AG34" s="1597">
        <v>43891</v>
      </c>
      <c r="AH34" s="1597">
        <v>43922</v>
      </c>
      <c r="AI34" s="1597">
        <v>43952</v>
      </c>
      <c r="AJ34" s="1597">
        <v>43983</v>
      </c>
      <c r="AK34" s="1597">
        <v>44013</v>
      </c>
      <c r="AL34" s="1597">
        <v>44044</v>
      </c>
      <c r="AM34" s="1597">
        <v>44075</v>
      </c>
      <c r="AN34" s="1597">
        <v>44105</v>
      </c>
      <c r="AO34" s="1597">
        <v>44136</v>
      </c>
      <c r="AP34" s="1597">
        <v>44166</v>
      </c>
      <c r="AQ34" s="1597">
        <v>44197</v>
      </c>
      <c r="AR34" s="1597">
        <v>44228</v>
      </c>
      <c r="AS34" s="1597">
        <v>44256</v>
      </c>
      <c r="AT34" s="1597">
        <v>44287</v>
      </c>
      <c r="AU34" s="1597">
        <v>44317</v>
      </c>
      <c r="AV34" s="1597">
        <v>44348</v>
      </c>
      <c r="AW34" s="1597">
        <v>44378</v>
      </c>
      <c r="AX34" s="1597">
        <v>44409</v>
      </c>
      <c r="AY34" s="1597">
        <v>44440</v>
      </c>
      <c r="AZ34" s="1597">
        <v>44470</v>
      </c>
      <c r="BA34" s="1597">
        <v>44501</v>
      </c>
      <c r="BB34" s="1597">
        <v>44531</v>
      </c>
      <c r="BC34" s="1597">
        <v>44562</v>
      </c>
      <c r="BD34" s="1597">
        <v>44593</v>
      </c>
      <c r="BE34" s="1597">
        <v>44621</v>
      </c>
      <c r="BF34" s="1597">
        <v>44652</v>
      </c>
      <c r="BG34" s="1597">
        <v>44682</v>
      </c>
      <c r="BH34" s="1597">
        <v>44713</v>
      </c>
      <c r="BI34" s="1597">
        <v>44743</v>
      </c>
      <c r="BJ34" s="1597">
        <v>44774</v>
      </c>
      <c r="BK34" s="1597">
        <v>44805</v>
      </c>
      <c r="BL34" s="1597">
        <v>44835</v>
      </c>
      <c r="BM34" s="1597">
        <v>44866</v>
      </c>
      <c r="BN34" s="1597">
        <v>44896</v>
      </c>
      <c r="BO34" s="1597">
        <v>44927</v>
      </c>
      <c r="BP34" s="1597">
        <v>44958</v>
      </c>
      <c r="BQ34" s="1597">
        <v>44986</v>
      </c>
      <c r="BR34" s="1597">
        <v>45017</v>
      </c>
      <c r="BS34" s="1597">
        <v>45047</v>
      </c>
      <c r="BT34" s="1597">
        <v>45078</v>
      </c>
      <c r="BU34" s="1597">
        <v>45108</v>
      </c>
      <c r="BV34" s="1597">
        <v>45139</v>
      </c>
      <c r="BW34" s="1597">
        <v>45170</v>
      </c>
      <c r="BX34" s="1597">
        <v>45200</v>
      </c>
      <c r="BY34" s="1597">
        <v>45231</v>
      </c>
      <c r="BZ34" s="1597">
        <v>45261</v>
      </c>
      <c r="CA34" s="1597">
        <v>45292</v>
      </c>
      <c r="CB34" s="1597">
        <v>45323</v>
      </c>
      <c r="CC34" s="1597">
        <v>45352</v>
      </c>
      <c r="CD34" s="1597">
        <v>45383</v>
      </c>
      <c r="CE34" s="1597">
        <v>45413</v>
      </c>
      <c r="CF34" s="1597">
        <v>45444</v>
      </c>
      <c r="CG34" s="1597">
        <v>45474</v>
      </c>
      <c r="CH34" s="1597">
        <v>45505</v>
      </c>
      <c r="CI34" s="1597">
        <v>45536</v>
      </c>
      <c r="CJ34" s="1597">
        <v>45566</v>
      </c>
      <c r="CK34" s="1597">
        <v>45597</v>
      </c>
      <c r="CL34" s="1597">
        <v>45627</v>
      </c>
      <c r="CM34" s="1597">
        <v>45658</v>
      </c>
      <c r="CN34" s="1597">
        <v>45689</v>
      </c>
      <c r="CO34" s="1597">
        <v>45717</v>
      </c>
      <c r="CP34" s="1597">
        <v>45748</v>
      </c>
      <c r="CQ34" s="1597">
        <v>45778</v>
      </c>
      <c r="CR34" s="1597">
        <v>45809</v>
      </c>
      <c r="CS34" s="1597">
        <v>45839</v>
      </c>
      <c r="CT34" s="1597">
        <v>45870</v>
      </c>
      <c r="CU34" s="1598">
        <v>45901</v>
      </c>
    </row>
    <row r="35" spans="1:99" x14ac:dyDescent="0.2">
      <c r="A35" s="52"/>
      <c r="K35" s="144"/>
      <c r="O35" s="1599" t="s">
        <v>887</v>
      </c>
      <c r="P35" s="128">
        <v>154.77000000000001</v>
      </c>
      <c r="Q35" s="128">
        <v>148.91</v>
      </c>
      <c r="R35" s="128">
        <v>128.97</v>
      </c>
      <c r="S35" s="128">
        <v>144.16999999999999</v>
      </c>
      <c r="T35" s="128">
        <v>143.47999999999999</v>
      </c>
      <c r="U35" s="128">
        <v>147.88999999999999</v>
      </c>
      <c r="V35" s="128">
        <v>119.49</v>
      </c>
      <c r="W35" s="128">
        <v>147.21</v>
      </c>
      <c r="X35" s="128">
        <v>122.79</v>
      </c>
      <c r="Y35" s="128">
        <v>105.99</v>
      </c>
      <c r="Z35" s="128">
        <v>102.69</v>
      </c>
      <c r="AA35" s="128">
        <v>148.02000000000001</v>
      </c>
      <c r="AB35" s="128">
        <v>139.91999999999999</v>
      </c>
      <c r="AC35" s="128">
        <v>160.71</v>
      </c>
      <c r="AD35" s="128">
        <v>111.56</v>
      </c>
      <c r="AE35" s="128">
        <v>134.79</v>
      </c>
      <c r="AF35" s="128">
        <v>134.9</v>
      </c>
      <c r="AG35" s="128">
        <v>123.39</v>
      </c>
      <c r="AH35" s="128">
        <v>121.81</v>
      </c>
      <c r="AI35" s="128">
        <v>118.27</v>
      </c>
      <c r="AJ35" s="128">
        <v>109.09</v>
      </c>
      <c r="AK35" s="128">
        <v>105.82</v>
      </c>
      <c r="AL35" s="128">
        <v>93.64</v>
      </c>
      <c r="AM35" s="128">
        <v>105.57</v>
      </c>
      <c r="AN35" s="128">
        <v>111.25</v>
      </c>
      <c r="AO35" s="128">
        <v>105.23</v>
      </c>
      <c r="AP35" s="128">
        <v>96.8</v>
      </c>
      <c r="AQ35" s="128">
        <v>102.05</v>
      </c>
      <c r="AR35" s="128">
        <v>100.88</v>
      </c>
      <c r="AS35" s="128">
        <v>100.49</v>
      </c>
      <c r="AT35" s="128">
        <v>102.13</v>
      </c>
      <c r="AU35" s="128">
        <v>105.1</v>
      </c>
      <c r="AV35" s="128">
        <v>103.13</v>
      </c>
      <c r="AW35" s="128">
        <v>102.24</v>
      </c>
      <c r="AX35" s="128">
        <v>104.79</v>
      </c>
      <c r="AY35" s="128">
        <v>117.78</v>
      </c>
      <c r="AZ35" s="128">
        <v>118.26</v>
      </c>
      <c r="BA35" s="128">
        <v>122.33</v>
      </c>
      <c r="BB35" s="128">
        <v>107.79</v>
      </c>
      <c r="BC35" s="128">
        <v>107.59</v>
      </c>
      <c r="BD35" s="128">
        <v>111.45</v>
      </c>
      <c r="BE35" s="128">
        <v>115.99</v>
      </c>
      <c r="BF35" s="128">
        <v>116.64</v>
      </c>
      <c r="BG35" s="128">
        <v>149.32</v>
      </c>
      <c r="BH35" s="128">
        <v>154.5</v>
      </c>
      <c r="BI35" s="128">
        <v>145.97999999999999</v>
      </c>
      <c r="BJ35" s="128">
        <v>145.87</v>
      </c>
      <c r="BK35" s="128">
        <v>169.86</v>
      </c>
      <c r="BL35" s="128">
        <v>182.85</v>
      </c>
      <c r="BM35" s="128">
        <v>170.56</v>
      </c>
      <c r="BN35" s="128">
        <v>133.31</v>
      </c>
      <c r="BO35" s="128">
        <v>143.72</v>
      </c>
      <c r="BP35" s="128">
        <v>168.16</v>
      </c>
      <c r="BQ35" s="128">
        <v>162.09</v>
      </c>
      <c r="BR35" s="128">
        <v>132.12</v>
      </c>
      <c r="BS35" s="128">
        <v>143.11000000000001</v>
      </c>
      <c r="BT35" s="128">
        <v>169.28</v>
      </c>
      <c r="BU35" s="128">
        <v>130.76</v>
      </c>
      <c r="BV35" s="128">
        <v>123.17</v>
      </c>
      <c r="BW35" s="128">
        <v>141.65</v>
      </c>
      <c r="BX35" s="128">
        <v>155.55000000000001</v>
      </c>
      <c r="BY35" s="128">
        <v>163.84</v>
      </c>
      <c r="BZ35" s="128">
        <v>127.28</v>
      </c>
      <c r="CA35" s="128">
        <v>181.78</v>
      </c>
      <c r="CB35" s="128">
        <v>135.18</v>
      </c>
      <c r="CC35" s="128">
        <v>163.26</v>
      </c>
      <c r="CD35" s="128">
        <v>145.22999999999999</v>
      </c>
      <c r="CE35" s="128">
        <v>138.21</v>
      </c>
      <c r="CF35" s="128">
        <v>181.52</v>
      </c>
      <c r="CG35" s="128">
        <v>137.47999999999999</v>
      </c>
      <c r="CH35" s="128">
        <v>117.43</v>
      </c>
      <c r="CI35" s="128">
        <v>169.92</v>
      </c>
      <c r="CJ35" s="128">
        <v>149.88</v>
      </c>
      <c r="CK35" s="128">
        <v>151.69999999999999</v>
      </c>
      <c r="CL35" s="128">
        <v>125.72</v>
      </c>
      <c r="CM35" s="128">
        <v>142.82</v>
      </c>
      <c r="CN35" s="128">
        <v>167.08</v>
      </c>
      <c r="CO35" s="128">
        <v>159.78</v>
      </c>
      <c r="CP35" s="128">
        <v>127.01</v>
      </c>
      <c r="CQ35" s="128">
        <v>160.1</v>
      </c>
      <c r="CR35" s="128">
        <v>142.63</v>
      </c>
      <c r="CS35" s="128">
        <v>123.79</v>
      </c>
      <c r="CT35" s="128">
        <v>113.52</v>
      </c>
      <c r="CU35" s="1600">
        <v>150.82</v>
      </c>
    </row>
    <row r="36" spans="1:99" x14ac:dyDescent="0.2">
      <c r="A36" s="52"/>
      <c r="K36" s="144"/>
      <c r="O36" s="1599" t="s">
        <v>888</v>
      </c>
      <c r="P36" s="128">
        <v>181.95</v>
      </c>
      <c r="Q36" s="128">
        <v>158.04</v>
      </c>
      <c r="R36" s="128">
        <v>150.88</v>
      </c>
      <c r="S36" s="128">
        <v>125.01</v>
      </c>
      <c r="T36" s="128">
        <v>125.71</v>
      </c>
      <c r="U36" s="128">
        <v>128.88999999999999</v>
      </c>
      <c r="V36" s="128">
        <v>132.29</v>
      </c>
      <c r="W36" s="128">
        <v>128.94999999999999</v>
      </c>
      <c r="X36" s="128">
        <v>127.12</v>
      </c>
      <c r="Y36" s="128">
        <v>114.74</v>
      </c>
      <c r="Z36" s="128">
        <v>111.44</v>
      </c>
      <c r="AA36" s="128">
        <v>150.69999999999999</v>
      </c>
      <c r="AB36" s="128">
        <v>146.13999999999999</v>
      </c>
      <c r="AC36" s="128">
        <v>133.62</v>
      </c>
      <c r="AD36" s="128">
        <v>120.41</v>
      </c>
      <c r="AE36" s="128">
        <v>119.68</v>
      </c>
      <c r="AF36" s="128">
        <v>127.56</v>
      </c>
      <c r="AG36" s="128">
        <v>126.16</v>
      </c>
      <c r="AH36" s="128">
        <v>105.72</v>
      </c>
      <c r="AI36" s="128">
        <v>110.86</v>
      </c>
      <c r="AJ36" s="128">
        <v>106.61</v>
      </c>
      <c r="AK36" s="128">
        <v>104.91</v>
      </c>
      <c r="AL36" s="128">
        <v>101.62</v>
      </c>
      <c r="AM36" s="128">
        <v>106.84</v>
      </c>
      <c r="AN36" s="128">
        <v>107.39</v>
      </c>
      <c r="AO36" s="128">
        <v>100</v>
      </c>
      <c r="AP36" s="128">
        <v>99.35</v>
      </c>
      <c r="AQ36" s="128">
        <v>96.58</v>
      </c>
      <c r="AR36" s="128">
        <v>96.13</v>
      </c>
      <c r="AS36" s="128">
        <v>96.88</v>
      </c>
      <c r="AT36" s="128">
        <v>97.37</v>
      </c>
      <c r="AU36" s="128">
        <v>102.92</v>
      </c>
      <c r="AV36" s="128">
        <v>103.44</v>
      </c>
      <c r="AW36" s="128">
        <v>104.32</v>
      </c>
      <c r="AX36" s="128">
        <v>105.49</v>
      </c>
      <c r="AY36" s="128">
        <v>120.43</v>
      </c>
      <c r="AZ36" s="128">
        <v>123.17</v>
      </c>
      <c r="BA36" s="128">
        <v>120.33</v>
      </c>
      <c r="BB36" s="128">
        <v>115.21</v>
      </c>
      <c r="BC36" s="128">
        <v>109.13</v>
      </c>
      <c r="BD36" s="128">
        <v>119.24</v>
      </c>
      <c r="BE36" s="128">
        <v>110.1</v>
      </c>
      <c r="BF36" s="128">
        <v>117.14</v>
      </c>
      <c r="BG36" s="128">
        <v>135.9</v>
      </c>
      <c r="BH36" s="128">
        <v>147.94</v>
      </c>
      <c r="BI36" s="128">
        <v>132.81</v>
      </c>
      <c r="BJ36" s="128">
        <v>132.37</v>
      </c>
      <c r="BK36" s="128">
        <v>180.13</v>
      </c>
      <c r="BL36" s="128">
        <v>169.7</v>
      </c>
      <c r="BM36" s="128">
        <v>144.61000000000001</v>
      </c>
      <c r="BN36" s="128">
        <v>135.34</v>
      </c>
      <c r="BO36" s="128">
        <v>123.48</v>
      </c>
      <c r="BP36" s="128">
        <v>144.46</v>
      </c>
      <c r="BQ36" s="128">
        <v>140.41</v>
      </c>
      <c r="BR36" s="128">
        <v>141.11000000000001</v>
      </c>
      <c r="BS36" s="128">
        <v>155.38</v>
      </c>
      <c r="BT36" s="128">
        <v>162.51</v>
      </c>
      <c r="BU36" s="128">
        <v>136.78</v>
      </c>
      <c r="BV36" s="128">
        <v>131.03</v>
      </c>
      <c r="BW36" s="128">
        <v>176.32</v>
      </c>
      <c r="BX36" s="128">
        <v>159.88</v>
      </c>
      <c r="BY36" s="128">
        <v>146.32</v>
      </c>
      <c r="BZ36" s="128">
        <v>140.97</v>
      </c>
      <c r="CA36" s="128">
        <v>136.22</v>
      </c>
      <c r="CB36" s="128">
        <v>137.91999999999999</v>
      </c>
      <c r="CC36" s="128">
        <v>141.26</v>
      </c>
      <c r="CD36" s="128">
        <v>144.47999999999999</v>
      </c>
      <c r="CE36" s="128">
        <v>153.08000000000001</v>
      </c>
      <c r="CF36" s="128">
        <v>181.71</v>
      </c>
      <c r="CG36" s="128">
        <v>155.97999999999999</v>
      </c>
      <c r="CH36" s="128">
        <v>142.47999999999999</v>
      </c>
      <c r="CI36" s="128">
        <v>183.9</v>
      </c>
      <c r="CJ36" s="128">
        <v>155.69</v>
      </c>
      <c r="CK36" s="128">
        <v>145.69999999999999</v>
      </c>
      <c r="CL36" s="128">
        <v>140.41999999999999</v>
      </c>
      <c r="CM36" s="128">
        <v>128.19999999999999</v>
      </c>
      <c r="CN36" s="128">
        <v>140.9</v>
      </c>
      <c r="CO36" s="128">
        <v>138.72999999999999</v>
      </c>
      <c r="CP36" s="128">
        <v>147.09</v>
      </c>
      <c r="CQ36" s="128">
        <v>161.69999999999999</v>
      </c>
      <c r="CR36" s="128">
        <v>154.5</v>
      </c>
      <c r="CS36" s="128">
        <v>131.91999999999999</v>
      </c>
      <c r="CT36" s="128">
        <v>123.75</v>
      </c>
      <c r="CU36" s="1600">
        <v>180.76</v>
      </c>
    </row>
    <row r="37" spans="1:99" x14ac:dyDescent="0.2">
      <c r="A37" s="52"/>
      <c r="K37" s="144"/>
      <c r="O37" s="1601" t="s">
        <v>131</v>
      </c>
      <c r="P37" s="1602" t="s">
        <v>889</v>
      </c>
      <c r="Q37" s="1602" t="s">
        <v>890</v>
      </c>
      <c r="R37" s="1602" t="s">
        <v>891</v>
      </c>
      <c r="S37" s="1602" t="s">
        <v>892</v>
      </c>
      <c r="T37" s="1602" t="s">
        <v>893</v>
      </c>
      <c r="U37" s="1602" t="s">
        <v>894</v>
      </c>
      <c r="V37" s="1602" t="s">
        <v>895</v>
      </c>
      <c r="W37" s="1602" t="s">
        <v>654</v>
      </c>
      <c r="X37" s="1602" t="s">
        <v>896</v>
      </c>
      <c r="Y37" s="1602" t="s">
        <v>897</v>
      </c>
      <c r="Z37" s="1602" t="s">
        <v>898</v>
      </c>
      <c r="AA37" s="1602" t="s">
        <v>899</v>
      </c>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c r="BY37" s="124"/>
      <c r="BZ37" s="124"/>
      <c r="CA37" s="124"/>
      <c r="CB37" s="124"/>
      <c r="CC37" s="124"/>
      <c r="CD37" s="124"/>
      <c r="CE37" s="124"/>
      <c r="CF37" s="124"/>
      <c r="CG37" s="124"/>
      <c r="CH37" s="124"/>
      <c r="CI37" s="124"/>
      <c r="CJ37" s="124"/>
      <c r="CK37" s="124"/>
      <c r="CL37" s="124"/>
      <c r="CM37" s="124"/>
      <c r="CN37" s="124"/>
      <c r="CO37" s="124"/>
      <c r="CP37" s="124"/>
      <c r="CQ37" s="124"/>
      <c r="CR37" s="124"/>
      <c r="CS37" s="124"/>
      <c r="CT37" s="124"/>
      <c r="CU37" s="1603"/>
    </row>
    <row r="38" spans="1:99" x14ac:dyDescent="0.2">
      <c r="A38" s="52"/>
      <c r="K38" s="144"/>
      <c r="O38" s="1599" t="s">
        <v>887</v>
      </c>
      <c r="P38" s="124">
        <f t="shared" ref="P38:AA39" si="0">AVERAGE(P35,AB35,AN35,AZ35,BL35,BX35,CJ35)</f>
        <v>144.64000000000001</v>
      </c>
      <c r="Q38" s="124">
        <f t="shared" si="0"/>
        <v>146.18285714285713</v>
      </c>
      <c r="R38" s="124">
        <f t="shared" si="0"/>
        <v>118.7757142857143</v>
      </c>
      <c r="S38" s="124">
        <f t="shared" si="0"/>
        <v>136.70285714285714</v>
      </c>
      <c r="T38" s="124">
        <f t="shared" si="0"/>
        <v>137.30428571428573</v>
      </c>
      <c r="U38" s="124">
        <f t="shared" si="0"/>
        <v>138.9842857142857</v>
      </c>
      <c r="V38" s="124">
        <f t="shared" si="0"/>
        <v>123.49000000000001</v>
      </c>
      <c r="W38" s="124">
        <f t="shared" si="0"/>
        <v>137.3314285714286</v>
      </c>
      <c r="X38" s="124">
        <f t="shared" si="0"/>
        <v>140.41999999999999</v>
      </c>
      <c r="Y38" s="124">
        <f t="shared" si="0"/>
        <v>121.72285714285714</v>
      </c>
      <c r="Z38" s="124">
        <f t="shared" si="0"/>
        <v>114.4442857142857</v>
      </c>
      <c r="AA38" s="124">
        <f t="shared" si="0"/>
        <v>143.37428571428569</v>
      </c>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c r="BY38" s="124"/>
      <c r="BZ38" s="124"/>
      <c r="CA38" s="124"/>
      <c r="CB38" s="124"/>
      <c r="CC38" s="124"/>
      <c r="CD38" s="124"/>
      <c r="CE38" s="124"/>
      <c r="CF38" s="124"/>
      <c r="CG38" s="124"/>
      <c r="CH38" s="124"/>
      <c r="CI38" s="124"/>
      <c r="CJ38" s="124"/>
      <c r="CK38" s="124"/>
      <c r="CL38" s="124"/>
      <c r="CM38" s="124"/>
      <c r="CN38" s="124"/>
      <c r="CO38" s="124"/>
      <c r="CP38" s="124"/>
      <c r="CQ38" s="124"/>
      <c r="CR38" s="124"/>
      <c r="CS38" s="124"/>
      <c r="CT38" s="124"/>
      <c r="CU38" s="1603"/>
    </row>
    <row r="39" spans="1:99" x14ac:dyDescent="0.2">
      <c r="A39" s="52"/>
      <c r="K39" s="144"/>
      <c r="O39" s="1599" t="s">
        <v>888</v>
      </c>
      <c r="P39" s="124">
        <f t="shared" si="0"/>
        <v>149.13142857142856</v>
      </c>
      <c r="Q39" s="124">
        <f t="shared" si="0"/>
        <v>135.51714285714283</v>
      </c>
      <c r="R39" s="124">
        <f t="shared" si="0"/>
        <v>128.94</v>
      </c>
      <c r="S39" s="124">
        <f t="shared" si="0"/>
        <v>119.75714285714285</v>
      </c>
      <c r="T39" s="124">
        <f t="shared" si="0"/>
        <v>127.41714285714285</v>
      </c>
      <c r="U39" s="124">
        <f t="shared" si="0"/>
        <v>126.06142857142856</v>
      </c>
      <c r="V39" s="124">
        <f t="shared" si="0"/>
        <v>126.45714285714287</v>
      </c>
      <c r="W39" s="124">
        <f t="shared" si="0"/>
        <v>135.54142857142855</v>
      </c>
      <c r="X39" s="124">
        <f t="shared" si="0"/>
        <v>140.54714285714286</v>
      </c>
      <c r="Y39" s="124">
        <f t="shared" si="0"/>
        <v>125.92285714285713</v>
      </c>
      <c r="Z39" s="124">
        <f t="shared" si="0"/>
        <v>121.16857142857144</v>
      </c>
      <c r="AA39" s="124">
        <f t="shared" si="0"/>
        <v>157.01142857142855</v>
      </c>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c r="BY39" s="124"/>
      <c r="BZ39" s="124"/>
      <c r="CA39" s="124"/>
      <c r="CB39" s="124"/>
      <c r="CC39" s="124"/>
      <c r="CD39" s="124"/>
      <c r="CE39" s="124"/>
      <c r="CF39" s="124"/>
      <c r="CG39" s="124"/>
      <c r="CH39" s="124"/>
      <c r="CI39" s="124"/>
      <c r="CJ39" s="124"/>
      <c r="CK39" s="124"/>
      <c r="CL39" s="124"/>
      <c r="CM39" s="124"/>
      <c r="CN39" s="124"/>
      <c r="CO39" s="124"/>
      <c r="CP39" s="124"/>
      <c r="CQ39" s="124"/>
      <c r="CR39" s="124"/>
      <c r="CS39" s="124"/>
      <c r="CT39" s="124"/>
      <c r="CU39" s="1603"/>
    </row>
    <row r="40" spans="1:99" x14ac:dyDescent="0.2">
      <c r="A40" s="52"/>
      <c r="K40" s="144"/>
      <c r="O40" s="1604"/>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4"/>
      <c r="BQ40" s="124"/>
      <c r="BR40" s="124"/>
      <c r="BS40" s="124"/>
      <c r="BT40" s="124"/>
      <c r="BU40" s="124"/>
      <c r="BV40" s="124"/>
      <c r="BW40" s="124"/>
      <c r="BX40" s="124"/>
      <c r="BY40" s="124"/>
      <c r="BZ40" s="124"/>
      <c r="CA40" s="124"/>
      <c r="CB40" s="124"/>
      <c r="CC40" s="124"/>
      <c r="CD40" s="124"/>
      <c r="CE40" s="124"/>
      <c r="CF40" s="124"/>
      <c r="CG40" s="124"/>
      <c r="CH40" s="124"/>
      <c r="CI40" s="124"/>
      <c r="CJ40" s="124"/>
      <c r="CK40" s="124"/>
      <c r="CL40" s="124"/>
      <c r="CM40" s="124"/>
      <c r="CN40" s="124"/>
      <c r="CO40" s="124"/>
      <c r="CP40" s="124"/>
      <c r="CQ40" s="124"/>
      <c r="CR40" s="124"/>
      <c r="CS40" s="124"/>
      <c r="CT40" s="124"/>
      <c r="CU40" s="1603"/>
    </row>
    <row r="41" spans="1:99" ht="17" thickBot="1" x14ac:dyDescent="0.25">
      <c r="A41" s="1492"/>
      <c r="B41" s="1563"/>
      <c r="C41" s="1563"/>
      <c r="D41" s="1563"/>
      <c r="E41" s="1563"/>
      <c r="F41" s="1563"/>
      <c r="G41" s="1563"/>
      <c r="H41" s="1563"/>
      <c r="I41" s="1563"/>
      <c r="J41" s="1563"/>
      <c r="K41" s="1564"/>
      <c r="O41" s="160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4"/>
      <c r="BQ41" s="124"/>
      <c r="BR41" s="124"/>
      <c r="BS41" s="124"/>
      <c r="BT41" s="124"/>
      <c r="BU41" s="124"/>
      <c r="BV41" s="124"/>
      <c r="BW41" s="124"/>
      <c r="BX41" s="124"/>
      <c r="BY41" s="124"/>
      <c r="BZ41" s="124"/>
      <c r="CA41" s="124"/>
      <c r="CB41" s="124"/>
      <c r="CC41" s="124"/>
      <c r="CD41" s="124"/>
      <c r="CE41" s="124"/>
      <c r="CF41" s="124"/>
      <c r="CG41" s="124"/>
      <c r="CH41" s="124"/>
      <c r="CI41" s="124"/>
      <c r="CJ41" s="124"/>
      <c r="CK41" s="124"/>
      <c r="CL41" s="124"/>
      <c r="CM41" s="124"/>
      <c r="CN41" s="124"/>
      <c r="CO41" s="124"/>
      <c r="CP41" s="124"/>
      <c r="CQ41" s="124"/>
      <c r="CR41" s="124"/>
      <c r="CS41" s="124"/>
      <c r="CT41" s="124"/>
      <c r="CU41" s="1603"/>
    </row>
    <row r="42" spans="1:99" x14ac:dyDescent="0.2">
      <c r="O42" s="160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4"/>
      <c r="BQ42" s="124"/>
      <c r="BR42" s="124"/>
      <c r="BS42" s="124"/>
      <c r="BT42" s="124"/>
      <c r="BU42" s="124"/>
      <c r="BV42" s="124"/>
      <c r="BW42" s="124"/>
      <c r="BX42" s="124"/>
      <c r="BY42" s="124"/>
      <c r="BZ42" s="124"/>
      <c r="CA42" s="124"/>
      <c r="CB42" s="124"/>
      <c r="CC42" s="124"/>
      <c r="CD42" s="124"/>
      <c r="CE42" s="124"/>
      <c r="CF42" s="124"/>
      <c r="CG42" s="124"/>
      <c r="CH42" s="124"/>
      <c r="CI42" s="124"/>
      <c r="CJ42" s="124"/>
      <c r="CK42" s="124"/>
      <c r="CL42" s="124"/>
      <c r="CM42" s="124"/>
      <c r="CN42" s="124"/>
      <c r="CO42" s="124"/>
      <c r="CP42" s="124"/>
      <c r="CQ42" s="124"/>
      <c r="CR42" s="124"/>
      <c r="CS42" s="124"/>
      <c r="CT42" s="124"/>
      <c r="CU42" s="1603"/>
    </row>
    <row r="43" spans="1:99" ht="17" thickBot="1" x14ac:dyDescent="0.25">
      <c r="O43" s="1604"/>
      <c r="P43" s="124"/>
      <c r="Q43" s="124"/>
      <c r="R43" s="124"/>
      <c r="S43" s="124"/>
      <c r="T43" s="124"/>
      <c r="U43" s="124"/>
      <c r="V43" s="124"/>
      <c r="W43" s="124"/>
      <c r="X43" s="124"/>
      <c r="Y43" s="124"/>
      <c r="Z43" s="124"/>
      <c r="AA43" s="124"/>
      <c r="AB43" s="124"/>
      <c r="AC43" s="124"/>
      <c r="AD43" s="124"/>
      <c r="AE43" s="124"/>
      <c r="AF43" s="124"/>
      <c r="AG43" s="124"/>
      <c r="AH43" s="124"/>
      <c r="AI43" s="124"/>
      <c r="AJ43" s="124"/>
      <c r="AK43" s="124"/>
      <c r="AL43" s="124"/>
      <c r="AM43" s="124"/>
      <c r="AN43" s="124"/>
      <c r="AO43" s="124"/>
      <c r="AP43" s="124"/>
      <c r="AQ43" s="124"/>
      <c r="AR43" s="124"/>
      <c r="AS43" s="124"/>
      <c r="AT43" s="124"/>
      <c r="AU43" s="124"/>
      <c r="AV43" s="124"/>
      <c r="AW43" s="124"/>
      <c r="AX43" s="124"/>
      <c r="AY43" s="124"/>
      <c r="AZ43" s="124"/>
      <c r="BA43" s="124"/>
      <c r="BB43" s="124"/>
      <c r="BC43" s="124"/>
      <c r="BD43" s="124"/>
      <c r="BE43" s="124"/>
      <c r="BF43" s="124"/>
      <c r="BG43" s="124"/>
      <c r="BH43" s="124"/>
      <c r="BI43" s="124"/>
      <c r="BJ43" s="124"/>
      <c r="BK43" s="124"/>
      <c r="BL43" s="124"/>
      <c r="BM43" s="124"/>
      <c r="BN43" s="124"/>
      <c r="BO43" s="124"/>
      <c r="BP43" s="124"/>
      <c r="BQ43" s="124"/>
      <c r="BR43" s="124"/>
      <c r="BS43" s="124"/>
      <c r="BT43" s="124"/>
      <c r="BU43" s="124"/>
      <c r="BV43" s="124"/>
      <c r="BW43" s="124"/>
      <c r="BX43" s="124"/>
      <c r="BY43" s="124"/>
      <c r="BZ43" s="124"/>
      <c r="CA43" s="124"/>
      <c r="CB43" s="124"/>
      <c r="CC43" s="124"/>
      <c r="CD43" s="124"/>
      <c r="CE43" s="124"/>
      <c r="CF43" s="124"/>
      <c r="CG43" s="124"/>
      <c r="CH43" s="124"/>
      <c r="CI43" s="124"/>
      <c r="CJ43" s="124"/>
      <c r="CK43" s="124"/>
      <c r="CL43" s="124"/>
      <c r="CM43" s="124"/>
      <c r="CN43" s="124"/>
      <c r="CO43" s="124"/>
      <c r="CP43" s="124"/>
      <c r="CQ43" s="124"/>
      <c r="CR43" s="124"/>
      <c r="CS43" s="124"/>
      <c r="CT43" s="124"/>
      <c r="CU43" s="1603"/>
    </row>
    <row r="44" spans="1:99" ht="17" thickBot="1" x14ac:dyDescent="0.25">
      <c r="A44" s="618" t="s">
        <v>53</v>
      </c>
      <c r="B44" s="619"/>
      <c r="C44" s="620"/>
      <c r="D44" s="620"/>
      <c r="E44" s="621"/>
      <c r="F44" s="152"/>
      <c r="G44" s="152"/>
      <c r="H44" s="152"/>
      <c r="I44" s="152"/>
      <c r="J44" s="152"/>
      <c r="K44" s="152"/>
      <c r="L44" s="154"/>
      <c r="O44" s="1604"/>
      <c r="P44" s="124"/>
      <c r="Q44" s="124"/>
      <c r="R44" s="124"/>
      <c r="S44" s="124"/>
      <c r="T44" s="124"/>
      <c r="U44" s="124"/>
      <c r="V44" s="124"/>
      <c r="W44" s="124"/>
      <c r="X44" s="124"/>
      <c r="Y44" s="124"/>
      <c r="Z44" s="124"/>
      <c r="AA44" s="124"/>
      <c r="AB44" s="124"/>
      <c r="AC44" s="124"/>
      <c r="AD44" s="124"/>
      <c r="AE44" s="124"/>
      <c r="AF44" s="124"/>
      <c r="AG44" s="124"/>
      <c r="AH44" s="124"/>
      <c r="AI44" s="124"/>
      <c r="AJ44" s="124"/>
      <c r="AK44" s="124"/>
      <c r="AL44" s="124"/>
      <c r="AM44" s="124"/>
      <c r="AN44" s="124"/>
      <c r="AO44" s="124"/>
      <c r="AP44" s="124"/>
      <c r="AQ44" s="124"/>
      <c r="AR44" s="124"/>
      <c r="AS44" s="124"/>
      <c r="AT44" s="124"/>
      <c r="AU44" s="124"/>
      <c r="AV44" s="124"/>
      <c r="AW44" s="124"/>
      <c r="AX44" s="124"/>
      <c r="AY44" s="124"/>
      <c r="AZ44" s="124"/>
      <c r="BA44" s="124"/>
      <c r="BB44" s="124"/>
      <c r="BC44" s="124"/>
      <c r="BD44" s="124"/>
      <c r="BE44" s="124"/>
      <c r="BF44" s="124"/>
      <c r="BG44" s="124"/>
      <c r="BH44" s="124"/>
      <c r="BI44" s="124"/>
      <c r="BJ44" s="124"/>
      <c r="BK44" s="124"/>
      <c r="BL44" s="124"/>
      <c r="BM44" s="124"/>
      <c r="BN44" s="124"/>
      <c r="BO44" s="124"/>
      <c r="BP44" s="124"/>
      <c r="BQ44" s="124"/>
      <c r="BR44" s="124"/>
      <c r="BS44" s="124"/>
      <c r="BT44" s="124"/>
      <c r="BU44" s="124"/>
      <c r="BV44" s="124"/>
      <c r="BW44" s="124"/>
      <c r="BX44" s="124"/>
      <c r="BY44" s="124"/>
      <c r="BZ44" s="124"/>
      <c r="CA44" s="124"/>
      <c r="CB44" s="124"/>
      <c r="CC44" s="124"/>
      <c r="CD44" s="124"/>
      <c r="CE44" s="124"/>
      <c r="CF44" s="124"/>
      <c r="CG44" s="124"/>
      <c r="CH44" s="124"/>
      <c r="CI44" s="124"/>
      <c r="CJ44" s="124"/>
      <c r="CK44" s="124"/>
      <c r="CL44" s="124"/>
      <c r="CM44" s="124"/>
      <c r="CN44" s="124"/>
      <c r="CO44" s="124"/>
      <c r="CP44" s="124"/>
      <c r="CQ44" s="124"/>
      <c r="CR44" s="124"/>
      <c r="CS44" s="124"/>
      <c r="CT44" s="124"/>
      <c r="CU44" s="1603"/>
    </row>
    <row r="45" spans="1:99" x14ac:dyDescent="0.2">
      <c r="A45" s="626" t="s">
        <v>110</v>
      </c>
      <c r="B45" s="616" t="s">
        <v>900</v>
      </c>
      <c r="C45" s="617" t="s">
        <v>901</v>
      </c>
      <c r="D45" s="616" t="s">
        <v>902</v>
      </c>
      <c r="E45" s="615" t="s">
        <v>903</v>
      </c>
      <c r="L45" s="144"/>
      <c r="O45" s="1604"/>
      <c r="P45" s="124"/>
      <c r="Q45" s="124"/>
      <c r="R45" s="124"/>
      <c r="S45" s="124"/>
      <c r="T45" s="124"/>
      <c r="U45" s="124"/>
      <c r="V45" s="124"/>
      <c r="W45" s="124"/>
      <c r="X45" s="124"/>
      <c r="Y45" s="124"/>
      <c r="Z45" s="124"/>
      <c r="AA45" s="124"/>
      <c r="AB45" s="124"/>
      <c r="AC45" s="124"/>
      <c r="AD45" s="124"/>
      <c r="AE45" s="124"/>
      <c r="AF45" s="124"/>
      <c r="AG45" s="124"/>
      <c r="AH45" s="124"/>
      <c r="AI45" s="124"/>
      <c r="AJ45" s="124"/>
      <c r="AK45" s="124"/>
      <c r="AL45" s="124"/>
      <c r="AM45" s="124"/>
      <c r="AN45" s="124"/>
      <c r="AO45" s="124"/>
      <c r="AP45" s="124"/>
      <c r="AQ45" s="124"/>
      <c r="AR45" s="124"/>
      <c r="AS45" s="124"/>
      <c r="AT45" s="124"/>
      <c r="AU45" s="124"/>
      <c r="AV45" s="124"/>
      <c r="AW45" s="124"/>
      <c r="AX45" s="124"/>
      <c r="AY45" s="124"/>
      <c r="AZ45" s="124"/>
      <c r="BA45" s="124"/>
      <c r="BB45" s="124"/>
      <c r="BC45" s="124"/>
      <c r="BD45" s="124"/>
      <c r="BE45" s="124"/>
      <c r="BF45" s="124"/>
      <c r="BG45" s="124"/>
      <c r="BH45" s="124"/>
      <c r="BI45" s="124"/>
      <c r="BJ45" s="124"/>
      <c r="BK45" s="124"/>
      <c r="BL45" s="124"/>
      <c r="BM45" s="124"/>
      <c r="BN45" s="124"/>
      <c r="BO45" s="124"/>
      <c r="BP45" s="124"/>
      <c r="BQ45" s="124"/>
      <c r="BR45" s="124"/>
      <c r="BS45" s="124"/>
      <c r="BT45" s="124"/>
      <c r="BU45" s="124"/>
      <c r="BV45" s="124"/>
      <c r="BW45" s="124"/>
      <c r="BX45" s="124"/>
      <c r="BY45" s="124"/>
      <c r="BZ45" s="124"/>
      <c r="CA45" s="124"/>
      <c r="CB45" s="124"/>
      <c r="CC45" s="124"/>
      <c r="CD45" s="124"/>
      <c r="CE45" s="124"/>
      <c r="CF45" s="124"/>
      <c r="CG45" s="124"/>
      <c r="CH45" s="124"/>
      <c r="CI45" s="124"/>
      <c r="CJ45" s="124"/>
      <c r="CK45" s="124"/>
      <c r="CL45" s="124"/>
      <c r="CM45" s="124"/>
      <c r="CN45" s="124"/>
      <c r="CO45" s="124"/>
      <c r="CP45" s="124"/>
      <c r="CQ45" s="124"/>
      <c r="CR45" s="124"/>
      <c r="CS45" s="124"/>
      <c r="CT45" s="124"/>
      <c r="CU45" s="1603"/>
    </row>
    <row r="46" spans="1:99" x14ac:dyDescent="0.2">
      <c r="A46" s="571">
        <v>2013</v>
      </c>
      <c r="B46" s="1708">
        <v>98.155943393880094</v>
      </c>
      <c r="C46" s="1708">
        <v>85.229770448702851</v>
      </c>
      <c r="D46" s="1708">
        <v>83.658085236362155</v>
      </c>
      <c r="E46" s="1708">
        <v>38.754445309225879</v>
      </c>
      <c r="L46" s="144"/>
      <c r="O46" s="160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c r="BY46" s="124"/>
      <c r="BZ46" s="124"/>
      <c r="CA46" s="124"/>
      <c r="CB46" s="124"/>
      <c r="CC46" s="124"/>
      <c r="CD46" s="124"/>
      <c r="CE46" s="124"/>
      <c r="CF46" s="124"/>
      <c r="CG46" s="124"/>
      <c r="CH46" s="124"/>
      <c r="CI46" s="124"/>
      <c r="CJ46" s="124"/>
      <c r="CK46" s="124"/>
      <c r="CL46" s="124"/>
      <c r="CM46" s="124"/>
      <c r="CN46" s="124"/>
      <c r="CO46" s="124"/>
      <c r="CP46" s="124"/>
      <c r="CQ46" s="124"/>
      <c r="CR46" s="124"/>
      <c r="CS46" s="124"/>
      <c r="CT46" s="124"/>
      <c r="CU46" s="1603"/>
    </row>
    <row r="47" spans="1:99" x14ac:dyDescent="0.2">
      <c r="A47" s="571">
        <v>2014</v>
      </c>
      <c r="B47" s="1572">
        <v>78.971022083701428</v>
      </c>
      <c r="C47" s="1572">
        <v>89.274307315343989</v>
      </c>
      <c r="D47" s="1572">
        <v>70.500832945071423</v>
      </c>
      <c r="E47" s="1572">
        <v>41.349006397009653</v>
      </c>
      <c r="L47" s="144"/>
      <c r="O47" s="1604"/>
      <c r="P47" s="124"/>
      <c r="Q47" s="124"/>
      <c r="R47" s="124"/>
      <c r="S47" s="124"/>
      <c r="T47" s="124"/>
      <c r="U47" s="124"/>
      <c r="V47" s="124"/>
      <c r="W47" s="124"/>
      <c r="X47" s="124"/>
      <c r="Y47" s="124"/>
      <c r="Z47" s="124"/>
      <c r="AA47" s="124"/>
      <c r="AB47" s="124"/>
      <c r="AC47" s="124"/>
      <c r="AD47" s="124"/>
      <c r="AE47" s="124"/>
      <c r="AF47" s="124"/>
      <c r="AG47" s="124"/>
      <c r="AH47" s="124"/>
      <c r="AI47" s="124"/>
      <c r="AJ47" s="124"/>
      <c r="AK47" s="124"/>
      <c r="AL47" s="124"/>
      <c r="AM47" s="124"/>
      <c r="AN47" s="124"/>
      <c r="AO47" s="124"/>
      <c r="AP47" s="124"/>
      <c r="AQ47" s="124"/>
      <c r="AR47" s="124"/>
      <c r="AS47" s="124"/>
      <c r="AT47" s="124"/>
      <c r="AU47" s="124"/>
      <c r="AV47" s="124"/>
      <c r="AW47" s="124"/>
      <c r="AX47" s="124"/>
      <c r="AY47" s="124"/>
      <c r="AZ47" s="124"/>
      <c r="BA47" s="124"/>
      <c r="BB47" s="124"/>
      <c r="BC47" s="124"/>
      <c r="BD47" s="124"/>
      <c r="BE47" s="124"/>
      <c r="BF47" s="124"/>
      <c r="BG47" s="124"/>
      <c r="BH47" s="124"/>
      <c r="BI47" s="124"/>
      <c r="BJ47" s="124"/>
      <c r="BK47" s="124"/>
      <c r="BL47" s="124"/>
      <c r="BM47" s="124"/>
      <c r="BN47" s="124"/>
      <c r="BO47" s="124"/>
      <c r="BP47" s="124"/>
      <c r="BQ47" s="124"/>
      <c r="BR47" s="124"/>
      <c r="BS47" s="124"/>
      <c r="BT47" s="124"/>
      <c r="BU47" s="124"/>
      <c r="BV47" s="124"/>
      <c r="BW47" s="124"/>
      <c r="BX47" s="124"/>
      <c r="BY47" s="124"/>
      <c r="BZ47" s="124"/>
      <c r="CA47" s="124"/>
      <c r="CB47" s="124"/>
      <c r="CC47" s="124"/>
      <c r="CD47" s="124"/>
      <c r="CE47" s="124"/>
      <c r="CF47" s="124"/>
      <c r="CG47" s="124"/>
      <c r="CH47" s="124"/>
      <c r="CI47" s="124"/>
      <c r="CJ47" s="124"/>
      <c r="CK47" s="124"/>
      <c r="CL47" s="124"/>
      <c r="CM47" s="124"/>
      <c r="CN47" s="124"/>
      <c r="CO47" s="124"/>
      <c r="CP47" s="124"/>
      <c r="CQ47" s="124"/>
      <c r="CR47" s="124"/>
      <c r="CS47" s="124"/>
      <c r="CT47" s="124"/>
      <c r="CU47" s="1603"/>
    </row>
    <row r="48" spans="1:99" x14ac:dyDescent="0.2">
      <c r="A48" s="571">
        <v>2015</v>
      </c>
      <c r="B48" s="1573">
        <v>105.9258458107178</v>
      </c>
      <c r="C48" s="1573">
        <v>84.662455467563049</v>
      </c>
      <c r="D48" s="1573">
        <v>89.679422038138128</v>
      </c>
      <c r="E48" s="1573">
        <v>35.421676635153382</v>
      </c>
      <c r="L48" s="144"/>
      <c r="O48" s="1604"/>
      <c r="P48" s="124"/>
      <c r="Q48" s="124"/>
      <c r="R48" s="124"/>
      <c r="S48" s="124"/>
      <c r="T48" s="124"/>
      <c r="U48" s="124"/>
      <c r="V48" s="124"/>
      <c r="W48" s="124"/>
      <c r="X48" s="124"/>
      <c r="Y48" s="124"/>
      <c r="Z48" s="124"/>
      <c r="AA48" s="124"/>
      <c r="AB48" s="124"/>
      <c r="AC48" s="124"/>
      <c r="AD48" s="124"/>
      <c r="AE48" s="124"/>
      <c r="AF48" s="124"/>
      <c r="AG48" s="124"/>
      <c r="AH48" s="124"/>
      <c r="AI48" s="124"/>
      <c r="AJ48" s="124"/>
      <c r="AK48" s="124"/>
      <c r="AL48" s="124"/>
      <c r="AM48" s="124"/>
      <c r="AN48" s="124"/>
      <c r="AO48" s="124"/>
      <c r="AP48" s="124"/>
      <c r="AQ48" s="124"/>
      <c r="AR48" s="124"/>
      <c r="AS48" s="124"/>
      <c r="AT48" s="124"/>
      <c r="AU48" s="124"/>
      <c r="AV48" s="124"/>
      <c r="AW48" s="124"/>
      <c r="AX48" s="124"/>
      <c r="AY48" s="124"/>
      <c r="AZ48" s="124"/>
      <c r="BA48" s="124"/>
      <c r="BB48" s="124"/>
      <c r="BC48" s="124"/>
      <c r="BD48" s="124"/>
      <c r="BE48" s="124"/>
      <c r="BF48" s="124"/>
      <c r="BG48" s="124"/>
      <c r="BH48" s="124"/>
      <c r="BI48" s="124"/>
      <c r="BJ48" s="124"/>
      <c r="BK48" s="124"/>
      <c r="BL48" s="124"/>
      <c r="BM48" s="124"/>
      <c r="BN48" s="124"/>
      <c r="BO48" s="124"/>
      <c r="BP48" s="124"/>
      <c r="BQ48" s="124"/>
      <c r="BR48" s="124"/>
      <c r="BS48" s="124"/>
      <c r="BT48" s="124"/>
      <c r="BU48" s="124"/>
      <c r="BV48" s="124"/>
      <c r="BW48" s="124"/>
      <c r="BX48" s="124"/>
      <c r="BY48" s="124"/>
      <c r="BZ48" s="124"/>
      <c r="CA48" s="124"/>
      <c r="CB48" s="124"/>
      <c r="CC48" s="124"/>
      <c r="CD48" s="124"/>
      <c r="CE48" s="124"/>
      <c r="CF48" s="124"/>
      <c r="CG48" s="124"/>
      <c r="CH48" s="124"/>
      <c r="CI48" s="124"/>
      <c r="CJ48" s="124"/>
      <c r="CK48" s="124"/>
      <c r="CL48" s="124"/>
      <c r="CM48" s="124"/>
      <c r="CN48" s="124"/>
      <c r="CO48" s="124"/>
      <c r="CP48" s="124"/>
      <c r="CQ48" s="124"/>
      <c r="CR48" s="124"/>
      <c r="CS48" s="124"/>
      <c r="CT48" s="124"/>
      <c r="CU48" s="1603"/>
    </row>
    <row r="49" spans="1:99" x14ac:dyDescent="0.2">
      <c r="A49" s="571">
        <v>2016</v>
      </c>
      <c r="B49" s="1572">
        <v>108.99053333145746</v>
      </c>
      <c r="C49" s="1572">
        <v>87.546373124505422</v>
      </c>
      <c r="D49" s="1572">
        <v>95.417258980745856</v>
      </c>
      <c r="E49" s="1572">
        <v>35.098378892683037</v>
      </c>
      <c r="L49" s="144"/>
      <c r="O49" s="1604"/>
      <c r="P49" s="124"/>
      <c r="Q49" s="124"/>
      <c r="R49" s="124"/>
      <c r="S49" s="124"/>
      <c r="T49" s="124"/>
      <c r="U49" s="124"/>
      <c r="V49" s="124"/>
      <c r="W49" s="124"/>
      <c r="X49" s="124"/>
      <c r="Y49" s="124"/>
      <c r="Z49" s="124"/>
      <c r="AA49" s="124"/>
      <c r="AB49" s="124"/>
      <c r="AC49" s="124"/>
      <c r="AD49" s="124"/>
      <c r="AE49" s="124"/>
      <c r="AF49" s="124"/>
      <c r="AG49" s="124"/>
      <c r="AH49" s="124"/>
      <c r="AI49" s="124"/>
      <c r="AJ49" s="124"/>
      <c r="AK49" s="124"/>
      <c r="AL49" s="124"/>
      <c r="AM49" s="124"/>
      <c r="AN49" s="124"/>
      <c r="AO49" s="124"/>
      <c r="AP49" s="124"/>
      <c r="AQ49" s="124"/>
      <c r="AR49" s="124"/>
      <c r="AS49" s="124"/>
      <c r="AT49" s="124"/>
      <c r="AU49" s="124"/>
      <c r="AV49" s="124"/>
      <c r="AW49" s="124"/>
      <c r="AX49" s="124"/>
      <c r="AY49" s="124"/>
      <c r="AZ49" s="124"/>
      <c r="BA49" s="124"/>
      <c r="BB49" s="124"/>
      <c r="BC49" s="124"/>
      <c r="BD49" s="124"/>
      <c r="BE49" s="124"/>
      <c r="BF49" s="124"/>
      <c r="BG49" s="124"/>
      <c r="BH49" s="124"/>
      <c r="BI49" s="124"/>
      <c r="BJ49" s="124"/>
      <c r="BK49" s="124"/>
      <c r="BL49" s="124"/>
      <c r="BM49" s="124"/>
      <c r="BN49" s="124"/>
      <c r="BO49" s="124"/>
      <c r="BP49" s="124"/>
      <c r="BQ49" s="124"/>
      <c r="BR49" s="124"/>
      <c r="BS49" s="124"/>
      <c r="BT49" s="124"/>
      <c r="BU49" s="124"/>
      <c r="BV49" s="124"/>
      <c r="BW49" s="124"/>
      <c r="BX49" s="124"/>
      <c r="BY49" s="124"/>
      <c r="BZ49" s="124"/>
      <c r="CA49" s="124"/>
      <c r="CB49" s="124"/>
      <c r="CC49" s="124"/>
      <c r="CD49" s="124"/>
      <c r="CE49" s="124"/>
      <c r="CF49" s="124"/>
      <c r="CG49" s="124"/>
      <c r="CH49" s="124"/>
      <c r="CI49" s="124"/>
      <c r="CJ49" s="124"/>
      <c r="CK49" s="124"/>
      <c r="CL49" s="124"/>
      <c r="CM49" s="124"/>
      <c r="CN49" s="124"/>
      <c r="CO49" s="124"/>
      <c r="CP49" s="124"/>
      <c r="CQ49" s="124"/>
      <c r="CR49" s="124"/>
      <c r="CS49" s="124"/>
      <c r="CT49" s="124"/>
      <c r="CU49" s="1603"/>
    </row>
    <row r="50" spans="1:99" x14ac:dyDescent="0.2">
      <c r="A50" s="571">
        <v>2017</v>
      </c>
      <c r="B50" s="1573">
        <v>99.462964468951142</v>
      </c>
      <c r="C50" s="1573">
        <v>90.426309365375715</v>
      </c>
      <c r="D50" s="1573">
        <v>89.940687954667723</v>
      </c>
      <c r="E50" s="1573">
        <v>38.161895320909871</v>
      </c>
      <c r="L50" s="144"/>
      <c r="O50" s="1604"/>
      <c r="P50" s="124"/>
      <c r="Q50" s="124"/>
      <c r="R50" s="124"/>
      <c r="S50" s="124"/>
      <c r="T50" s="124"/>
      <c r="U50" s="124"/>
      <c r="V50" s="124"/>
      <c r="W50" s="124"/>
      <c r="X50" s="124"/>
      <c r="Y50" s="124"/>
      <c r="Z50" s="124"/>
      <c r="AA50" s="124"/>
      <c r="AB50" s="124"/>
      <c r="AC50" s="124"/>
      <c r="AD50" s="124"/>
      <c r="AE50" s="124"/>
      <c r="AF50" s="124"/>
      <c r="AG50" s="124"/>
      <c r="AH50" s="124"/>
      <c r="AI50" s="124"/>
      <c r="AJ50" s="124"/>
      <c r="AK50" s="124"/>
      <c r="AL50" s="124"/>
      <c r="AM50" s="124"/>
      <c r="AN50" s="124"/>
      <c r="AO50" s="124"/>
      <c r="AP50" s="124"/>
      <c r="AQ50" s="124"/>
      <c r="AR50" s="124"/>
      <c r="AS50" s="124"/>
      <c r="AT50" s="124"/>
      <c r="AU50" s="124"/>
      <c r="AV50" s="124"/>
      <c r="AW50" s="124"/>
      <c r="AX50" s="124"/>
      <c r="AY50" s="124"/>
      <c r="AZ50" s="124"/>
      <c r="BA50" s="124"/>
      <c r="BB50" s="124"/>
      <c r="BC50" s="124"/>
      <c r="BD50" s="124"/>
      <c r="BE50" s="124"/>
      <c r="BF50" s="124"/>
      <c r="BG50" s="124"/>
      <c r="BH50" s="124"/>
      <c r="BI50" s="124"/>
      <c r="BJ50" s="124"/>
      <c r="BK50" s="124"/>
      <c r="BL50" s="124"/>
      <c r="BM50" s="124"/>
      <c r="BN50" s="124"/>
      <c r="BO50" s="124"/>
      <c r="BP50" s="124"/>
      <c r="BQ50" s="124"/>
      <c r="BR50" s="124"/>
      <c r="BS50" s="124"/>
      <c r="BT50" s="124"/>
      <c r="BU50" s="124"/>
      <c r="BV50" s="124"/>
      <c r="BW50" s="124"/>
      <c r="BX50" s="124"/>
      <c r="BY50" s="124"/>
      <c r="BZ50" s="124"/>
      <c r="CA50" s="124"/>
      <c r="CB50" s="124"/>
      <c r="CC50" s="124"/>
      <c r="CD50" s="124"/>
      <c r="CE50" s="124"/>
      <c r="CF50" s="124"/>
      <c r="CG50" s="124"/>
      <c r="CH50" s="124"/>
      <c r="CI50" s="124"/>
      <c r="CJ50" s="124"/>
      <c r="CK50" s="124"/>
      <c r="CL50" s="124"/>
      <c r="CM50" s="124"/>
      <c r="CN50" s="124"/>
      <c r="CO50" s="124"/>
      <c r="CP50" s="124"/>
      <c r="CQ50" s="124"/>
      <c r="CR50" s="124"/>
      <c r="CS50" s="124"/>
      <c r="CT50" s="124"/>
      <c r="CU50" s="1603"/>
    </row>
    <row r="51" spans="1:99" x14ac:dyDescent="0.2">
      <c r="A51" s="571">
        <v>2018</v>
      </c>
      <c r="B51" s="1572">
        <v>103.18966764583737</v>
      </c>
      <c r="C51" s="1572">
        <v>90.54197878392138</v>
      </c>
      <c r="D51" s="1572">
        <v>93.429966987093422</v>
      </c>
      <c r="E51" s="1572">
        <v>35.927361126285319</v>
      </c>
      <c r="L51" s="144"/>
      <c r="O51" s="1604"/>
      <c r="P51" s="124"/>
      <c r="Q51" s="124"/>
      <c r="R51" s="124"/>
      <c r="S51" s="124"/>
      <c r="T51" s="124"/>
      <c r="U51" s="124"/>
      <c r="V51" s="124"/>
      <c r="W51" s="124"/>
      <c r="X51" s="124"/>
      <c r="Y51" s="124"/>
      <c r="Z51" s="124"/>
      <c r="AA51" s="124"/>
      <c r="AB51" s="124"/>
      <c r="AC51" s="124"/>
      <c r="AD51" s="124"/>
      <c r="AE51" s="124"/>
      <c r="AF51" s="124"/>
      <c r="AG51" s="124"/>
      <c r="AH51" s="124"/>
      <c r="AI51" s="124"/>
      <c r="AJ51" s="124"/>
      <c r="AK51" s="124"/>
      <c r="AL51" s="124"/>
      <c r="AM51" s="124"/>
      <c r="AN51" s="124"/>
      <c r="AO51" s="124"/>
      <c r="AP51" s="124"/>
      <c r="AQ51" s="124"/>
      <c r="AR51" s="124"/>
      <c r="AS51" s="124"/>
      <c r="AT51" s="124"/>
      <c r="AU51" s="124"/>
      <c r="AV51" s="124"/>
      <c r="AW51" s="124"/>
      <c r="AX51" s="124"/>
      <c r="AY51" s="124"/>
      <c r="AZ51" s="124"/>
      <c r="BA51" s="124"/>
      <c r="BB51" s="124"/>
      <c r="BC51" s="124"/>
      <c r="BD51" s="124"/>
      <c r="BE51" s="124"/>
      <c r="BF51" s="124"/>
      <c r="BG51" s="124"/>
      <c r="BH51" s="124"/>
      <c r="BI51" s="124"/>
      <c r="BJ51" s="124"/>
      <c r="BK51" s="124"/>
      <c r="BL51" s="124"/>
      <c r="BM51" s="124"/>
      <c r="BN51" s="124"/>
      <c r="BO51" s="124"/>
      <c r="BP51" s="124"/>
      <c r="BQ51" s="124"/>
      <c r="BR51" s="124"/>
      <c r="BS51" s="124"/>
      <c r="BT51" s="124"/>
      <c r="BU51" s="124"/>
      <c r="BV51" s="124"/>
      <c r="BW51" s="124"/>
      <c r="BX51" s="124"/>
      <c r="BY51" s="124"/>
      <c r="BZ51" s="124"/>
      <c r="CA51" s="124"/>
      <c r="CB51" s="124"/>
      <c r="CC51" s="124"/>
      <c r="CD51" s="124"/>
      <c r="CE51" s="124"/>
      <c r="CF51" s="124"/>
      <c r="CG51" s="124"/>
      <c r="CH51" s="124"/>
      <c r="CI51" s="124"/>
      <c r="CJ51" s="124"/>
      <c r="CK51" s="124"/>
      <c r="CL51" s="124"/>
      <c r="CM51" s="124"/>
      <c r="CN51" s="124"/>
      <c r="CO51" s="124"/>
      <c r="CP51" s="124"/>
      <c r="CQ51" s="124"/>
      <c r="CR51" s="124"/>
      <c r="CS51" s="124"/>
      <c r="CT51" s="124"/>
      <c r="CU51" s="1603"/>
    </row>
    <row r="52" spans="1:99" x14ac:dyDescent="0.2">
      <c r="A52" s="571">
        <v>2019</v>
      </c>
      <c r="B52" s="1573">
        <v>111.08753541170896</v>
      </c>
      <c r="C52" s="1573">
        <v>89.385461275371014</v>
      </c>
      <c r="D52" s="1573">
        <v>99.296105947197148</v>
      </c>
      <c r="E52" s="1573">
        <v>35.579243004986566</v>
      </c>
      <c r="L52" s="144"/>
      <c r="O52" s="1604"/>
      <c r="P52" s="124"/>
      <c r="Q52" s="124"/>
      <c r="R52" s="124"/>
      <c r="S52" s="124"/>
      <c r="T52" s="124"/>
      <c r="U52" s="124"/>
      <c r="V52" s="124"/>
      <c r="W52" s="124"/>
      <c r="X52" s="124"/>
      <c r="Y52" s="124"/>
      <c r="Z52" s="124"/>
      <c r="AA52" s="124"/>
      <c r="AB52" s="124"/>
      <c r="AC52" s="124"/>
      <c r="AD52" s="124"/>
      <c r="AE52" s="124"/>
      <c r="AF52" s="124"/>
      <c r="AG52" s="124"/>
      <c r="AH52" s="124"/>
      <c r="AI52" s="124"/>
      <c r="AJ52" s="124"/>
      <c r="AK52" s="124"/>
      <c r="AL52" s="124"/>
      <c r="AM52" s="124"/>
      <c r="AN52" s="124"/>
      <c r="AO52" s="124"/>
      <c r="AP52" s="124"/>
      <c r="AQ52" s="124"/>
      <c r="AR52" s="124"/>
      <c r="AS52" s="124"/>
      <c r="AT52" s="124"/>
      <c r="AU52" s="124"/>
      <c r="AV52" s="124"/>
      <c r="AW52" s="124"/>
      <c r="AX52" s="124"/>
      <c r="AY52" s="124"/>
      <c r="AZ52" s="124"/>
      <c r="BA52" s="124"/>
      <c r="BB52" s="124"/>
      <c r="BC52" s="124"/>
      <c r="BD52" s="124"/>
      <c r="BE52" s="124"/>
      <c r="BF52" s="124"/>
      <c r="BG52" s="124"/>
      <c r="BH52" s="124"/>
      <c r="BI52" s="124"/>
      <c r="BJ52" s="124"/>
      <c r="BK52" s="124"/>
      <c r="BL52" s="124"/>
      <c r="BM52" s="124"/>
      <c r="BN52" s="124"/>
      <c r="BO52" s="124"/>
      <c r="BP52" s="124"/>
      <c r="BQ52" s="124"/>
      <c r="BR52" s="124"/>
      <c r="BS52" s="124"/>
      <c r="BT52" s="124"/>
      <c r="BU52" s="124"/>
      <c r="BV52" s="124"/>
      <c r="BW52" s="124"/>
      <c r="BX52" s="124"/>
      <c r="BY52" s="124"/>
      <c r="BZ52" s="124"/>
      <c r="CA52" s="124"/>
      <c r="CB52" s="124"/>
      <c r="CC52" s="124"/>
      <c r="CD52" s="124"/>
      <c r="CE52" s="124"/>
      <c r="CF52" s="124"/>
      <c r="CG52" s="124"/>
      <c r="CH52" s="124"/>
      <c r="CI52" s="124"/>
      <c r="CJ52" s="124"/>
      <c r="CK52" s="124"/>
      <c r="CL52" s="124"/>
      <c r="CM52" s="124"/>
      <c r="CN52" s="124"/>
      <c r="CO52" s="124"/>
      <c r="CP52" s="124"/>
      <c r="CQ52" s="124"/>
      <c r="CR52" s="124"/>
      <c r="CS52" s="124"/>
      <c r="CT52" s="124"/>
      <c r="CU52" s="1603"/>
    </row>
    <row r="53" spans="1:99" x14ac:dyDescent="0.2">
      <c r="A53" s="571">
        <v>2020</v>
      </c>
      <c r="B53" s="1572">
        <v>70.489555008430301</v>
      </c>
      <c r="C53" s="1572">
        <v>86.424119459535177</v>
      </c>
      <c r="D53" s="1572">
        <v>60.919977226980606</v>
      </c>
      <c r="E53" s="1572">
        <v>30.492000000000008</v>
      </c>
      <c r="L53" s="144"/>
      <c r="O53" s="1604"/>
      <c r="P53" s="124"/>
      <c r="Q53" s="124"/>
      <c r="R53" s="124"/>
      <c r="S53" s="124"/>
      <c r="T53" s="124"/>
      <c r="U53" s="124"/>
      <c r="V53" s="124"/>
      <c r="W53" s="124"/>
      <c r="X53" s="124"/>
      <c r="Y53" s="124"/>
      <c r="Z53" s="124"/>
      <c r="AA53" s="124"/>
      <c r="AB53" s="124"/>
      <c r="AC53" s="124"/>
      <c r="AD53" s="124"/>
      <c r="AE53" s="124"/>
      <c r="AF53" s="124"/>
      <c r="AG53" s="124"/>
      <c r="AH53" s="124"/>
      <c r="AI53" s="124"/>
      <c r="AJ53" s="124"/>
      <c r="AK53" s="124"/>
      <c r="AL53" s="124"/>
      <c r="AM53" s="124"/>
      <c r="AN53" s="124"/>
      <c r="AO53" s="124"/>
      <c r="AP53" s="124"/>
      <c r="AQ53" s="124"/>
      <c r="AR53" s="124"/>
      <c r="AS53" s="124"/>
      <c r="AT53" s="124"/>
      <c r="AU53" s="124"/>
      <c r="AV53" s="124"/>
      <c r="AW53" s="124"/>
      <c r="AX53" s="124"/>
      <c r="AY53" s="124"/>
      <c r="AZ53" s="124"/>
      <c r="BA53" s="124"/>
      <c r="BB53" s="124"/>
      <c r="BC53" s="124"/>
      <c r="BD53" s="124"/>
      <c r="BE53" s="124"/>
      <c r="BF53" s="124"/>
      <c r="BG53" s="124"/>
      <c r="BH53" s="124"/>
      <c r="BI53" s="124"/>
      <c r="BJ53" s="124"/>
      <c r="BK53" s="124"/>
      <c r="BL53" s="124"/>
      <c r="BM53" s="124"/>
      <c r="BN53" s="124"/>
      <c r="BO53" s="124"/>
      <c r="BP53" s="124"/>
      <c r="BQ53" s="124"/>
      <c r="BR53" s="124"/>
      <c r="BS53" s="124"/>
      <c r="BT53" s="124"/>
      <c r="BU53" s="124"/>
      <c r="BV53" s="124"/>
      <c r="BW53" s="124"/>
      <c r="BX53" s="124"/>
      <c r="BY53" s="124"/>
      <c r="BZ53" s="124"/>
      <c r="CA53" s="124"/>
      <c r="CB53" s="124"/>
      <c r="CC53" s="124"/>
      <c r="CD53" s="124"/>
      <c r="CE53" s="124"/>
      <c r="CF53" s="124"/>
      <c r="CG53" s="124"/>
      <c r="CH53" s="124"/>
      <c r="CI53" s="124"/>
      <c r="CJ53" s="124"/>
      <c r="CK53" s="124"/>
      <c r="CL53" s="124"/>
      <c r="CM53" s="124"/>
      <c r="CN53" s="124"/>
      <c r="CO53" s="124"/>
      <c r="CP53" s="124"/>
      <c r="CQ53" s="124"/>
      <c r="CR53" s="124"/>
      <c r="CS53" s="124"/>
      <c r="CT53" s="124"/>
      <c r="CU53" s="1603"/>
    </row>
    <row r="54" spans="1:99" x14ac:dyDescent="0.2">
      <c r="A54" s="1709">
        <v>2021</v>
      </c>
      <c r="B54" s="1573">
        <v>70.727688277317071</v>
      </c>
      <c r="C54" s="1573">
        <v>98.962766955946805</v>
      </c>
      <c r="D54" s="1573">
        <v>69.994077323209567</v>
      </c>
      <c r="E54" s="1573">
        <v>32.312000000000005</v>
      </c>
      <c r="L54" s="144"/>
      <c r="O54" s="1604"/>
      <c r="P54" s="124"/>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124"/>
      <c r="BN54" s="124"/>
      <c r="BO54" s="124"/>
      <c r="BP54" s="124"/>
      <c r="BQ54" s="124"/>
      <c r="BR54" s="124"/>
      <c r="BS54" s="124"/>
      <c r="BT54" s="124"/>
      <c r="BU54" s="124"/>
      <c r="BV54" s="124"/>
      <c r="BW54" s="124"/>
      <c r="BX54" s="124"/>
      <c r="BY54" s="124"/>
      <c r="BZ54" s="124"/>
      <c r="CA54" s="124"/>
      <c r="CB54" s="124"/>
      <c r="CC54" s="124"/>
      <c r="CD54" s="124"/>
      <c r="CE54" s="124"/>
      <c r="CF54" s="124"/>
      <c r="CG54" s="124"/>
      <c r="CH54" s="124"/>
      <c r="CI54" s="124"/>
      <c r="CJ54" s="124"/>
      <c r="CK54" s="124"/>
      <c r="CL54" s="124"/>
      <c r="CM54" s="124"/>
      <c r="CN54" s="124"/>
      <c r="CO54" s="124"/>
      <c r="CP54" s="124"/>
      <c r="CQ54" s="124"/>
      <c r="CR54" s="124"/>
      <c r="CS54" s="124"/>
      <c r="CT54" s="124"/>
      <c r="CU54" s="1603"/>
    </row>
    <row r="55" spans="1:99" x14ac:dyDescent="0.2">
      <c r="A55" s="571">
        <v>2022</v>
      </c>
      <c r="B55" s="1572">
        <v>84.747263697305328</v>
      </c>
      <c r="C55" s="1572">
        <v>81.157823860060219</v>
      </c>
      <c r="D55" s="1572">
        <v>68.779034997679659</v>
      </c>
      <c r="E55" s="1572">
        <v>34.076000000000008</v>
      </c>
      <c r="L55" s="144"/>
      <c r="O55" s="1604"/>
      <c r="P55" s="124"/>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c r="BL55" s="124"/>
      <c r="BM55" s="124"/>
      <c r="BN55" s="124"/>
      <c r="BO55" s="124"/>
      <c r="BP55" s="124"/>
      <c r="BQ55" s="124"/>
      <c r="BR55" s="124"/>
      <c r="BS55" s="124"/>
      <c r="BT55" s="124"/>
      <c r="BU55" s="124"/>
      <c r="BV55" s="124"/>
      <c r="BW55" s="124"/>
      <c r="BX55" s="124"/>
      <c r="BY55" s="124"/>
      <c r="BZ55" s="124"/>
      <c r="CA55" s="124"/>
      <c r="CB55" s="124"/>
      <c r="CC55" s="124"/>
      <c r="CD55" s="124"/>
      <c r="CE55" s="124"/>
      <c r="CF55" s="124"/>
      <c r="CG55" s="124"/>
      <c r="CH55" s="124"/>
      <c r="CI55" s="124"/>
      <c r="CJ55" s="124"/>
      <c r="CK55" s="124"/>
      <c r="CL55" s="124"/>
      <c r="CM55" s="124"/>
      <c r="CN55" s="124"/>
      <c r="CO55" s="124"/>
      <c r="CP55" s="124"/>
      <c r="CQ55" s="124"/>
      <c r="CR55" s="124"/>
      <c r="CS55" s="124"/>
      <c r="CT55" s="124"/>
      <c r="CU55" s="1603"/>
    </row>
    <row r="56" spans="1:99" x14ac:dyDescent="0.2">
      <c r="A56" s="571">
        <v>2023</v>
      </c>
      <c r="B56" s="1573">
        <v>104.06320068504348</v>
      </c>
      <c r="C56" s="1573">
        <v>82.537775687761012</v>
      </c>
      <c r="D56" s="1573">
        <v>85.891451154925505</v>
      </c>
      <c r="E56" s="1573">
        <v>42.865099618127481</v>
      </c>
      <c r="L56" s="144"/>
      <c r="O56" s="160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4"/>
      <c r="BO56" s="124"/>
      <c r="BP56" s="124"/>
      <c r="BQ56" s="124"/>
      <c r="BR56" s="124"/>
      <c r="BS56" s="124"/>
      <c r="BT56" s="124"/>
      <c r="BU56" s="124"/>
      <c r="BV56" s="124"/>
      <c r="BW56" s="124"/>
      <c r="BX56" s="124"/>
      <c r="BY56" s="124"/>
      <c r="BZ56" s="124"/>
      <c r="CA56" s="124"/>
      <c r="CB56" s="124"/>
      <c r="CC56" s="124"/>
      <c r="CD56" s="124"/>
      <c r="CE56" s="124"/>
      <c r="CF56" s="124"/>
      <c r="CG56" s="124"/>
      <c r="CH56" s="124"/>
      <c r="CI56" s="124"/>
      <c r="CJ56" s="124"/>
      <c r="CK56" s="124"/>
      <c r="CL56" s="124"/>
      <c r="CM56" s="124"/>
      <c r="CN56" s="124"/>
      <c r="CO56" s="124"/>
      <c r="CP56" s="124"/>
      <c r="CQ56" s="124"/>
      <c r="CR56" s="124"/>
      <c r="CS56" s="124"/>
      <c r="CT56" s="124"/>
      <c r="CU56" s="1603"/>
    </row>
    <row r="57" spans="1:99" x14ac:dyDescent="0.2">
      <c r="A57" s="571">
        <v>2024</v>
      </c>
      <c r="B57" s="596">
        <v>110.85247741966245</v>
      </c>
      <c r="C57" s="596">
        <v>77.478027629408174</v>
      </c>
      <c r="D57" s="596">
        <v>85.886313083089178</v>
      </c>
      <c r="E57" s="596">
        <v>41.054602101445113</v>
      </c>
      <c r="L57" s="144"/>
      <c r="O57" s="160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4"/>
      <c r="AO57" s="124"/>
      <c r="AP57" s="124"/>
      <c r="AQ57" s="124"/>
      <c r="AR57" s="124"/>
      <c r="AS57" s="124"/>
      <c r="AT57" s="124"/>
      <c r="AU57" s="124"/>
      <c r="AV57" s="124"/>
      <c r="AW57" s="124"/>
      <c r="AX57" s="124"/>
      <c r="AY57" s="124"/>
      <c r="AZ57" s="124"/>
      <c r="BA57" s="124"/>
      <c r="BB57" s="124"/>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c r="BY57" s="124"/>
      <c r="BZ57" s="124"/>
      <c r="CA57" s="124"/>
      <c r="CB57" s="124"/>
      <c r="CC57" s="124"/>
      <c r="CD57" s="124"/>
      <c r="CE57" s="124"/>
      <c r="CF57" s="124"/>
      <c r="CG57" s="124"/>
      <c r="CH57" s="124"/>
      <c r="CI57" s="124"/>
      <c r="CJ57" s="124"/>
      <c r="CK57" s="124"/>
      <c r="CL57" s="124"/>
      <c r="CM57" s="124"/>
      <c r="CN57" s="124"/>
      <c r="CO57" s="124"/>
      <c r="CP57" s="124"/>
      <c r="CQ57" s="124"/>
      <c r="CR57" s="124"/>
      <c r="CS57" s="124"/>
      <c r="CT57" s="124"/>
      <c r="CU57" s="1603"/>
    </row>
    <row r="58" spans="1:99" ht="17" thickBot="1" x14ac:dyDescent="0.25">
      <c r="A58" s="1492"/>
      <c r="B58" s="1563"/>
      <c r="C58" s="1563"/>
      <c r="D58" s="1563"/>
      <c r="E58" s="1563"/>
      <c r="F58" s="1563"/>
      <c r="G58" s="1563"/>
      <c r="H58" s="1563"/>
      <c r="I58" s="1563"/>
      <c r="J58" s="1563"/>
      <c r="K58" s="1563"/>
      <c r="L58" s="1564"/>
      <c r="O58" s="1604"/>
      <c r="P58" s="124"/>
      <c r="Q58" s="124"/>
      <c r="R58" s="124"/>
      <c r="S58" s="124"/>
      <c r="T58" s="124"/>
      <c r="U58" s="124"/>
      <c r="V58" s="124"/>
      <c r="W58" s="124"/>
      <c r="X58" s="124"/>
      <c r="Y58" s="124"/>
      <c r="Z58" s="124"/>
      <c r="AA58" s="124"/>
      <c r="AB58" s="124"/>
      <c r="AC58" s="124"/>
      <c r="AD58" s="124"/>
      <c r="AE58" s="124"/>
      <c r="AF58" s="124"/>
      <c r="AG58" s="124"/>
      <c r="AH58" s="124"/>
      <c r="AI58" s="124"/>
      <c r="AJ58" s="124"/>
      <c r="AK58" s="124"/>
      <c r="AL58" s="124"/>
      <c r="AM58" s="124"/>
      <c r="AN58" s="124"/>
      <c r="AO58" s="124"/>
      <c r="AP58" s="124"/>
      <c r="AQ58" s="124"/>
      <c r="AR58" s="124"/>
      <c r="AS58" s="124"/>
      <c r="AT58" s="124"/>
      <c r="AU58" s="124"/>
      <c r="AV58" s="124"/>
      <c r="AW58" s="124"/>
      <c r="AX58" s="124"/>
      <c r="AY58" s="124"/>
      <c r="AZ58" s="124"/>
      <c r="BA58" s="124"/>
      <c r="BB58" s="124"/>
      <c r="BC58" s="124"/>
      <c r="BD58" s="124"/>
      <c r="BE58" s="124"/>
      <c r="BF58" s="124"/>
      <c r="BG58" s="124"/>
      <c r="BH58" s="124"/>
      <c r="BI58" s="124"/>
      <c r="BJ58" s="124"/>
      <c r="BK58" s="124"/>
      <c r="BL58" s="124"/>
      <c r="BM58" s="124"/>
      <c r="BN58" s="124"/>
      <c r="BO58" s="124"/>
      <c r="BP58" s="124"/>
      <c r="BQ58" s="124"/>
      <c r="BR58" s="124"/>
      <c r="BS58" s="124"/>
      <c r="BT58" s="124"/>
      <c r="BU58" s="124"/>
      <c r="BV58" s="124"/>
      <c r="BW58" s="124"/>
      <c r="BX58" s="124"/>
      <c r="BY58" s="124"/>
      <c r="BZ58" s="124"/>
      <c r="CA58" s="124"/>
      <c r="CB58" s="124"/>
      <c r="CC58" s="124"/>
      <c r="CD58" s="124"/>
      <c r="CE58" s="124"/>
      <c r="CF58" s="124"/>
      <c r="CG58" s="124"/>
      <c r="CH58" s="124"/>
      <c r="CI58" s="124"/>
      <c r="CJ58" s="124"/>
      <c r="CK58" s="124"/>
      <c r="CL58" s="124"/>
      <c r="CM58" s="124"/>
      <c r="CN58" s="124"/>
      <c r="CO58" s="124"/>
      <c r="CP58" s="124"/>
      <c r="CQ58" s="124"/>
      <c r="CR58" s="124"/>
      <c r="CS58" s="124"/>
      <c r="CT58" s="124"/>
      <c r="CU58" s="1603"/>
    </row>
    <row r="59" spans="1:99" ht="17" thickBot="1" x14ac:dyDescent="0.25">
      <c r="O59" s="1604"/>
      <c r="P59" s="124"/>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4"/>
      <c r="AN59" s="124"/>
      <c r="AO59" s="124"/>
      <c r="AP59" s="124"/>
      <c r="AQ59" s="124"/>
      <c r="AR59" s="124"/>
      <c r="AS59" s="124"/>
      <c r="AT59" s="124"/>
      <c r="AU59" s="124"/>
      <c r="AV59" s="124"/>
      <c r="AW59" s="124"/>
      <c r="AX59" s="124"/>
      <c r="AY59" s="124"/>
      <c r="AZ59" s="124"/>
      <c r="BA59" s="124"/>
      <c r="BB59" s="124"/>
      <c r="BC59" s="124"/>
      <c r="BD59" s="124"/>
      <c r="BE59" s="124"/>
      <c r="BF59" s="124"/>
      <c r="BG59" s="124"/>
      <c r="BH59" s="124"/>
      <c r="BI59" s="124"/>
      <c r="BJ59" s="124"/>
      <c r="BK59" s="124"/>
      <c r="BL59" s="124"/>
      <c r="BM59" s="124"/>
      <c r="BN59" s="124"/>
      <c r="BO59" s="124"/>
      <c r="BP59" s="124"/>
      <c r="BQ59" s="124"/>
      <c r="BR59" s="124"/>
      <c r="BS59" s="124"/>
      <c r="BT59" s="124"/>
      <c r="BU59" s="124"/>
      <c r="BV59" s="124"/>
      <c r="BW59" s="124"/>
      <c r="BX59" s="124"/>
      <c r="BY59" s="124"/>
      <c r="BZ59" s="124"/>
      <c r="CA59" s="124"/>
      <c r="CB59" s="124"/>
      <c r="CC59" s="124"/>
      <c r="CD59" s="124"/>
      <c r="CE59" s="124"/>
      <c r="CF59" s="124"/>
      <c r="CG59" s="124"/>
      <c r="CH59" s="124"/>
      <c r="CI59" s="124"/>
      <c r="CJ59" s="124"/>
      <c r="CK59" s="124"/>
      <c r="CL59" s="124"/>
      <c r="CM59" s="124"/>
      <c r="CN59" s="124"/>
      <c r="CO59" s="124"/>
      <c r="CP59" s="124"/>
      <c r="CQ59" s="124"/>
      <c r="CR59" s="124"/>
      <c r="CS59" s="124"/>
      <c r="CT59" s="124"/>
      <c r="CU59" s="1603"/>
    </row>
    <row r="60" spans="1:99" x14ac:dyDescent="0.2">
      <c r="A60" s="1491"/>
      <c r="B60" s="152" t="s">
        <v>254</v>
      </c>
      <c r="C60" s="152"/>
      <c r="D60" s="154"/>
      <c r="O60" s="1604"/>
      <c r="P60" s="124"/>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c r="BY60" s="124"/>
      <c r="BZ60" s="124"/>
      <c r="CA60" s="124"/>
      <c r="CB60" s="124"/>
      <c r="CC60" s="124"/>
      <c r="CD60" s="124"/>
      <c r="CE60" s="124"/>
      <c r="CF60" s="124"/>
      <c r="CG60" s="124"/>
      <c r="CH60" s="124"/>
      <c r="CI60" s="124"/>
      <c r="CJ60" s="124"/>
      <c r="CK60" s="124"/>
      <c r="CL60" s="124"/>
      <c r="CM60" s="124"/>
      <c r="CN60" s="124"/>
      <c r="CO60" s="124"/>
      <c r="CP60" s="124"/>
      <c r="CQ60" s="124"/>
      <c r="CR60" s="124"/>
      <c r="CS60" s="124"/>
      <c r="CT60" s="124"/>
      <c r="CU60" s="1603"/>
    </row>
    <row r="61" spans="1:99" x14ac:dyDescent="0.2">
      <c r="A61" s="52" t="s">
        <v>886</v>
      </c>
      <c r="B61" s="182">
        <v>20828353.271046471</v>
      </c>
      <c r="C61" s="182"/>
      <c r="D61" s="1589"/>
      <c r="O61" s="1601" t="s">
        <v>779</v>
      </c>
      <c r="P61" s="1605">
        <v>43374</v>
      </c>
      <c r="Q61" s="1605">
        <v>43405</v>
      </c>
      <c r="R61" s="1605">
        <v>43435</v>
      </c>
      <c r="S61" s="1605">
        <v>43466</v>
      </c>
      <c r="T61" s="1605">
        <v>43497</v>
      </c>
      <c r="U61" s="1605">
        <v>43525</v>
      </c>
      <c r="V61" s="1605">
        <v>43556</v>
      </c>
      <c r="W61" s="1605">
        <v>43586</v>
      </c>
      <c r="X61" s="1605">
        <v>43617</v>
      </c>
      <c r="Y61" s="1605">
        <v>43647</v>
      </c>
      <c r="Z61" s="1605">
        <v>43678</v>
      </c>
      <c r="AA61" s="1605">
        <v>43709</v>
      </c>
      <c r="AB61" s="1605">
        <v>43739</v>
      </c>
      <c r="AC61" s="1605">
        <v>43770</v>
      </c>
      <c r="AD61" s="1605">
        <v>43800</v>
      </c>
      <c r="AE61" s="1605">
        <v>43831</v>
      </c>
      <c r="AF61" s="1605">
        <v>43862</v>
      </c>
      <c r="AG61" s="1605">
        <v>43891</v>
      </c>
      <c r="AH61" s="1605">
        <v>43922</v>
      </c>
      <c r="AI61" s="1605">
        <v>43952</v>
      </c>
      <c r="AJ61" s="1605">
        <v>43983</v>
      </c>
      <c r="AK61" s="1605">
        <v>44013</v>
      </c>
      <c r="AL61" s="1605">
        <v>44044</v>
      </c>
      <c r="AM61" s="1605">
        <v>44075</v>
      </c>
      <c r="AN61" s="1605">
        <v>44105</v>
      </c>
      <c r="AO61" s="1605">
        <v>44136</v>
      </c>
      <c r="AP61" s="1605">
        <v>44166</v>
      </c>
      <c r="AQ61" s="1605">
        <v>44197</v>
      </c>
      <c r="AR61" s="1605">
        <v>44228</v>
      </c>
      <c r="AS61" s="1605">
        <v>44256</v>
      </c>
      <c r="AT61" s="1605">
        <v>44287</v>
      </c>
      <c r="AU61" s="1605">
        <v>44317</v>
      </c>
      <c r="AV61" s="1605">
        <v>44348</v>
      </c>
      <c r="AW61" s="1605">
        <v>44378</v>
      </c>
      <c r="AX61" s="1605">
        <v>44409</v>
      </c>
      <c r="AY61" s="1605">
        <v>44440</v>
      </c>
      <c r="AZ61" s="1605">
        <v>44470</v>
      </c>
      <c r="BA61" s="1605">
        <v>44501</v>
      </c>
      <c r="BB61" s="1605">
        <v>44531</v>
      </c>
      <c r="BC61" s="1605">
        <v>44562</v>
      </c>
      <c r="BD61" s="1605">
        <v>44593</v>
      </c>
      <c r="BE61" s="1605">
        <v>44621</v>
      </c>
      <c r="BF61" s="1605">
        <v>44652</v>
      </c>
      <c r="BG61" s="1605">
        <v>44682</v>
      </c>
      <c r="BH61" s="1605">
        <v>44713</v>
      </c>
      <c r="BI61" s="1605">
        <v>44743</v>
      </c>
      <c r="BJ61" s="1605">
        <v>44774</v>
      </c>
      <c r="BK61" s="1605">
        <v>44805</v>
      </c>
      <c r="BL61" s="1605">
        <v>44835</v>
      </c>
      <c r="BM61" s="1605">
        <v>44866</v>
      </c>
      <c r="BN61" s="1605">
        <v>44896</v>
      </c>
      <c r="BO61" s="1605">
        <v>44927</v>
      </c>
      <c r="BP61" s="1605">
        <v>44958</v>
      </c>
      <c r="BQ61" s="1605">
        <v>44986</v>
      </c>
      <c r="BR61" s="1605">
        <v>45017</v>
      </c>
      <c r="BS61" s="1605">
        <v>45047</v>
      </c>
      <c r="BT61" s="1605">
        <v>45078</v>
      </c>
      <c r="BU61" s="1605">
        <v>45108</v>
      </c>
      <c r="BV61" s="1605">
        <v>45139</v>
      </c>
      <c r="BW61" s="1605">
        <v>45170</v>
      </c>
      <c r="BX61" s="1605">
        <v>45200</v>
      </c>
      <c r="BY61" s="1605">
        <v>45231</v>
      </c>
      <c r="BZ61" s="1605">
        <v>45261</v>
      </c>
      <c r="CA61" s="1605">
        <v>45292</v>
      </c>
      <c r="CB61" s="1605">
        <v>45323</v>
      </c>
      <c r="CC61" s="1605">
        <v>45352</v>
      </c>
      <c r="CD61" s="1605">
        <v>45383</v>
      </c>
      <c r="CE61" s="1605">
        <v>45413</v>
      </c>
      <c r="CF61" s="1605">
        <v>45444</v>
      </c>
      <c r="CG61" s="1605">
        <v>45474</v>
      </c>
      <c r="CH61" s="1605">
        <v>45505</v>
      </c>
      <c r="CI61" s="1605">
        <v>45536</v>
      </c>
      <c r="CJ61" s="1605">
        <v>45566</v>
      </c>
      <c r="CK61" s="1605">
        <v>45597</v>
      </c>
      <c r="CL61" s="1605">
        <v>45627</v>
      </c>
      <c r="CM61" s="1605">
        <v>45658</v>
      </c>
      <c r="CN61" s="1605">
        <v>45689</v>
      </c>
      <c r="CO61" s="1605">
        <v>45717</v>
      </c>
      <c r="CP61" s="1605">
        <v>45748</v>
      </c>
      <c r="CQ61" s="1605">
        <v>45778</v>
      </c>
      <c r="CR61" s="1605">
        <v>45809</v>
      </c>
      <c r="CS61" s="1605">
        <v>45839</v>
      </c>
      <c r="CT61" s="1605">
        <v>45870</v>
      </c>
      <c r="CU61" s="1606">
        <v>45901</v>
      </c>
    </row>
    <row r="62" spans="1:99" x14ac:dyDescent="0.2">
      <c r="A62" s="52" t="s">
        <v>885</v>
      </c>
      <c r="B62" s="182">
        <v>20828353.271046471</v>
      </c>
      <c r="C62" s="182">
        <f>'1-P&amp;L Modified'!B73-'APPENDIX 2-Graph Presentation'!B62</f>
        <v>13235629.148465823</v>
      </c>
      <c r="D62" s="1589">
        <f>SUM(B62:C62)</f>
        <v>34063982.419512294</v>
      </c>
      <c r="O62" s="1607" t="s">
        <v>904</v>
      </c>
      <c r="P62" s="1608">
        <v>0.81900000000000006</v>
      </c>
      <c r="Q62" s="1608">
        <v>0.77800000000000002</v>
      </c>
      <c r="R62" s="1608">
        <v>0.63</v>
      </c>
      <c r="S62" s="1608">
        <v>0.66599999999999993</v>
      </c>
      <c r="T62" s="1608">
        <v>0.72</v>
      </c>
      <c r="U62" s="1608">
        <v>0.73699999999999999</v>
      </c>
      <c r="V62" s="1608">
        <v>0.67799999999999994</v>
      </c>
      <c r="W62" s="1608">
        <v>0.752</v>
      </c>
      <c r="X62" s="1608">
        <v>0.752</v>
      </c>
      <c r="Y62" s="1608">
        <v>0.71900000000000008</v>
      </c>
      <c r="Z62" s="1608">
        <v>0.66900000000000004</v>
      </c>
      <c r="AA62" s="1608">
        <v>0.70700000000000007</v>
      </c>
      <c r="AB62" s="1608">
        <v>0.754</v>
      </c>
      <c r="AC62" s="1608">
        <v>0.77200000000000002</v>
      </c>
      <c r="AD62" s="1608">
        <v>0.57899999999999996</v>
      </c>
      <c r="AE62" s="1608">
        <v>0.67400000000000004</v>
      </c>
      <c r="AF62" s="1608">
        <v>0.70099999999999996</v>
      </c>
      <c r="AG62" s="1608">
        <v>0.249</v>
      </c>
      <c r="AH62" s="1608">
        <v>2.6000000000000002E-2</v>
      </c>
      <c r="AI62" s="1608">
        <v>3.9E-2</v>
      </c>
      <c r="AJ62" s="1608">
        <v>6.9000000000000006E-2</v>
      </c>
      <c r="AK62" s="1608">
        <v>0.111</v>
      </c>
      <c r="AL62" s="1608">
        <v>0.156</v>
      </c>
      <c r="AM62" s="1608">
        <v>0.17699999999999999</v>
      </c>
      <c r="AN62" s="1608">
        <v>0.14599999999999999</v>
      </c>
      <c r="AO62" s="1608">
        <v>9.5000000000000001E-2</v>
      </c>
      <c r="AP62" s="1608">
        <v>9.3000000000000013E-2</v>
      </c>
      <c r="AQ62" s="1608">
        <v>0.09</v>
      </c>
      <c r="AR62" s="1608">
        <v>9.3000000000000013E-2</v>
      </c>
      <c r="AS62" s="1608">
        <v>9.6999999999999989E-2</v>
      </c>
      <c r="AT62" s="1608">
        <v>8.900000000000001E-2</v>
      </c>
      <c r="AU62" s="1608">
        <v>0.1</v>
      </c>
      <c r="AV62" s="1608">
        <v>0.14699999999999999</v>
      </c>
      <c r="AW62" s="1608">
        <v>0.24</v>
      </c>
      <c r="AX62" s="1608">
        <v>0.29699999999999999</v>
      </c>
      <c r="AY62" s="1608">
        <v>0.35299999999999998</v>
      </c>
      <c r="AZ62" s="1608">
        <v>0.39100000000000001</v>
      </c>
      <c r="BA62" s="1608">
        <v>0.40799999999999997</v>
      </c>
      <c r="BB62" s="1608">
        <v>0.29399999999999998</v>
      </c>
      <c r="BC62" s="1608">
        <v>0.22899999999999998</v>
      </c>
      <c r="BD62" s="1608">
        <v>0.27100000000000002</v>
      </c>
      <c r="BE62" s="1608">
        <v>0.36799999999999999</v>
      </c>
      <c r="BF62" s="1608">
        <v>0.44799999999999995</v>
      </c>
      <c r="BG62" s="1608">
        <v>0.60699999999999998</v>
      </c>
      <c r="BH62" s="1608">
        <v>0.58799999999999997</v>
      </c>
      <c r="BI62" s="1608">
        <v>0.59499999999999997</v>
      </c>
      <c r="BJ62" s="1608">
        <v>0.47899999999999998</v>
      </c>
      <c r="BK62" s="1608">
        <v>0.65900000000000003</v>
      </c>
      <c r="BL62" s="1608">
        <v>0.65500000000000003</v>
      </c>
      <c r="BM62" s="1608">
        <v>0.65599999999999992</v>
      </c>
      <c r="BN62" s="1608">
        <v>0.53900000000000003</v>
      </c>
      <c r="BO62" s="1608">
        <v>0.503</v>
      </c>
      <c r="BP62" s="1608">
        <v>0.6</v>
      </c>
      <c r="BQ62" s="1608">
        <v>0.65</v>
      </c>
      <c r="BR62" s="1608">
        <v>0.57600000000000007</v>
      </c>
      <c r="BS62" s="1608">
        <v>0.64500000000000002</v>
      </c>
      <c r="BT62" s="1608">
        <v>0.71</v>
      </c>
      <c r="BU62" s="1608">
        <v>0.628</v>
      </c>
      <c r="BV62" s="1608">
        <v>0.55899999999999994</v>
      </c>
      <c r="BW62" s="1608">
        <v>0.70400000000000007</v>
      </c>
      <c r="BX62" s="1608">
        <v>0.69499999999999995</v>
      </c>
      <c r="BY62" s="1608">
        <v>0.73599999999999999</v>
      </c>
      <c r="BZ62" s="1608">
        <v>0.61899999999999999</v>
      </c>
      <c r="CA62" s="1608">
        <v>0.64700000000000002</v>
      </c>
      <c r="CB62" s="1608">
        <v>0.58599999999999997</v>
      </c>
      <c r="CC62" s="1608">
        <v>0.63100000000000001</v>
      </c>
      <c r="CD62" s="1608">
        <v>0.66099999999999992</v>
      </c>
      <c r="CE62" s="1608">
        <v>0.625</v>
      </c>
      <c r="CF62" s="1608">
        <v>0.80599999999999994</v>
      </c>
      <c r="CG62" s="1608">
        <v>0.73199999999999998</v>
      </c>
      <c r="CH62" s="1608">
        <v>0.60299999999999998</v>
      </c>
      <c r="CI62" s="1608">
        <v>0.81</v>
      </c>
      <c r="CJ62" s="1608">
        <v>0.73599999999999999</v>
      </c>
      <c r="CK62" s="1608">
        <v>0.75800000000000001</v>
      </c>
      <c r="CL62" s="1608">
        <v>0.64900000000000002</v>
      </c>
      <c r="CM62" s="1608">
        <v>0.60399999999999998</v>
      </c>
      <c r="CN62" s="1608">
        <v>0.67900000000000005</v>
      </c>
      <c r="CO62" s="1608">
        <v>0.67900000000000005</v>
      </c>
      <c r="CP62" s="1608">
        <v>0.61499999999999999</v>
      </c>
      <c r="CQ62" s="1608">
        <v>0.7340000000000001</v>
      </c>
      <c r="CR62" s="1608">
        <v>0.73199999999999998</v>
      </c>
      <c r="CS62" s="1608">
        <v>0.69900000000000007</v>
      </c>
      <c r="CT62" s="1608">
        <v>0.624</v>
      </c>
      <c r="CU62" s="1609">
        <v>0.76200000000000001</v>
      </c>
    </row>
    <row r="63" spans="1:99" x14ac:dyDescent="0.2">
      <c r="A63" s="52"/>
      <c r="D63" s="144"/>
      <c r="O63" s="1607" t="s">
        <v>888</v>
      </c>
      <c r="P63" s="1608">
        <v>0.79400000000000004</v>
      </c>
      <c r="Q63" s="1608">
        <v>0.75599999999999989</v>
      </c>
      <c r="R63" s="1608">
        <v>0.68400000000000005</v>
      </c>
      <c r="S63" s="1608">
        <v>0.64200000000000002</v>
      </c>
      <c r="T63" s="1608">
        <v>0.69599999999999995</v>
      </c>
      <c r="U63" s="1608">
        <v>0.73</v>
      </c>
      <c r="V63" s="1608">
        <v>0.72299999999999998</v>
      </c>
      <c r="W63" s="1608">
        <v>0.78299999999999992</v>
      </c>
      <c r="X63" s="1608">
        <v>0.78799999999999992</v>
      </c>
      <c r="Y63" s="1608">
        <v>0.77500000000000002</v>
      </c>
      <c r="Z63" s="1608">
        <v>0.748</v>
      </c>
      <c r="AA63" s="1608">
        <v>0.81400000000000006</v>
      </c>
      <c r="AB63" s="1608">
        <v>0.80099999999999993</v>
      </c>
      <c r="AC63" s="1608">
        <v>0.79299999999999993</v>
      </c>
      <c r="AD63" s="1608">
        <v>0.69</v>
      </c>
      <c r="AE63" s="1608">
        <v>0.64200000000000002</v>
      </c>
      <c r="AF63" s="1608">
        <v>0.69299999999999995</v>
      </c>
      <c r="AG63" s="1608">
        <v>0.23600000000000002</v>
      </c>
      <c r="AH63" s="1608">
        <v>3.5000000000000003E-2</v>
      </c>
      <c r="AI63" s="1608">
        <v>5.2999999999999999E-2</v>
      </c>
      <c r="AJ63" s="1608">
        <v>0.13400000000000001</v>
      </c>
      <c r="AK63" s="1608">
        <v>0.23899999999999999</v>
      </c>
      <c r="AL63" s="1608">
        <v>0.3</v>
      </c>
      <c r="AM63" s="1608">
        <v>0.32299999999999995</v>
      </c>
      <c r="AN63" s="1608">
        <v>0.23499999999999999</v>
      </c>
      <c r="AO63" s="1608">
        <v>0.1</v>
      </c>
      <c r="AP63" s="1608">
        <v>0.08</v>
      </c>
      <c r="AQ63" s="1608">
        <v>7.4999999999999997E-2</v>
      </c>
      <c r="AR63" s="1608">
        <v>8.900000000000001E-2</v>
      </c>
      <c r="AS63" s="1608">
        <v>0.10800000000000001</v>
      </c>
      <c r="AT63" s="1608">
        <v>0.10300000000000001</v>
      </c>
      <c r="AU63" s="1608">
        <v>0.122</v>
      </c>
      <c r="AV63" s="1608">
        <v>0.22500000000000001</v>
      </c>
      <c r="AW63" s="1608">
        <v>0.38299999999999995</v>
      </c>
      <c r="AX63" s="1608">
        <v>0.48499999999999999</v>
      </c>
      <c r="AY63" s="1608">
        <v>0.504</v>
      </c>
      <c r="AZ63" s="1608">
        <v>0.55700000000000005</v>
      </c>
      <c r="BA63" s="1608">
        <v>0.45399999999999996</v>
      </c>
      <c r="BB63" s="1608">
        <v>0.28300000000000003</v>
      </c>
      <c r="BC63" s="1608">
        <v>0.217</v>
      </c>
      <c r="BD63" s="1608">
        <v>0.29199999999999998</v>
      </c>
      <c r="BE63" s="1608">
        <v>0.41100000000000003</v>
      </c>
      <c r="BF63" s="1608">
        <v>0.55399999999999994</v>
      </c>
      <c r="BG63" s="1608">
        <v>0.69499999999999995</v>
      </c>
      <c r="BH63" s="1608">
        <v>0.71700000000000008</v>
      </c>
      <c r="BI63" s="1608">
        <v>0.67799999999999994</v>
      </c>
      <c r="BJ63" s="1608">
        <v>0.64500000000000002</v>
      </c>
      <c r="BK63" s="1608">
        <v>0.746</v>
      </c>
      <c r="BL63" s="1608">
        <v>0.70599999999999996</v>
      </c>
      <c r="BM63" s="1608">
        <v>0.65599999999999992</v>
      </c>
      <c r="BN63" s="1608">
        <v>0.57499999999999996</v>
      </c>
      <c r="BO63" s="1608">
        <v>0.46600000000000003</v>
      </c>
      <c r="BP63" s="1608">
        <v>0.56799999999999995</v>
      </c>
      <c r="BQ63" s="1608">
        <v>0.63900000000000001</v>
      </c>
      <c r="BR63" s="1608">
        <v>0.64300000000000002</v>
      </c>
      <c r="BS63" s="1608">
        <v>0.70499999999999996</v>
      </c>
      <c r="BT63" s="1608">
        <v>0.73699999999999999</v>
      </c>
      <c r="BU63" s="1608">
        <v>0.7</v>
      </c>
      <c r="BV63" s="1608">
        <v>0.65700000000000003</v>
      </c>
      <c r="BW63" s="1608">
        <v>0.755</v>
      </c>
      <c r="BX63" s="1608">
        <v>0.70799999999999996</v>
      </c>
      <c r="BY63" s="1608">
        <v>0.68900000000000006</v>
      </c>
      <c r="BZ63" s="1608">
        <v>0.61399999999999999</v>
      </c>
      <c r="CA63" s="1608">
        <v>0.52100000000000002</v>
      </c>
      <c r="CB63" s="1608">
        <v>0.59799999999999998</v>
      </c>
      <c r="CC63" s="1608">
        <v>0.64300000000000002</v>
      </c>
      <c r="CD63" s="1608">
        <v>0.67799999999999994</v>
      </c>
      <c r="CE63" s="1608">
        <v>0.68500000000000005</v>
      </c>
      <c r="CF63" s="1608">
        <v>0.79900000000000004</v>
      </c>
      <c r="CG63" s="1608">
        <v>0.72099999999999997</v>
      </c>
      <c r="CH63" s="1608">
        <v>0.69099999999999995</v>
      </c>
      <c r="CI63" s="1608">
        <v>0.78500000000000003</v>
      </c>
      <c r="CJ63" s="1608">
        <v>0.74</v>
      </c>
      <c r="CK63" s="1608">
        <v>0.72799999999999998</v>
      </c>
      <c r="CL63" s="1608">
        <v>0.65799999999999992</v>
      </c>
      <c r="CM63" s="1608">
        <v>0.52300000000000002</v>
      </c>
      <c r="CN63" s="1608">
        <v>0.624</v>
      </c>
      <c r="CO63" s="1608">
        <v>0.65900000000000003</v>
      </c>
      <c r="CP63" s="1608">
        <v>7.2999999999999995E-2</v>
      </c>
      <c r="CQ63" s="1608">
        <v>0.752</v>
      </c>
      <c r="CR63" s="1608">
        <v>0.7390000000000001</v>
      </c>
      <c r="CS63" s="1608">
        <v>0.746</v>
      </c>
      <c r="CT63" s="1608">
        <v>0.68799999999999994</v>
      </c>
      <c r="CU63" s="1609">
        <v>0.79599999999999993</v>
      </c>
    </row>
    <row r="64" spans="1:99" x14ac:dyDescent="0.2">
      <c r="A64" s="52"/>
      <c r="D64" s="144"/>
      <c r="O64" s="1601" t="s">
        <v>779</v>
      </c>
      <c r="P64" s="1602" t="s">
        <v>889</v>
      </c>
      <c r="Q64" s="1602" t="s">
        <v>890</v>
      </c>
      <c r="R64" s="1602" t="s">
        <v>891</v>
      </c>
      <c r="S64" s="1602" t="s">
        <v>892</v>
      </c>
      <c r="T64" s="1602" t="s">
        <v>893</v>
      </c>
      <c r="U64" s="1602" t="s">
        <v>894</v>
      </c>
      <c r="V64" s="1602" t="s">
        <v>895</v>
      </c>
      <c r="W64" s="1602" t="s">
        <v>654</v>
      </c>
      <c r="X64" s="1602" t="s">
        <v>896</v>
      </c>
      <c r="Y64" s="1602" t="s">
        <v>897</v>
      </c>
      <c r="Z64" s="1602" t="s">
        <v>898</v>
      </c>
      <c r="AA64" s="1602" t="s">
        <v>899</v>
      </c>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c r="BY64" s="124"/>
      <c r="BZ64" s="124"/>
      <c r="CA64" s="124"/>
      <c r="CB64" s="124"/>
      <c r="CC64" s="124"/>
      <c r="CD64" s="124"/>
      <c r="CE64" s="124"/>
      <c r="CF64" s="124"/>
      <c r="CG64" s="124"/>
      <c r="CH64" s="124"/>
      <c r="CI64" s="124"/>
      <c r="CJ64" s="124"/>
      <c r="CK64" s="124"/>
      <c r="CL64" s="124"/>
      <c r="CM64" s="124"/>
      <c r="CN64" s="124"/>
      <c r="CO64" s="124"/>
      <c r="CP64" s="124"/>
      <c r="CQ64" s="124"/>
      <c r="CR64" s="124"/>
      <c r="CS64" s="124"/>
      <c r="CT64" s="124"/>
      <c r="CU64" s="1603"/>
    </row>
    <row r="65" spans="1:100" x14ac:dyDescent="0.2">
      <c r="A65" s="52"/>
      <c r="D65" s="144"/>
      <c r="O65" s="1607" t="s">
        <v>904</v>
      </c>
      <c r="P65" s="1610">
        <f t="shared" ref="P65:AA66" si="1">AVERAGE(P62,AB62,AN62,AZ62,BL62,BX62,CJ62)</f>
        <v>0.59942857142857142</v>
      </c>
      <c r="Q65" s="1610">
        <f t="shared" si="1"/>
        <v>0.60042857142857131</v>
      </c>
      <c r="R65" s="1610">
        <f t="shared" si="1"/>
        <v>0.48614285714285721</v>
      </c>
      <c r="S65" s="1610">
        <f t="shared" si="1"/>
        <v>0.4875714285714286</v>
      </c>
      <c r="T65" s="1610">
        <f t="shared" si="1"/>
        <v>0.52142857142857135</v>
      </c>
      <c r="U65" s="1610">
        <f t="shared" si="1"/>
        <v>0.48728571428571438</v>
      </c>
      <c r="V65" s="1610">
        <f t="shared" si="1"/>
        <v>0.44185714285714284</v>
      </c>
      <c r="W65" s="1610">
        <f t="shared" si="1"/>
        <v>0.50028571428571422</v>
      </c>
      <c r="X65" s="1610">
        <f t="shared" si="1"/>
        <v>0.54342857142857148</v>
      </c>
      <c r="Y65" s="1610">
        <f t="shared" si="1"/>
        <v>0.53200000000000003</v>
      </c>
      <c r="Z65" s="1610">
        <f t="shared" si="1"/>
        <v>0.48385714285714287</v>
      </c>
      <c r="AA65" s="1610">
        <f t="shared" si="1"/>
        <v>0.59600000000000009</v>
      </c>
      <c r="AB65" s="124"/>
      <c r="AC65" s="124"/>
      <c r="AD65" s="124"/>
      <c r="AE65" s="124"/>
      <c r="AF65" s="124"/>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4"/>
      <c r="BT65" s="124"/>
      <c r="BU65" s="124"/>
      <c r="BV65" s="124"/>
      <c r="BW65" s="124"/>
      <c r="BX65" s="124"/>
      <c r="BY65" s="124"/>
      <c r="BZ65" s="124"/>
      <c r="CA65" s="124"/>
      <c r="CB65" s="124"/>
      <c r="CC65" s="124"/>
      <c r="CD65" s="124"/>
      <c r="CE65" s="124"/>
      <c r="CF65" s="124"/>
      <c r="CG65" s="124"/>
      <c r="CH65" s="124"/>
      <c r="CI65" s="124"/>
      <c r="CJ65" s="124"/>
      <c r="CK65" s="124"/>
      <c r="CL65" s="124"/>
      <c r="CM65" s="124"/>
      <c r="CN65" s="124"/>
      <c r="CO65" s="124"/>
      <c r="CP65" s="124"/>
      <c r="CQ65" s="124"/>
      <c r="CR65" s="124"/>
      <c r="CS65" s="124"/>
      <c r="CT65" s="124"/>
      <c r="CU65" s="1603"/>
    </row>
    <row r="66" spans="1:100" x14ac:dyDescent="0.2">
      <c r="A66" s="52"/>
      <c r="D66" s="144"/>
      <c r="O66" s="1607" t="s">
        <v>888</v>
      </c>
      <c r="P66" s="1610">
        <f t="shared" si="1"/>
        <v>0.6487142857142858</v>
      </c>
      <c r="Q66" s="1610">
        <f t="shared" si="1"/>
        <v>0.59657142857142842</v>
      </c>
      <c r="R66" s="1610">
        <f t="shared" si="1"/>
        <v>0.51200000000000001</v>
      </c>
      <c r="S66" s="1610">
        <f t="shared" si="1"/>
        <v>0.44085714285714289</v>
      </c>
      <c r="T66" s="1610">
        <f t="shared" si="1"/>
        <v>0.50857142857142856</v>
      </c>
      <c r="U66" s="1610">
        <f t="shared" si="1"/>
        <v>0.48942857142857144</v>
      </c>
      <c r="V66" s="1610">
        <f t="shared" si="1"/>
        <v>0.40128571428571425</v>
      </c>
      <c r="W66" s="1610">
        <f t="shared" si="1"/>
        <v>0.54214285714285715</v>
      </c>
      <c r="X66" s="1610">
        <f t="shared" si="1"/>
        <v>0.5912857142857143</v>
      </c>
      <c r="Y66" s="1610">
        <f t="shared" si="1"/>
        <v>0.60600000000000009</v>
      </c>
      <c r="Z66" s="1610">
        <f t="shared" si="1"/>
        <v>0.60199999999999998</v>
      </c>
      <c r="AA66" s="1610">
        <f t="shared" si="1"/>
        <v>0.67471428571428571</v>
      </c>
      <c r="AB66" s="124"/>
      <c r="AC66" s="124"/>
      <c r="AD66" s="124"/>
      <c r="AE66" s="124"/>
      <c r="AF66" s="124"/>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c r="BY66" s="124"/>
      <c r="BZ66" s="124"/>
      <c r="CA66" s="124"/>
      <c r="CB66" s="124"/>
      <c r="CC66" s="124"/>
      <c r="CD66" s="124"/>
      <c r="CE66" s="124"/>
      <c r="CF66" s="124"/>
      <c r="CG66" s="124"/>
      <c r="CH66" s="124"/>
      <c r="CI66" s="124"/>
      <c r="CJ66" s="124"/>
      <c r="CK66" s="124"/>
      <c r="CL66" s="124"/>
      <c r="CM66" s="124"/>
      <c r="CN66" s="124"/>
      <c r="CO66" s="124"/>
      <c r="CP66" s="124"/>
      <c r="CQ66" s="124"/>
      <c r="CR66" s="124"/>
      <c r="CS66" s="124"/>
      <c r="CT66" s="124"/>
      <c r="CU66" s="1603"/>
    </row>
    <row r="67" spans="1:100" x14ac:dyDescent="0.2">
      <c r="A67" s="52"/>
      <c r="D67" s="144"/>
      <c r="O67" s="1604"/>
      <c r="P67" s="124"/>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c r="BJ67" s="124"/>
      <c r="BK67" s="124"/>
      <c r="BL67" s="124"/>
      <c r="BM67" s="124"/>
      <c r="BN67" s="124"/>
      <c r="BO67" s="124"/>
      <c r="BP67" s="124"/>
      <c r="BQ67" s="124"/>
      <c r="BR67" s="124"/>
      <c r="BS67" s="124"/>
      <c r="BT67" s="124"/>
      <c r="BU67" s="124"/>
      <c r="BV67" s="124"/>
      <c r="BW67" s="124"/>
      <c r="BX67" s="124"/>
      <c r="BY67" s="124"/>
      <c r="BZ67" s="124"/>
      <c r="CA67" s="124"/>
      <c r="CB67" s="124"/>
      <c r="CC67" s="124"/>
      <c r="CD67" s="124"/>
      <c r="CE67" s="124"/>
      <c r="CF67" s="124"/>
      <c r="CG67" s="124"/>
      <c r="CH67" s="124"/>
      <c r="CI67" s="124"/>
      <c r="CJ67" s="124"/>
      <c r="CK67" s="124"/>
      <c r="CL67" s="124"/>
      <c r="CM67" s="124"/>
      <c r="CN67" s="124"/>
      <c r="CO67" s="124"/>
      <c r="CP67" s="124"/>
      <c r="CQ67" s="124"/>
      <c r="CR67" s="124"/>
      <c r="CS67" s="124"/>
      <c r="CT67" s="124"/>
      <c r="CU67" s="1603"/>
    </row>
    <row r="68" spans="1:100" x14ac:dyDescent="0.2">
      <c r="A68" s="52"/>
      <c r="D68" s="144"/>
      <c r="O68" s="1604"/>
      <c r="P68" s="124"/>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c r="BY68" s="124"/>
      <c r="BZ68" s="124"/>
      <c r="CA68" s="124"/>
      <c r="CB68" s="124"/>
      <c r="CC68" s="124"/>
      <c r="CD68" s="124"/>
      <c r="CE68" s="124"/>
      <c r="CF68" s="124"/>
      <c r="CG68" s="124"/>
      <c r="CH68" s="124"/>
      <c r="CI68" s="124"/>
      <c r="CJ68" s="124"/>
      <c r="CK68" s="124"/>
      <c r="CL68" s="124"/>
      <c r="CM68" s="124"/>
      <c r="CN68" s="124"/>
      <c r="CO68" s="124"/>
      <c r="CP68" s="124"/>
      <c r="CQ68" s="124"/>
      <c r="CR68" s="124"/>
      <c r="CS68" s="124"/>
      <c r="CT68" s="124"/>
      <c r="CU68" s="1603"/>
    </row>
    <row r="69" spans="1:100" x14ac:dyDescent="0.2">
      <c r="A69" s="52"/>
      <c r="D69" s="144"/>
      <c r="O69" s="160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c r="BY69" s="124"/>
      <c r="BZ69" s="124"/>
      <c r="CA69" s="124"/>
      <c r="CB69" s="124"/>
      <c r="CC69" s="124"/>
      <c r="CD69" s="124"/>
      <c r="CE69" s="124"/>
      <c r="CF69" s="124"/>
      <c r="CG69" s="124"/>
      <c r="CH69" s="124"/>
      <c r="CI69" s="124"/>
      <c r="CJ69" s="124"/>
      <c r="CK69" s="124"/>
      <c r="CL69" s="124"/>
      <c r="CM69" s="124"/>
      <c r="CN69" s="124"/>
      <c r="CO69" s="124"/>
      <c r="CP69" s="124"/>
      <c r="CQ69" s="124"/>
      <c r="CR69" s="124"/>
      <c r="CS69" s="124"/>
      <c r="CT69" s="124"/>
      <c r="CU69" s="1603"/>
    </row>
    <row r="70" spans="1:100" x14ac:dyDescent="0.2">
      <c r="A70" s="52"/>
      <c r="D70" s="144"/>
      <c r="F70" s="1611"/>
      <c r="O70" s="1604"/>
      <c r="P70" s="124"/>
      <c r="Q70" s="124"/>
      <c r="R70" s="124"/>
      <c r="S70" s="124"/>
      <c r="T70" s="124"/>
      <c r="U70" s="124"/>
      <c r="V70" s="124"/>
      <c r="W70" s="124"/>
      <c r="X70" s="124"/>
      <c r="Y70" s="124"/>
      <c r="Z70" s="124"/>
      <c r="AA70" s="124"/>
      <c r="AB70" s="124"/>
      <c r="AC70" s="124"/>
      <c r="AD70" s="124"/>
      <c r="AE70" s="124"/>
      <c r="AF70" s="124"/>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24"/>
      <c r="BP70" s="124"/>
      <c r="BQ70" s="124"/>
      <c r="BR70" s="124"/>
      <c r="BS70" s="124"/>
      <c r="BT70" s="124"/>
      <c r="BU70" s="124"/>
      <c r="BV70" s="124"/>
      <c r="BW70" s="124"/>
      <c r="BX70" s="124"/>
      <c r="BY70" s="124"/>
      <c r="BZ70" s="124"/>
      <c r="CA70" s="124"/>
      <c r="CB70" s="124"/>
      <c r="CC70" s="124"/>
      <c r="CD70" s="124"/>
      <c r="CE70" s="124"/>
      <c r="CF70" s="124"/>
      <c r="CG70" s="124"/>
      <c r="CH70" s="124"/>
      <c r="CI70" s="124"/>
      <c r="CJ70" s="124"/>
      <c r="CK70" s="124"/>
      <c r="CL70" s="124"/>
      <c r="CM70" s="124"/>
      <c r="CN70" s="124"/>
      <c r="CO70" s="124"/>
      <c r="CP70" s="124"/>
      <c r="CQ70" s="124"/>
      <c r="CR70" s="124"/>
      <c r="CS70" s="124"/>
      <c r="CT70" s="124"/>
      <c r="CU70" s="1603"/>
    </row>
    <row r="71" spans="1:100" x14ac:dyDescent="0.2">
      <c r="A71" s="52"/>
      <c r="D71" s="144"/>
      <c r="O71" s="1604"/>
      <c r="P71" s="124"/>
      <c r="Q71" s="124"/>
      <c r="R71" s="124"/>
      <c r="S71" s="124"/>
      <c r="T71" s="124"/>
      <c r="U71" s="124"/>
      <c r="V71" s="124"/>
      <c r="W71" s="124"/>
      <c r="X71" s="124"/>
      <c r="Y71" s="124"/>
      <c r="Z71" s="124"/>
      <c r="AA71" s="124"/>
      <c r="AB71" s="124"/>
      <c r="AC71" s="124"/>
      <c r="AD71" s="124"/>
      <c r="AE71" s="124"/>
      <c r="AF71" s="124"/>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c r="BG71" s="124"/>
      <c r="BH71" s="124"/>
      <c r="BI71" s="124"/>
      <c r="BJ71" s="124"/>
      <c r="BK71" s="124"/>
      <c r="BL71" s="124"/>
      <c r="BM71" s="124"/>
      <c r="BN71" s="124"/>
      <c r="BO71" s="124"/>
      <c r="BP71" s="124"/>
      <c r="BQ71" s="124"/>
      <c r="BR71" s="124"/>
      <c r="BS71" s="124"/>
      <c r="BT71" s="124"/>
      <c r="BU71" s="124"/>
      <c r="BV71" s="124"/>
      <c r="BW71" s="124"/>
      <c r="BX71" s="124"/>
      <c r="BY71" s="124"/>
      <c r="BZ71" s="124"/>
      <c r="CA71" s="124"/>
      <c r="CB71" s="124"/>
      <c r="CC71" s="124"/>
      <c r="CD71" s="124"/>
      <c r="CE71" s="124"/>
      <c r="CF71" s="124"/>
      <c r="CG71" s="124"/>
      <c r="CH71" s="124"/>
      <c r="CI71" s="124"/>
      <c r="CJ71" s="124"/>
      <c r="CK71" s="124"/>
      <c r="CL71" s="124"/>
      <c r="CM71" s="124"/>
      <c r="CN71" s="124"/>
      <c r="CO71" s="124"/>
      <c r="CP71" s="124"/>
      <c r="CQ71" s="124"/>
      <c r="CR71" s="124"/>
      <c r="CS71" s="124"/>
      <c r="CT71" s="124"/>
      <c r="CU71" s="1603"/>
    </row>
    <row r="72" spans="1:100" x14ac:dyDescent="0.2">
      <c r="A72" s="52"/>
      <c r="D72" s="144"/>
      <c r="O72" s="160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c r="BY72" s="124"/>
      <c r="BZ72" s="124"/>
      <c r="CA72" s="124"/>
      <c r="CB72" s="124"/>
      <c r="CC72" s="124"/>
      <c r="CD72" s="124"/>
      <c r="CE72" s="124"/>
      <c r="CF72" s="124"/>
      <c r="CG72" s="124"/>
      <c r="CH72" s="124"/>
      <c r="CI72" s="124"/>
      <c r="CJ72" s="124"/>
      <c r="CK72" s="124"/>
      <c r="CL72" s="124"/>
      <c r="CM72" s="124"/>
      <c r="CN72" s="124"/>
      <c r="CO72" s="124"/>
      <c r="CP72" s="124"/>
      <c r="CQ72" s="124"/>
      <c r="CR72" s="124"/>
      <c r="CS72" s="124"/>
      <c r="CT72" s="124"/>
      <c r="CU72" s="1603"/>
    </row>
    <row r="73" spans="1:100" x14ac:dyDescent="0.2">
      <c r="A73" s="52"/>
      <c r="D73" s="144"/>
      <c r="O73" s="1604"/>
      <c r="P73" s="124"/>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24"/>
      <c r="AN73" s="124"/>
      <c r="AO73" s="124"/>
      <c r="AP73" s="124"/>
      <c r="AQ73" s="124"/>
      <c r="AR73" s="124"/>
      <c r="AS73" s="124"/>
      <c r="AT73" s="124"/>
      <c r="AU73" s="124"/>
      <c r="AV73" s="124"/>
      <c r="AW73" s="124"/>
      <c r="AX73" s="124"/>
      <c r="AY73" s="124"/>
      <c r="AZ73" s="124"/>
      <c r="BA73" s="124"/>
      <c r="BB73" s="124"/>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c r="BY73" s="124"/>
      <c r="BZ73" s="124"/>
      <c r="CA73" s="124"/>
      <c r="CB73" s="124"/>
      <c r="CC73" s="124"/>
      <c r="CD73" s="124"/>
      <c r="CE73" s="124"/>
      <c r="CF73" s="124"/>
      <c r="CG73" s="124"/>
      <c r="CH73" s="124"/>
      <c r="CI73" s="124"/>
      <c r="CJ73" s="124"/>
      <c r="CK73" s="124"/>
      <c r="CL73" s="124"/>
      <c r="CM73" s="124"/>
      <c r="CN73" s="124"/>
      <c r="CO73" s="124"/>
      <c r="CP73" s="124"/>
      <c r="CQ73" s="124"/>
      <c r="CR73" s="124"/>
      <c r="CS73" s="124"/>
      <c r="CT73" s="124"/>
      <c r="CU73" s="1603"/>
    </row>
    <row r="74" spans="1:100" x14ac:dyDescent="0.2">
      <c r="A74" s="52"/>
      <c r="D74" s="144"/>
      <c r="O74" s="1604"/>
      <c r="P74" s="124"/>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4"/>
      <c r="AO74" s="124"/>
      <c r="AP74" s="124"/>
      <c r="AQ74" s="124"/>
      <c r="AR74" s="124"/>
      <c r="AS74" s="124"/>
      <c r="AT74" s="124"/>
      <c r="AU74" s="124"/>
      <c r="AV74" s="124"/>
      <c r="AW74" s="124"/>
      <c r="AX74" s="124"/>
      <c r="AY74" s="124"/>
      <c r="AZ74" s="124"/>
      <c r="BA74" s="124"/>
      <c r="BB74" s="124"/>
      <c r="BC74" s="124"/>
      <c r="BD74" s="124"/>
      <c r="BE74" s="124"/>
      <c r="BF74" s="124"/>
      <c r="BG74" s="124"/>
      <c r="BH74" s="124"/>
      <c r="BI74" s="124"/>
      <c r="BJ74" s="124"/>
      <c r="BK74" s="124"/>
      <c r="BL74" s="124"/>
      <c r="BM74" s="124"/>
      <c r="BN74" s="124"/>
      <c r="BO74" s="124"/>
      <c r="BP74" s="124"/>
      <c r="BQ74" s="124"/>
      <c r="BR74" s="124"/>
      <c r="BS74" s="124"/>
      <c r="BT74" s="124"/>
      <c r="BU74" s="124"/>
      <c r="BV74" s="124"/>
      <c r="BW74" s="124"/>
      <c r="BX74" s="124"/>
      <c r="BY74" s="124"/>
      <c r="BZ74" s="124"/>
      <c r="CA74" s="124"/>
      <c r="CB74" s="124"/>
      <c r="CC74" s="124"/>
      <c r="CD74" s="124"/>
      <c r="CE74" s="124"/>
      <c r="CF74" s="124"/>
      <c r="CG74" s="124"/>
      <c r="CH74" s="124"/>
      <c r="CI74" s="124"/>
      <c r="CJ74" s="124"/>
      <c r="CK74" s="124"/>
      <c r="CL74" s="124"/>
      <c r="CM74" s="124"/>
      <c r="CN74" s="124"/>
      <c r="CO74" s="124"/>
      <c r="CP74" s="124"/>
      <c r="CQ74" s="124"/>
      <c r="CR74" s="124"/>
      <c r="CS74" s="124"/>
      <c r="CT74" s="124"/>
      <c r="CU74" s="1603"/>
    </row>
    <row r="75" spans="1:100" x14ac:dyDescent="0.2">
      <c r="A75" s="52"/>
      <c r="D75" s="144"/>
      <c r="O75" s="160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c r="BC75" s="124"/>
      <c r="BD75" s="124"/>
      <c r="BE75" s="124"/>
      <c r="BF75" s="124"/>
      <c r="BG75" s="124"/>
      <c r="BH75" s="124"/>
      <c r="BI75" s="124"/>
      <c r="BJ75" s="124"/>
      <c r="BK75" s="124"/>
      <c r="BL75" s="124"/>
      <c r="BM75" s="124"/>
      <c r="BN75" s="124"/>
      <c r="BO75" s="124"/>
      <c r="BP75" s="124"/>
      <c r="BQ75" s="124"/>
      <c r="BR75" s="124"/>
      <c r="BS75" s="124"/>
      <c r="BT75" s="124"/>
      <c r="BU75" s="124"/>
      <c r="BV75" s="124"/>
      <c r="BW75" s="124"/>
      <c r="BX75" s="124"/>
      <c r="BY75" s="124"/>
      <c r="BZ75" s="124"/>
      <c r="CA75" s="124"/>
      <c r="CB75" s="124"/>
      <c r="CC75" s="124"/>
      <c r="CD75" s="124"/>
      <c r="CE75" s="124"/>
      <c r="CF75" s="124"/>
      <c r="CG75" s="124"/>
      <c r="CH75" s="124"/>
      <c r="CI75" s="124"/>
      <c r="CJ75" s="124"/>
      <c r="CK75" s="124"/>
      <c r="CL75" s="124"/>
      <c r="CM75" s="124"/>
      <c r="CN75" s="124"/>
      <c r="CO75" s="124"/>
      <c r="CP75" s="124"/>
      <c r="CQ75" s="124"/>
      <c r="CR75" s="124"/>
      <c r="CS75" s="124"/>
      <c r="CT75" s="124"/>
      <c r="CU75" s="1603"/>
    </row>
    <row r="76" spans="1:100" x14ac:dyDescent="0.2">
      <c r="A76" s="52"/>
      <c r="D76" s="144"/>
      <c r="O76" s="160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c r="BY76" s="124"/>
      <c r="BZ76" s="124"/>
      <c r="CA76" s="124"/>
      <c r="CB76" s="124"/>
      <c r="CC76" s="124"/>
      <c r="CD76" s="124"/>
      <c r="CE76" s="124"/>
      <c r="CF76" s="124"/>
      <c r="CG76" s="124"/>
      <c r="CH76" s="124"/>
      <c r="CI76" s="124"/>
      <c r="CJ76" s="124"/>
      <c r="CK76" s="124"/>
      <c r="CL76" s="124"/>
      <c r="CM76" s="124"/>
      <c r="CN76" s="124"/>
      <c r="CO76" s="124"/>
      <c r="CP76" s="124"/>
      <c r="CQ76" s="124"/>
      <c r="CR76" s="124"/>
      <c r="CS76" s="124"/>
      <c r="CT76" s="124"/>
      <c r="CU76" s="1603"/>
    </row>
    <row r="77" spans="1:100" ht="17" thickBot="1" x14ac:dyDescent="0.25">
      <c r="A77" s="1492"/>
      <c r="B77" s="1563"/>
      <c r="C77" s="1563"/>
      <c r="D77" s="1564"/>
      <c r="O77" s="160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4"/>
      <c r="BS77" s="124"/>
      <c r="BT77" s="124"/>
      <c r="BU77" s="124"/>
      <c r="BV77" s="124"/>
      <c r="BW77" s="124"/>
      <c r="BX77" s="124"/>
      <c r="BY77" s="124"/>
      <c r="BZ77" s="124"/>
      <c r="CA77" s="124"/>
      <c r="CB77" s="124"/>
      <c r="CC77" s="124"/>
      <c r="CD77" s="124"/>
      <c r="CE77" s="124"/>
      <c r="CF77" s="124"/>
      <c r="CG77" s="124"/>
      <c r="CH77" s="124"/>
      <c r="CI77" s="124"/>
      <c r="CJ77" s="124"/>
      <c r="CK77" s="124"/>
      <c r="CL77" s="124"/>
      <c r="CM77" s="124"/>
      <c r="CN77" s="124"/>
      <c r="CO77" s="124"/>
      <c r="CP77" s="124"/>
      <c r="CQ77" s="124"/>
      <c r="CR77" s="124"/>
      <c r="CS77" s="124"/>
      <c r="CT77" s="124"/>
      <c r="CU77" s="1603"/>
    </row>
    <row r="78" spans="1:100" ht="17" thickBot="1" x14ac:dyDescent="0.25">
      <c r="O78" s="160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c r="BY78" s="124"/>
      <c r="BZ78" s="124"/>
      <c r="CA78" s="124"/>
      <c r="CB78" s="124"/>
      <c r="CC78" s="124"/>
      <c r="CD78" s="124"/>
      <c r="CE78" s="124"/>
      <c r="CF78" s="124"/>
      <c r="CG78" s="124"/>
      <c r="CH78" s="124"/>
      <c r="CI78" s="124"/>
      <c r="CJ78" s="124"/>
      <c r="CK78" s="124"/>
      <c r="CL78" s="124"/>
      <c r="CM78" s="124"/>
      <c r="CN78" s="124"/>
      <c r="CO78" s="124"/>
      <c r="CP78" s="124"/>
      <c r="CQ78" s="124"/>
      <c r="CR78" s="124"/>
      <c r="CS78" s="124"/>
      <c r="CT78" s="124"/>
      <c r="CU78" s="1603"/>
    </row>
    <row r="79" spans="1:100" ht="20" thickBot="1" x14ac:dyDescent="0.3">
      <c r="A79" s="1622"/>
      <c r="B79" s="854">
        <v>2025</v>
      </c>
      <c r="C79" s="1619">
        <v>2026</v>
      </c>
      <c r="D79" s="854">
        <v>2027</v>
      </c>
      <c r="E79" s="854">
        <v>2028</v>
      </c>
      <c r="F79" s="854">
        <v>2029</v>
      </c>
      <c r="G79" s="854">
        <v>2030</v>
      </c>
      <c r="H79" s="854">
        <v>2031</v>
      </c>
      <c r="I79" s="854">
        <v>2032</v>
      </c>
      <c r="J79" s="854">
        <v>2033</v>
      </c>
      <c r="K79" s="854">
        <v>2034</v>
      </c>
      <c r="L79" s="854">
        <v>2035</v>
      </c>
      <c r="M79" s="1623">
        <v>2036</v>
      </c>
      <c r="O79" s="1604"/>
      <c r="P79" s="124"/>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c r="BY79" s="124"/>
      <c r="BZ79" s="124"/>
      <c r="CA79" s="124"/>
      <c r="CB79" s="124"/>
      <c r="CC79" s="124"/>
      <c r="CD79" s="124"/>
      <c r="CE79" s="124"/>
      <c r="CF79" s="124"/>
      <c r="CG79" s="124"/>
      <c r="CH79" s="124"/>
      <c r="CI79" s="124"/>
      <c r="CJ79" s="124"/>
      <c r="CK79" s="124"/>
      <c r="CL79" s="124"/>
      <c r="CM79" s="124"/>
      <c r="CN79" s="124"/>
      <c r="CO79" s="124"/>
      <c r="CP79" s="124"/>
      <c r="CQ79" s="124"/>
      <c r="CR79" s="124"/>
      <c r="CS79" s="124"/>
      <c r="CT79" s="124"/>
      <c r="CU79" s="1603"/>
    </row>
    <row r="80" spans="1:100" x14ac:dyDescent="0.2">
      <c r="A80" s="1604" t="s">
        <v>905</v>
      </c>
      <c r="B80" s="124">
        <v>51830</v>
      </c>
      <c r="C80" s="124">
        <v>48728</v>
      </c>
      <c r="D80" s="124">
        <v>49908</v>
      </c>
      <c r="E80" s="124">
        <v>48312</v>
      </c>
      <c r="F80" s="124">
        <v>51830</v>
      </c>
      <c r="G80" s="124">
        <v>51830</v>
      </c>
      <c r="H80" s="124">
        <v>51830</v>
      </c>
      <c r="I80" s="124">
        <v>51972</v>
      </c>
      <c r="J80" s="124">
        <v>51830</v>
      </c>
      <c r="K80" s="124">
        <v>51830</v>
      </c>
      <c r="L80" s="124">
        <v>51830</v>
      </c>
      <c r="M80" s="1603">
        <v>51972</v>
      </c>
      <c r="O80" s="160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c r="BY80" s="124"/>
      <c r="BZ80" s="124"/>
      <c r="CA80" s="124"/>
      <c r="CB80" s="124"/>
      <c r="CC80" s="124"/>
      <c r="CD80" s="124"/>
      <c r="CE80" s="124"/>
      <c r="CF80" s="124"/>
      <c r="CG80" s="124"/>
      <c r="CH80" s="124"/>
      <c r="CI80" s="124"/>
      <c r="CJ80" s="124"/>
      <c r="CK80" s="124"/>
      <c r="CL80" s="124"/>
      <c r="CM80" s="124"/>
      <c r="CN80" s="124"/>
      <c r="CO80" s="124"/>
      <c r="CP80" s="124"/>
      <c r="CQ80" s="124"/>
      <c r="CR80" s="124"/>
      <c r="CS80" s="124"/>
      <c r="CT80" s="124"/>
      <c r="CU80" s="1603"/>
      <c r="CV80" s="124"/>
    </row>
    <row r="81" spans="1:99" s="124" customFormat="1" ht="13" x14ac:dyDescent="0.15">
      <c r="A81" s="1624" t="s">
        <v>293</v>
      </c>
      <c r="B81" s="124">
        <v>38581</v>
      </c>
      <c r="C81" s="124">
        <v>36158</v>
      </c>
      <c r="D81" s="124">
        <v>37011</v>
      </c>
      <c r="E81" s="124">
        <v>35894</v>
      </c>
      <c r="F81" s="124">
        <v>39735</v>
      </c>
      <c r="G81" s="124">
        <v>41399</v>
      </c>
      <c r="H81" s="124">
        <v>41476</v>
      </c>
      <c r="I81" s="124">
        <v>41590</v>
      </c>
      <c r="J81" s="124">
        <v>41476</v>
      </c>
      <c r="K81" s="124">
        <v>41476</v>
      </c>
      <c r="L81" s="124">
        <v>41476</v>
      </c>
      <c r="M81" s="1603">
        <v>41590</v>
      </c>
      <c r="O81" s="1604"/>
      <c r="CU81" s="1603"/>
    </row>
    <row r="82" spans="1:99" s="124" customFormat="1" ht="13" x14ac:dyDescent="0.15">
      <c r="A82" s="1625" t="s">
        <v>906</v>
      </c>
      <c r="B82" s="1626">
        <v>0.7443881086965245</v>
      </c>
      <c r="C82" s="1626">
        <v>0.74205687018167055</v>
      </c>
      <c r="D82" s="1626">
        <v>0.74158807470179511</v>
      </c>
      <c r="E82" s="1626">
        <v>0.74297354557088324</v>
      </c>
      <c r="F82" s="1626">
        <v>0.76665081121108458</v>
      </c>
      <c r="G82" s="1626">
        <v>0.7987491379505639</v>
      </c>
      <c r="H82" s="1626">
        <v>0.80024139989501974</v>
      </c>
      <c r="I82" s="1626">
        <v>0.80024139989501974</v>
      </c>
      <c r="J82" s="1626">
        <v>0.80024139989501974</v>
      </c>
      <c r="K82" s="1626">
        <v>0.80024139989501974</v>
      </c>
      <c r="L82" s="1626">
        <v>0.80024139989501974</v>
      </c>
      <c r="M82" s="1627">
        <v>0.80024139989501974</v>
      </c>
      <c r="O82" s="1604"/>
      <c r="CU82" s="1603"/>
    </row>
    <row r="83" spans="1:99" s="124" customFormat="1" ht="13" x14ac:dyDescent="0.15">
      <c r="A83" s="1625" t="s">
        <v>131</v>
      </c>
      <c r="B83" s="1618">
        <v>120.64994404825795</v>
      </c>
      <c r="C83" s="1618">
        <v>126.44358485231193</v>
      </c>
      <c r="D83" s="1618">
        <v>133.77987360047834</v>
      </c>
      <c r="E83" s="1618">
        <v>146.89301061987172</v>
      </c>
      <c r="F83" s="1618">
        <v>161.29150064388006</v>
      </c>
      <c r="G83" s="1618">
        <v>162.58509924090308</v>
      </c>
      <c r="H83" s="1618">
        <v>163.88907282559464</v>
      </c>
      <c r="I83" s="1618">
        <v>165.20350460797783</v>
      </c>
      <c r="J83" s="1618">
        <v>166.52847846544114</v>
      </c>
      <c r="K83" s="1618">
        <v>167.86407894809093</v>
      </c>
      <c r="L83" s="1618">
        <v>169.21039128414677</v>
      </c>
      <c r="M83" s="1628">
        <v>170.5675013853801</v>
      </c>
      <c r="O83" s="1604"/>
      <c r="CU83" s="1603"/>
    </row>
    <row r="84" spans="1:99" s="124" customFormat="1" ht="13" x14ac:dyDescent="0.15">
      <c r="A84" s="1604" t="s">
        <v>230</v>
      </c>
      <c r="B84" s="1618">
        <v>89.810383664424236</v>
      </c>
      <c r="C84" s="1618">
        <v>93.828330830057084</v>
      </c>
      <c r="D84" s="1618">
        <v>99.209558897228234</v>
      </c>
      <c r="E84" s="1618">
        <v>109.1376209198275</v>
      </c>
      <c r="F84" s="1618">
        <v>123.65425981008381</v>
      </c>
      <c r="G84" s="1618">
        <v>129.86470786227821</v>
      </c>
      <c r="H84" s="1618">
        <v>131.15082106545069</v>
      </c>
      <c r="I84" s="1618">
        <v>132.20268379505151</v>
      </c>
      <c r="J84" s="1618">
        <v>133.26298272957226</v>
      </c>
      <c r="K84" s="1618">
        <v>134.33178552950841</v>
      </c>
      <c r="L84" s="1618">
        <v>135.40916039800965</v>
      </c>
      <c r="M84" s="1628">
        <v>136.49517608523229</v>
      </c>
      <c r="O84" s="1604"/>
      <c r="CU84" s="1603"/>
    </row>
    <row r="85" spans="1:99" s="124" customFormat="1" ht="13" x14ac:dyDescent="0.15">
      <c r="A85" s="1604"/>
      <c r="M85" s="1603"/>
      <c r="O85" s="1604"/>
      <c r="CU85" s="1603"/>
    </row>
    <row r="86" spans="1:99" s="124" customFormat="1" ht="13" x14ac:dyDescent="0.15">
      <c r="A86" s="1604"/>
      <c r="M86" s="1603"/>
      <c r="O86" s="1604"/>
      <c r="CU86" s="1603"/>
    </row>
    <row r="87" spans="1:99" s="124" customFormat="1" ht="13" x14ac:dyDescent="0.15">
      <c r="A87" s="1604"/>
      <c r="M87" s="1603"/>
      <c r="O87" s="1604"/>
      <c r="CU87" s="1603"/>
    </row>
    <row r="88" spans="1:99" s="124" customFormat="1" ht="13" x14ac:dyDescent="0.15">
      <c r="A88" s="1604"/>
      <c r="M88" s="1603"/>
      <c r="O88" s="1604"/>
      <c r="CU88" s="1603"/>
    </row>
    <row r="89" spans="1:99" s="124" customFormat="1" x14ac:dyDescent="0.2">
      <c r="A89" s="1604"/>
      <c r="M89" s="1603"/>
      <c r="O89" s="52"/>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s="144"/>
    </row>
    <row r="90" spans="1:99" s="124" customFormat="1" x14ac:dyDescent="0.2">
      <c r="A90" s="1604"/>
      <c r="M90" s="1603"/>
      <c r="O90" s="52"/>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s="144"/>
    </row>
    <row r="91" spans="1:99" s="124" customFormat="1" x14ac:dyDescent="0.2">
      <c r="A91" s="1604"/>
      <c r="M91" s="1603"/>
      <c r="O91" s="52"/>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s="144"/>
    </row>
    <row r="92" spans="1:99" s="124" customFormat="1" ht="17" thickBot="1" x14ac:dyDescent="0.25">
      <c r="A92" s="1604"/>
      <c r="J92" s="1629"/>
      <c r="M92" s="1603"/>
      <c r="O92" s="1492"/>
      <c r="P92" s="1563"/>
      <c r="Q92" s="1563"/>
      <c r="R92" s="1563"/>
      <c r="S92" s="1563"/>
      <c r="T92" s="1563"/>
      <c r="U92" s="1563"/>
      <c r="V92" s="1563"/>
      <c r="W92" s="1563"/>
      <c r="X92" s="1563"/>
      <c r="Y92" s="1563"/>
      <c r="Z92" s="1563"/>
      <c r="AA92" s="1563"/>
      <c r="AB92" s="1563"/>
      <c r="AC92" s="1563"/>
      <c r="AD92" s="1563"/>
      <c r="AE92" s="1563"/>
      <c r="AF92" s="1563"/>
      <c r="AG92" s="1563"/>
      <c r="AH92" s="1563"/>
      <c r="AI92" s="1563"/>
      <c r="AJ92" s="1563"/>
      <c r="AK92" s="1563"/>
      <c r="AL92" s="1563"/>
      <c r="AM92" s="1563"/>
      <c r="AN92" s="1563"/>
      <c r="AO92" s="1563"/>
      <c r="AP92" s="1563"/>
      <c r="AQ92" s="1563"/>
      <c r="AR92" s="1563"/>
      <c r="AS92" s="1563"/>
      <c r="AT92" s="1563"/>
      <c r="AU92" s="1563"/>
      <c r="AV92" s="1563"/>
      <c r="AW92" s="1563"/>
      <c r="AX92" s="1563"/>
      <c r="AY92" s="1563"/>
      <c r="AZ92" s="1563"/>
      <c r="BA92" s="1563"/>
      <c r="BB92" s="1563"/>
      <c r="BC92" s="1563"/>
      <c r="BD92" s="1563"/>
      <c r="BE92" s="1563"/>
      <c r="BF92" s="1563"/>
      <c r="BG92" s="1563"/>
      <c r="BH92" s="1563"/>
      <c r="BI92" s="1563"/>
      <c r="BJ92" s="1563"/>
      <c r="BK92" s="1563"/>
      <c r="BL92" s="1563"/>
      <c r="BM92" s="1563"/>
      <c r="BN92" s="1563"/>
      <c r="BO92" s="1563"/>
      <c r="BP92" s="1563"/>
      <c r="BQ92" s="1563"/>
      <c r="BR92" s="1563"/>
      <c r="BS92" s="1563"/>
      <c r="BT92" s="1563"/>
      <c r="BU92" s="1563"/>
      <c r="BV92" s="1563"/>
      <c r="BW92" s="1563"/>
      <c r="BX92" s="1563"/>
      <c r="BY92" s="1563"/>
      <c r="BZ92" s="1563"/>
      <c r="CA92" s="1563"/>
      <c r="CB92" s="1563"/>
      <c r="CC92" s="1563"/>
      <c r="CD92" s="1563"/>
      <c r="CE92" s="1563"/>
      <c r="CF92" s="1563"/>
      <c r="CG92" s="1563"/>
      <c r="CH92" s="1563"/>
      <c r="CI92" s="1563"/>
      <c r="CJ92" s="1563"/>
      <c r="CK92" s="1563"/>
      <c r="CL92" s="1563"/>
      <c r="CM92" s="1563"/>
      <c r="CN92" s="1563"/>
      <c r="CO92" s="1563"/>
      <c r="CP92" s="1563"/>
      <c r="CQ92" s="1563"/>
      <c r="CR92" s="1563"/>
      <c r="CS92" s="1563"/>
      <c r="CT92" s="1563"/>
      <c r="CU92" s="1564"/>
    </row>
    <row r="93" spans="1:99" s="124" customFormat="1" ht="13" x14ac:dyDescent="0.15">
      <c r="A93" s="1604"/>
      <c r="M93" s="1603"/>
    </row>
    <row r="94" spans="1:99" s="124" customFormat="1" x14ac:dyDescent="0.2">
      <c r="A94" s="1604"/>
      <c r="M94" s="1603"/>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row>
    <row r="95" spans="1:99" s="124" customFormat="1" x14ac:dyDescent="0.2">
      <c r="A95" s="1604"/>
      <c r="M95" s="1603"/>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row>
    <row r="96" spans="1:99" s="124" customFormat="1" ht="13" x14ac:dyDescent="0.15">
      <c r="A96" s="1604"/>
      <c r="M96" s="1603"/>
    </row>
    <row r="97" spans="1:14" s="124" customFormat="1" ht="13" x14ac:dyDescent="0.15">
      <c r="A97" s="1604"/>
      <c r="M97" s="1603"/>
    </row>
    <row r="98" spans="1:14" s="124" customFormat="1" ht="13" x14ac:dyDescent="0.15">
      <c r="A98" s="1604"/>
      <c r="M98" s="1603"/>
    </row>
    <row r="99" spans="1:14" s="124" customFormat="1" ht="13" x14ac:dyDescent="0.15">
      <c r="A99" s="1604"/>
      <c r="M99" s="1603"/>
    </row>
    <row r="100" spans="1:14" s="124" customFormat="1" ht="13" x14ac:dyDescent="0.15">
      <c r="A100" s="1604"/>
      <c r="M100" s="1603"/>
    </row>
    <row r="101" spans="1:14" s="124" customFormat="1" ht="13" x14ac:dyDescent="0.15">
      <c r="A101" s="1604"/>
      <c r="M101" s="1603"/>
    </row>
    <row r="102" spans="1:14" s="124" customFormat="1" ht="14" thickBot="1" x14ac:dyDescent="0.2">
      <c r="A102" s="1630"/>
      <c r="B102" s="1631"/>
      <c r="C102" s="1631"/>
      <c r="D102" s="1631"/>
      <c r="E102" s="1631"/>
      <c r="F102" s="1631"/>
      <c r="G102" s="1631"/>
      <c r="H102" s="1631"/>
      <c r="I102" s="1631"/>
      <c r="J102" s="1631"/>
      <c r="K102" s="1631"/>
      <c r="L102" s="1631"/>
      <c r="M102" s="1632"/>
    </row>
    <row r="103" spans="1:14" s="124" customFormat="1" ht="13" x14ac:dyDescent="0.15"/>
    <row r="104" spans="1:14" s="124" customFormat="1" ht="13" x14ac:dyDescent="0.15"/>
    <row r="105" spans="1:14" s="124" customFormat="1" ht="13" x14ac:dyDescent="0.15"/>
    <row r="106" spans="1:14" s="1616" customFormat="1" ht="13" x14ac:dyDescent="0.15"/>
    <row r="107" spans="1:14" s="1618" customFormat="1" ht="13" x14ac:dyDescent="0.15">
      <c r="N107" s="1617"/>
    </row>
    <row r="108" spans="1:14" s="1618" customFormat="1" ht="13" x14ac:dyDescent="0.15"/>
    <row r="109" spans="1:14" s="124" customFormat="1" ht="13" x14ac:dyDescent="0.15"/>
    <row r="110" spans="1:14" s="124" customFormat="1" ht="13" x14ac:dyDescent="0.15"/>
    <row r="111" spans="1:14" s="124" customFormat="1" ht="13" x14ac:dyDescent="0.15"/>
    <row r="112" spans="1:14" s="124" customFormat="1" ht="13" x14ac:dyDescent="0.15"/>
    <row r="113" s="124" customFormat="1" ht="13" x14ac:dyDescent="0.15"/>
    <row r="114" s="124" customFormat="1" ht="13" x14ac:dyDescent="0.15"/>
    <row r="115" s="124" customFormat="1" ht="13" x14ac:dyDescent="0.15"/>
    <row r="116" s="124" customFormat="1" ht="13" x14ac:dyDescent="0.15"/>
    <row r="117" s="124" customFormat="1" ht="13" x14ac:dyDescent="0.15"/>
    <row r="118" s="124" customFormat="1" ht="13" x14ac:dyDescent="0.15"/>
    <row r="119" s="124" customFormat="1" ht="13" x14ac:dyDescent="0.15"/>
    <row r="120" s="124" customFormat="1" ht="13" x14ac:dyDescent="0.15"/>
    <row r="121" s="124" customFormat="1" ht="13" x14ac:dyDescent="0.15"/>
    <row r="122" s="124" customFormat="1" ht="13" x14ac:dyDescent="0.15"/>
    <row r="123" s="124" customFormat="1" ht="13" x14ac:dyDescent="0.15"/>
    <row r="124" s="124" customFormat="1" ht="13" x14ac:dyDescent="0.15"/>
    <row r="125" s="124" customFormat="1" ht="13" x14ac:dyDescent="0.15"/>
    <row r="126" s="124" customFormat="1" ht="13" x14ac:dyDescent="0.15"/>
    <row r="127" s="124" customFormat="1" ht="13" x14ac:dyDescent="0.15"/>
    <row r="128" s="124" customFormat="1" ht="13" x14ac:dyDescent="0.15"/>
    <row r="129" s="124" customFormat="1" ht="13" x14ac:dyDescent="0.15"/>
    <row r="130" s="124" customFormat="1" ht="13" x14ac:dyDescent="0.15"/>
    <row r="131" s="124" customFormat="1" ht="13" x14ac:dyDescent="0.15"/>
    <row r="132" s="124" customFormat="1" ht="13" x14ac:dyDescent="0.15"/>
    <row r="133" s="124" customFormat="1" ht="13" x14ac:dyDescent="0.15"/>
    <row r="134" s="124" customFormat="1" ht="13" x14ac:dyDescent="0.15"/>
    <row r="135" s="124" customFormat="1" ht="13" x14ac:dyDescent="0.15"/>
  </sheetData>
  <mergeCells count="1">
    <mergeCell ref="A1:E1"/>
  </mergeCells>
  <conditionalFormatting sqref="B46:D57">
    <cfRule type="expression" dxfId="2" priority="3">
      <formula>B46&lt;90</formula>
    </cfRule>
    <cfRule type="expression" dxfId="1" priority="4">
      <formula>AND(B46&lt;100,B46&gt;90)</formula>
    </cfRule>
    <cfRule type="expression" dxfId="0" priority="5">
      <formula>B46&gt;100</formula>
    </cfRule>
  </conditionalFormatting>
  <conditionalFormatting sqref="P38:AA39">
    <cfRule type="colorScale" priority="2">
      <colorScale>
        <cfvo type="min"/>
        <cfvo type="percentile" val="50"/>
        <cfvo type="max"/>
        <color rgb="FF63BE7B"/>
        <color rgb="FFFFEB84"/>
        <color rgb="FFF8696B"/>
      </colorScale>
    </cfRule>
  </conditionalFormatting>
  <conditionalFormatting sqref="P65:AA66">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5</vt:i4>
      </vt:variant>
    </vt:vector>
  </HeadingPairs>
  <TitlesOfParts>
    <vt:vector size="22" baseType="lpstr">
      <vt:lpstr>WELCOME</vt:lpstr>
      <vt:lpstr>PRELIMINARY ANALYSIS</vt:lpstr>
      <vt:lpstr>ASSUMPTIONS</vt:lpstr>
      <vt:lpstr> P&amp;L Normal Situation</vt:lpstr>
      <vt:lpstr>1-P&amp;L Modified</vt:lpstr>
      <vt:lpstr>1-F&amp;B</vt:lpstr>
      <vt:lpstr>1-CAPEX</vt:lpstr>
      <vt:lpstr>1-CAPEX PLANNING</vt:lpstr>
      <vt:lpstr>CAPEX Rooms </vt:lpstr>
      <vt:lpstr>1-Capex Rooms Revenue</vt:lpstr>
      <vt:lpstr>CAPEX F&amp;B renovation</vt:lpstr>
      <vt:lpstr>CAPEX Fitness </vt:lpstr>
      <vt:lpstr>References Tab</vt:lpstr>
      <vt:lpstr>1-INCREMENTAL CF</vt:lpstr>
      <vt:lpstr>1-SENSITIVITY</vt:lpstr>
      <vt:lpstr>APPENDIX 1-STR Trend </vt:lpstr>
      <vt:lpstr>APPENDIX 2-Graph Presentation</vt:lpstr>
      <vt:lpstr>Inflation</vt:lpstr>
      <vt:lpstr>'PRELIMINARY ANALYSIS'!Preliminary_Analysis</vt:lpstr>
      <vt:lpstr>'APPENDIX 1-STR Trend '!Print_Area</vt:lpstr>
      <vt:lpstr>'APPENDIX 1-STR Trend '!Print_Titles</vt:lpstr>
      <vt:lpstr>VAT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CARBONI Alexandre</dc:creator>
  <cp:keywords/>
  <dc:description/>
  <cp:lastModifiedBy>CARBONI Alexandre</cp:lastModifiedBy>
  <cp:revision/>
  <dcterms:created xsi:type="dcterms:W3CDTF">2025-10-14T10:24:39Z</dcterms:created>
  <dcterms:modified xsi:type="dcterms:W3CDTF">2026-02-08T10:37:21Z</dcterms:modified>
  <cp:category/>
  <cp:contentStatus/>
</cp:coreProperties>
</file>