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24226"/>
  <mc:AlternateContent xmlns:mc="http://schemas.openxmlformats.org/markup-compatibility/2006">
    <mc:Choice Requires="x15">
      <x15ac:absPath xmlns:x15ac="http://schemas.microsoft.com/office/spreadsheetml/2010/11/ac" url="D:\MyData\J&amp;J\CIP\"/>
    </mc:Choice>
  </mc:AlternateContent>
  <bookViews>
    <workbookView xWindow="0" yWindow="0" windowWidth="12312" windowHeight="4500" firstSheet="8" activeTab="10"/>
  </bookViews>
  <sheets>
    <sheet name="MIRA" sheetId="8" state="hidden" r:id="rId1"/>
    <sheet name="CMT" sheetId="9" state="hidden" r:id="rId2"/>
    <sheet name="BSC Canada &amp; GBI" sheetId="11" state="hidden" r:id="rId3"/>
    <sheet name="JSC EDW" sheetId="10" state="hidden" r:id="rId4"/>
    <sheet name="Consumer Edge" sheetId="12" state="hidden" r:id="rId5"/>
    <sheet name="Global sales" sheetId="13" state="hidden" r:id="rId6"/>
    <sheet name="MyAcuvue" sheetId="14" state="hidden" r:id="rId7"/>
    <sheet name="General Improvement Ideas" sheetId="15" state="hidden" r:id="rId8"/>
    <sheet name="ASO 2017 - Completed" sheetId="21" r:id="rId9"/>
    <sheet name="ASO Master List - 2018" sheetId="22" r:id="rId10"/>
    <sheet name="Notes from Roji" sheetId="23" r:id="rId11"/>
  </sheets>
  <definedNames>
    <definedName name="_xlnm._FilterDatabase" localSheetId="8" hidden="1">'ASO 2017 - Completed'!$A$1:$U$82</definedName>
    <definedName name="_xlnm._FilterDatabase" localSheetId="9" hidden="1">'ASO Master List - 2018'!$A$1:$U$60</definedName>
    <definedName name="_xlnm._FilterDatabase" localSheetId="2" hidden="1">'BSC Canada &amp; GBI'!$A$1:$J$12</definedName>
    <definedName name="_xlnm._FilterDatabase" localSheetId="7" hidden="1">'General Improvement Ideas'!$C$1:$F$58</definedName>
  </definedNames>
  <calcPr calcId="171027"/>
</workbook>
</file>

<file path=xl/calcChain.xml><?xml version="1.0" encoding="utf-8"?>
<calcChain xmlns="http://schemas.openxmlformats.org/spreadsheetml/2006/main">
  <c r="M58" i="21" l="1"/>
  <c r="E89" i="22" l="1"/>
  <c r="C88" i="22"/>
  <c r="E87" i="22"/>
  <c r="E88" i="22" s="1"/>
  <c r="E90" i="22" s="1"/>
  <c r="E91" i="22" s="1"/>
  <c r="E86" i="22"/>
  <c r="D83" i="22"/>
  <c r="D84" i="22" s="1"/>
  <c r="C83" i="22"/>
  <c r="C82" i="22"/>
  <c r="H80" i="22"/>
  <c r="F74" i="22"/>
  <c r="B73" i="22"/>
  <c r="B74" i="22" s="1"/>
  <c r="N56" i="22"/>
  <c r="M56" i="22"/>
  <c r="U29" i="22"/>
  <c r="N29" i="22"/>
  <c r="M29" i="22"/>
  <c r="N27" i="22"/>
  <c r="M27" i="22"/>
  <c r="M26" i="22"/>
  <c r="Q55" i="22"/>
  <c r="M22" i="22"/>
  <c r="Q57" i="22"/>
  <c r="M57" i="22"/>
  <c r="M33" i="22"/>
  <c r="M49" i="22"/>
  <c r="N47" i="22"/>
  <c r="M47" i="22"/>
  <c r="M44" i="22"/>
  <c r="N34" i="22"/>
  <c r="N32" i="22"/>
  <c r="M32" i="22"/>
  <c r="M43" i="22"/>
  <c r="M51" i="22"/>
  <c r="O29" i="21"/>
  <c r="N29" i="21"/>
  <c r="M29" i="21"/>
  <c r="N28" i="21"/>
  <c r="P28" i="21" s="1"/>
  <c r="M28" i="21"/>
  <c r="M27" i="21"/>
  <c r="O26" i="21"/>
  <c r="N26" i="21"/>
  <c r="N80" i="21"/>
  <c r="P80" i="21" s="1"/>
  <c r="M48" i="21"/>
  <c r="O79" i="21"/>
  <c r="N79" i="21"/>
  <c r="M79" i="21"/>
  <c r="O78" i="21"/>
  <c r="N78" i="21"/>
  <c r="M78" i="21"/>
  <c r="O77" i="21"/>
  <c r="N77" i="21"/>
  <c r="M77" i="21"/>
  <c r="O55" i="21"/>
  <c r="N55" i="21"/>
  <c r="M55" i="21"/>
  <c r="P46" i="21"/>
  <c r="P45" i="21"/>
  <c r="P54" i="21"/>
  <c r="M54" i="21"/>
  <c r="P53" i="21"/>
  <c r="M53" i="21"/>
  <c r="N71" i="21"/>
  <c r="N25" i="21"/>
  <c r="P25" i="21" s="1"/>
  <c r="M25" i="21"/>
  <c r="O24" i="21"/>
  <c r="N24" i="21"/>
  <c r="M24" i="21"/>
  <c r="N23" i="21"/>
  <c r="P23" i="21" s="1"/>
  <c r="M23" i="21"/>
  <c r="O22" i="21"/>
  <c r="N22" i="21"/>
  <c r="P22" i="21" s="1"/>
  <c r="M22" i="21"/>
  <c r="M43" i="21"/>
  <c r="N15" i="21"/>
  <c r="P15" i="21" s="1"/>
  <c r="M15" i="21"/>
  <c r="M51" i="21"/>
  <c r="N75" i="21"/>
  <c r="M75" i="21"/>
  <c r="N49" i="21"/>
  <c r="P49" i="21" s="1"/>
  <c r="M49" i="21"/>
  <c r="N37" i="21"/>
  <c r="M37" i="21"/>
  <c r="P64" i="21"/>
  <c r="P63" i="21"/>
  <c r="O62" i="21"/>
  <c r="N62" i="21"/>
  <c r="P61" i="21"/>
  <c r="O14" i="21"/>
  <c r="N14" i="21"/>
  <c r="M14" i="21"/>
  <c r="O13" i="21"/>
  <c r="N13" i="21"/>
  <c r="M13" i="21"/>
  <c r="N33" i="21"/>
  <c r="P33" i="21" s="1"/>
  <c r="M33" i="21"/>
  <c r="M32" i="21"/>
  <c r="L32" i="21"/>
  <c r="P55" i="21" l="1"/>
  <c r="P29" i="21"/>
  <c r="P26" i="21"/>
  <c r="P62" i="21"/>
  <c r="P24" i="21"/>
  <c r="P13" i="21"/>
  <c r="P79" i="21"/>
  <c r="C84" i="22"/>
  <c r="C86" i="22" s="1"/>
  <c r="P77" i="21"/>
  <c r="P78" i="21"/>
  <c r="P14" i="21"/>
  <c r="F2" i="10" l="1"/>
  <c r="F4" i="14"/>
  <c r="F2" i="14"/>
  <c r="F12" i="11" l="1"/>
  <c r="F11" i="11"/>
  <c r="F10" i="11"/>
  <c r="F8" i="11"/>
  <c r="F9" i="8" l="1"/>
  <c r="F17" i="8"/>
  <c r="F27" i="8"/>
  <c r="F26" i="8"/>
  <c r="E22" i="8"/>
  <c r="F14" i="8"/>
  <c r="F2" i="8"/>
  <c r="F29" i="8"/>
  <c r="F30" i="8"/>
  <c r="F13" i="8"/>
  <c r="F7" i="8"/>
  <c r="F8" i="8"/>
  <c r="F6" i="8"/>
  <c r="F12" i="8"/>
  <c r="F15" i="8"/>
  <c r="F21" i="8"/>
  <c r="F28" i="8"/>
  <c r="F25" i="8"/>
</calcChain>
</file>

<file path=xl/comments1.xml><?xml version="1.0" encoding="utf-8"?>
<comments xmlns="http://schemas.openxmlformats.org/spreadsheetml/2006/main">
  <authors>
    <author>Natarajan, Shankar [ITSUS Non-J&amp;J]</author>
  </authors>
  <commentList>
    <comment ref="N26" authorId="0" shapeId="0">
      <text>
        <r>
          <rPr>
            <b/>
            <sz val="9"/>
            <color indexed="81"/>
            <rFont val="Tahoma"/>
            <family val="2"/>
          </rPr>
          <t>Natarajan, Shankar [ITSUS Non-J&amp;J]:</t>
        </r>
        <r>
          <rPr>
            <sz val="9"/>
            <color indexed="81"/>
            <rFont val="Tahoma"/>
            <family val="2"/>
          </rPr>
          <t xml:space="preserve">
3.5 mins - 98 users - per day - 252 working days
divided by hours
(3.5 * 98/ 60 )*252
Excluding Japan Users
</t>
        </r>
      </text>
    </comment>
    <comment ref="O26" authorId="0" shapeId="0">
      <text>
        <r>
          <rPr>
            <b/>
            <sz val="9"/>
            <color indexed="81"/>
            <rFont val="Tahoma"/>
            <family val="2"/>
          </rPr>
          <t>Natarajan, Shankar [ITSUS Non-J&amp;J]:</t>
        </r>
        <r>
          <rPr>
            <sz val="9"/>
            <color indexed="81"/>
            <rFont val="Tahoma"/>
            <family val="2"/>
          </rPr>
          <t xml:space="preserve">
1 mins - 98 users - per day - 252 working days
divided by hours
(1 * 98 / 60 )*252
</t>
        </r>
      </text>
    </comment>
  </commentList>
</comments>
</file>

<file path=xl/sharedStrings.xml><?xml version="1.0" encoding="utf-8"?>
<sst xmlns="http://schemas.openxmlformats.org/spreadsheetml/2006/main" count="2284" uniqueCount="582">
  <si>
    <t>Assigned To</t>
  </si>
  <si>
    <t>MSTR Subscription based on ETL load completion.</t>
  </si>
  <si>
    <t>Sr. No.</t>
  </si>
  <si>
    <t>Date</t>
  </si>
  <si>
    <t>Name</t>
  </si>
  <si>
    <t>Effort Estimate (in hours)</t>
  </si>
  <si>
    <t>Estimated Savings (Per year in hours)</t>
  </si>
  <si>
    <t>Priority</t>
  </si>
  <si>
    <t>Implementation Status</t>
  </si>
  <si>
    <t>Comments</t>
  </si>
  <si>
    <t>Sourav</t>
  </si>
  <si>
    <t>Avoid JVM Heap Size Error</t>
  </si>
  <si>
    <t>Planned</t>
  </si>
  <si>
    <t>Currently we are receivie alert message for Max Heap size error. It can be stopped by archiving the log.</t>
  </si>
  <si>
    <t>Alert when application is down</t>
  </si>
  <si>
    <t>Inprogress</t>
  </si>
  <si>
    <t>It will intimate support Team through mail whenever MSTR application goes down inside the server. It will save around 1 hr per outage.</t>
  </si>
  <si>
    <t>Create logs for high CPU utilization</t>
  </si>
  <si>
    <t>This script will logs the max CPU consuming process with process details on a hourly basis. It will help the team to analyze outages. It will help for proactive monitoring.</t>
  </si>
  <si>
    <t>Modify the alert for high CPU utilization</t>
  </si>
  <si>
    <t>If CPU utilization alarm is reduced from 1hr to 30 minutes, it will save 30 mins in each outage.</t>
  </si>
  <si>
    <t>Rishi</t>
  </si>
  <si>
    <t>Automation of user creation in MSTR in ASPAC</t>
  </si>
  <si>
    <t>Q1</t>
  </si>
  <si>
    <t>Completed</t>
  </si>
  <si>
    <t>Rishiraj</t>
  </si>
  <si>
    <t>- Average of 15 user requests per month i.e. 180 per year
- Today - Addition of one user 10 mins
- After implementation - 2 mins</t>
  </si>
  <si>
    <t>Automation of user creation in MSTR in EMEA</t>
  </si>
  <si>
    <t>Automation of user creation in MSTR in NA</t>
  </si>
  <si>
    <t>Automation SLT email notification</t>
  </si>
  <si>
    <t xml:space="preserve">Today - Wait for load and send the email 5 mins
After implementation - 0 mins
Assuming </t>
  </si>
  <si>
    <t>Ramya</t>
  </si>
  <si>
    <t>Option to delete user specific cache on Ipad</t>
  </si>
  <si>
    <t>4 tickets per month. 1 ticket takes 15mins</t>
  </si>
  <si>
    <t>Trigger jobs only when files are available (ASPAC, LFSCGPS)</t>
  </si>
  <si>
    <t xml:space="preserve">each region requires 1hr/day to monitor </t>
  </si>
  <si>
    <t>Raghavendra</t>
  </si>
  <si>
    <t xml:space="preserve">Automate daily reconciliation of NA Vistakon Sales data </t>
  </si>
  <si>
    <t>4/12- On-hold 
Analysis in progress</t>
  </si>
  <si>
    <t>Shankar</t>
  </si>
  <si>
    <t>Reduction in data mismatch incidents; approx 2 per month; savings: 16 hrs per incident</t>
  </si>
  <si>
    <t xml:space="preserve">Automating the migration tasks (DB) </t>
  </si>
  <si>
    <t>Shekar</t>
  </si>
  <si>
    <t>Savings: 25 mins per deployment; Assumption: 2 deployments per month (QA/PROD); 3 regions</t>
  </si>
  <si>
    <t>ETL package to add multiple users NA</t>
  </si>
  <si>
    <t>Kavya</t>
  </si>
  <si>
    <t>Savings: 1 hr/request; approx 8 tickets per month</t>
  </si>
  <si>
    <t>Optimize LifeScan GPS ETL to run multiple downloads from MBOX in parallel</t>
  </si>
  <si>
    <t>Muthu</t>
  </si>
  <si>
    <t>This is performance optimization. Savings: 25 mins per job run when executed manually when failed; approx 2 failures in a month</t>
  </si>
  <si>
    <t>Dcoumentation of steps for resolution of incident</t>
  </si>
  <si>
    <t>This falls under process improvement.</t>
  </si>
  <si>
    <t>Vijay</t>
  </si>
  <si>
    <t>MSTR part is completed. On -hold due to NA sync.</t>
  </si>
  <si>
    <t>20 hrs - MSTR
20 hrs - ETL
Assuming 250 working days in a year and half hour of wait time is the load doesnt happen in time.</t>
  </si>
  <si>
    <t>Automation MSTR cache deletion - ASPAC and Japan</t>
  </si>
  <si>
    <t>time for monitoring + manual deletion of cache (yearly)
estimation only numbers put in comments the explanation
5 mins wait time + 5 mins cache clearing</t>
  </si>
  <si>
    <t>Automation MSTR cache deletion - LifeScan EMEA</t>
  </si>
  <si>
    <t>Same as above</t>
  </si>
  <si>
    <t>Automation MSTR cache deletion - NA</t>
  </si>
  <si>
    <t>On-Hold</t>
  </si>
  <si>
    <t xml:space="preserve">Shankar </t>
  </si>
  <si>
    <t>Automate the daily job monitory activity (dashboard to view all jobs)</t>
  </si>
  <si>
    <t>Savings: 15 mins per server; 6 servers; 5 days per week</t>
  </si>
  <si>
    <t>Automation of Year End Activities (ASPAC &amp; NA)</t>
  </si>
  <si>
    <t>5 incidents last year since periodic tables were not updated</t>
  </si>
  <si>
    <t>Implement delete and archive for NA ETL instead of copy and paste</t>
  </si>
  <si>
    <t>recieved one incident because of which data was duplicated. implement better etl solutions like archiving files and deleting the files.</t>
  </si>
  <si>
    <t>Automate the Japan KPI Metrics from Enterprise Manager</t>
  </si>
  <si>
    <t>Savings:16hrs/month. This activity has to be done every month</t>
  </si>
  <si>
    <t>automation of cube refresh for my acuvue</t>
  </si>
  <si>
    <t>Savings: 15mins/day</t>
  </si>
  <si>
    <t>MBOX configuration for NA Call Files</t>
  </si>
  <si>
    <t>Savings: 2hrs per week</t>
  </si>
  <si>
    <t>Template for regression suite</t>
  </si>
  <si>
    <t>On an average, there are 3 major version updates for every iOS version;
3 times creation of testing suite will take 1 hour each</t>
  </si>
  <si>
    <t>Automate Vistakon NA SSIS project version switch over</t>
  </si>
  <si>
    <t>Savings: 30mins/day, 5 days per week</t>
  </si>
  <si>
    <t>ASPAC Japan Sunday job schedule</t>
  </si>
  <si>
    <t>Job runs on Sun &amp; Mon; Savings: 4 hrs per week</t>
  </si>
  <si>
    <t>Environment Sync -&gt; creation of ETL to load data from PROD to QA</t>
  </si>
  <si>
    <t>Savings: 2 hr for each sync; approx 1 env sync requests per month due to data mismatch between prod &amp; qa</t>
  </si>
  <si>
    <t>Syncronization of qa and prod environments</t>
  </si>
  <si>
    <t>Automate data load in --&gt; FACT_EXPECTED_GROWTH</t>
  </si>
  <si>
    <t>Q2</t>
  </si>
  <si>
    <t>Savings:5 hrs/Per Quarter. This activity has to be done every Quarter</t>
  </si>
  <si>
    <t>Service Improvement</t>
  </si>
  <si>
    <t>No. of SR's/ Month</t>
  </si>
  <si>
    <t>Estimates</t>
  </si>
  <si>
    <t>Benefits</t>
  </si>
  <si>
    <t>Status</t>
  </si>
  <si>
    <t>a. Oracle Auto stat is enabled, need to see if we can move auto stat window. Ihor to initiate discussion with Oracle DBAs</t>
  </si>
  <si>
    <t>Low</t>
  </si>
  <si>
    <t>b. Data archiving. Ihor discussed with business, waiting for business approval. Naresh to get list of tables with their max sizes – needed for archiving. Naresh to check AUDIT tables (load is taking between 7 to 8 hours).</t>
  </si>
  <si>
    <t>Medium</t>
  </si>
  <si>
    <t>c. Partitioning/re-org for big tables.</t>
  </si>
  <si>
    <t>a. Analyze LEO long running jobs and identify possible improvements</t>
  </si>
  <si>
    <t>a. Analyze ANIMAS long running jobs and identify improvements</t>
  </si>
  <si>
    <t>a. Analyze SCO long running jobs and identify possible improvements</t>
  </si>
  <si>
    <t>High</t>
  </si>
  <si>
    <t>Raise Service request for receiving notification for long running tidal jobs.</t>
  </si>
  <si>
    <t>Middle east processing</t>
  </si>
  <si>
    <t>14 service requests</t>
  </si>
  <si>
    <t>Service account should be used in all shell scripts</t>
  </si>
  <si>
    <t>Service account should be used in all report schedules</t>
  </si>
  <si>
    <t>Automated checks for file Visioncare</t>
  </si>
  <si>
    <t>Trident processing automation</t>
  </si>
  <si>
    <t>60 service requests</t>
  </si>
  <si>
    <t>04/07 - script is ready
Testing is in progress</t>
  </si>
  <si>
    <t>Removal of unused reports and cubes</t>
  </si>
  <si>
    <t>101 reports removed</t>
  </si>
  <si>
    <t>Create proper structure of folders in cognos for Diabetes</t>
  </si>
  <si>
    <t>Create documents for package paths,data sources,</t>
  </si>
  <si>
    <t>TIDAL_NAP Job Alert for: ITSUSRAW00564#LFSSP_DAS2 \ LFSJP533 had failed-Disable the job</t>
  </si>
  <si>
    <t>ITSUSRABIP209#Perfect_Order_Delivery_LEO had failed - Find Root cause</t>
  </si>
  <si>
    <t>TIDAL_NAP Job Alert for: ITSUSRABIP109#LIFE_MIGRTN_WW_Purchase_Price_Var_OV \ LIFE_MIGRTN_WW_Purchase_Price_Variance_Analysis_OV_PRD - Find Root cause</t>
  </si>
  <si>
    <t>Mapping sheet for all source,ETL , Target table and Cognos reports</t>
  </si>
  <si>
    <t>04/13 - one catalog  done</t>
  </si>
  <si>
    <t>TSA Automation</t>
  </si>
  <si>
    <t>4 service requests per month</t>
  </si>
  <si>
    <t>04/07 - Developing the script</t>
  </si>
  <si>
    <t>Sales and Marketing Automation</t>
  </si>
  <si>
    <t>1 service request per month</t>
  </si>
  <si>
    <t>SOP for frequent service requests</t>
  </si>
  <si>
    <t>Knowledge Documents</t>
  </si>
  <si>
    <t>EMEA SSIS jobs improvement</t>
  </si>
  <si>
    <t>Track the hung jobs in the windows scheduler</t>
  </si>
  <si>
    <t>Sql queries for ETL jobs</t>
  </si>
  <si>
    <t>Tidal schedule for Vision care ASPAC</t>
  </si>
  <si>
    <t>ANIMAS emailing issue from Data Manager</t>
  </si>
  <si>
    <t>Application Name</t>
  </si>
  <si>
    <t>BSC Canada</t>
  </si>
  <si>
    <t>Direct Job load was taking too long to complete causing SLA breach, support team worked with  downstream system's support team to optimize the query. Reduces job execution time by 90%. It was used until Pharma migration complete.</t>
  </si>
  <si>
    <t>Gopinath</t>
  </si>
  <si>
    <t xml:space="preserve">This is performance enhancement activity. This resulted in a job running sooner helping us to not miss SLA </t>
  </si>
  <si>
    <t xml:space="preserve"> SAP system sending duplicate records to the BSC system causing job to fail. Generic merge statement written to delete duplicate record. </t>
  </si>
  <si>
    <t>Vibhas</t>
  </si>
  <si>
    <t>DB performance issues were causing BSC Canada to miss SLA on saturdays. Conflicting jobs running on Saturday were identified and rescheduled. Inaddition, DBA team was engaged in monitoring the database performance on multiple days to identify the root cause. DB server resources (Processors, Memory and SGA memory) were identified as the bottleneck and were increased to suit the load.</t>
  </si>
  <si>
    <t>Documentation of kickout resolution</t>
  </si>
  <si>
    <t>Vibhas/Bala</t>
  </si>
  <si>
    <t>Prior documentation was not available for Kickout resolution process. Documenting the process resulted in availability of a quick reference guide eventually saving lot of time whenever kickouts need to be resolved.</t>
  </si>
  <si>
    <t xml:space="preserve">GST tool misc enhancements </t>
  </si>
  <si>
    <t xml:space="preserve">The tool was originally developed by another team to transfer data to a downstream application. Following data integrity issues reported by the downstream application, issues with delimiters and file transfer were identified. Minor enhancements were done to the tool to send proper data and also support new environments setup by the downstream application. </t>
  </si>
  <si>
    <t xml:space="preserve">Discrepencies in historical sales numbers reported by Sales and Planning tool </t>
  </si>
  <si>
    <t>In-Progress</t>
  </si>
  <si>
    <t>Ashish</t>
  </si>
  <si>
    <t>Business user reported data discrepencies in historical data (prioir to july 2016). Following RCA, the issue was identified to be with data issues caused by a data migration project performed aroud July 2016. Ashish has successfully tested the fix in QA environment. This code will be migrated to production soon to permanently fix the issue.
The discrepency was causing the business user to manually perform few steps that would take atlest one hour a day till end of july in an year.</t>
  </si>
  <si>
    <t>Automation of Direct load status mails (for Consumer jobs)</t>
  </si>
  <si>
    <t>Direct load status mails are being sent out manually. Ashish is looking at updating an exisitng script to generate dashbaord in the format requested by business and setting it up on a event-based or time-based schedule to send automatic updates</t>
  </si>
  <si>
    <t>GBI</t>
  </si>
  <si>
    <t>EDW Dashboard needs to be manually prepared collecting data for each job separately through the Tidal Console. This is consuming significant time and effort on a daily basis.</t>
  </si>
  <si>
    <t>Sathish/Nilanjan/Pandarinath</t>
  </si>
  <si>
    <t>Manual ETA estimation</t>
  </si>
  <si>
    <t>Automation of manual activities related to SCG Trending Daily Activity are performed manually</t>
  </si>
  <si>
    <t>Hemasundar/Pandarinath</t>
  </si>
  <si>
    <t>Manual activities related to EDW Weekly immunology activity
--&gt; Executing the cubes IBM Cognos Transformer cubes from tidal.
--&gt; Moving of the mdc files into corresponding folders.
--&gt; Implementation of  automation scripts for Backup process .</t>
  </si>
  <si>
    <t>Optimization done for long running jobs. There are eight jobs identified which had major bottleneck and been optimized. Query which was taking 40 minutes to execute now taking 2 minutes to complete. Reference JSC EDW weekly status report. Query efficiency is 20 to 30 times better now.</t>
  </si>
  <si>
    <t>No notification being sent in case of zero records are inserted in the EDW target table from source, we have written generic shell script which will take care of notification. Implementation is in QA</t>
  </si>
  <si>
    <t>Unix server (DEV, QA &amp; PROD) unwanted files were causing space issue leading to Job failure, we have written shell script which will run once a week and cleanup unwanted file and release disk space on server. Implementation in DEV</t>
  </si>
  <si>
    <t>When multiple workflow runs in parallel causing tidal job to fail due to param file issue, this issue was there in system for more than a year and we have come up with design and fix for it. This particular fix is not possible to test in DEV so we are migrating this change to QA and Prod after having approval. Expected to reduce 25 incidents an year.</t>
  </si>
  <si>
    <t>Finance Absorption application which Sogeti have started supporting since Feb had design issue, we setup call with Jennifer Boden (Sr. Financial Analyst) and apprised her the design issue. It was major bottleneck for busines user in uploading file and was leading to recurring incident. We have made a fix for the issue after having confirmation from Jennifer. Code migrated to QA.</t>
  </si>
  <si>
    <t>Preparation of GCC – Major Impact Management guide. Its created keeping in mind who all need to be reached out incase of global command center tickets raised and having loads of information about the application. Appreciated by pharma RSO Ajit (Email attached as reference)</t>
  </si>
  <si>
    <t>SLT (Service Level Target) email automation. Database design is complete now we are in process of completing shell script to send email notification to the business user.</t>
  </si>
  <si>
    <t>Health Check automation: Planned for automation manual work takes around two hour of time everyday</t>
  </si>
  <si>
    <t>POS manual download process is automated using Selenium web driver through Iron Python script. Automation is done for the following retailers. Reference is Portfolio review deck which is presented to Hima.
  Amazon 
  Toysrus
  CVS 
  Dollar General
  Target
  Kmart
  Ecommerce (Mystore, Neutrogena, Rogaine)</t>
  </si>
  <si>
    <t>Automation of MSTR cache refresh. It reduces lots of manual work and also reduces 30 incidents in an year</t>
  </si>
  <si>
    <t>Automation of cube refresh of myAcuvue. It reduces 90 hours of manual work per year.</t>
  </si>
  <si>
    <t>Automate Vistakon NA SSIS project version switch over. It reduces 130 hour of manual work per year.</t>
  </si>
  <si>
    <t>Segregation of tickets based on region and environment. There was no separate configuration item in IRIS for dev and qa so all ticket by default was assigned to production configuration item in IRIS. It helps identifiying environment</t>
  </si>
  <si>
    <t>EMEA load started taking more than 12 hours of time for populating 65000 records, nested SQL query was optimized and resultset we started getting in 20 minutes. Prior to optimization daily SLA breach was happening.</t>
  </si>
  <si>
    <t>Year-end activities well documented and uploaded in sharepoint</t>
  </si>
  <si>
    <t>Code change happened to address new business requirements well documented</t>
  </si>
  <si>
    <t>Opportunities/Initiatives</t>
  </si>
  <si>
    <t>End to end ETL average execution time is around 6Hrs 30 min; as the current scheduled start time is 4.00 AM SGT, the execution completes around 11.30 AM SGT. This is causing the MIRA reports users to wait for data till the execution completes.
MyAcuvue_SFDC_S3_RS_Log_Monitor_Job_ITG_12_Misc MyAcuvue_SFDC_S3_RS_Log_Monitor_Job_ITG_EDW_Dim are identified as long running jobs and causing the delays.
The underlying SQL’s of these jobs were optimized as per standard Tuning guidelines and also modified few of the DML operations without changing the functionalities.</t>
  </si>
  <si>
    <t>. After the code fix implementations on Prod, the jobs execution time is expected to be reduced by 80% of the current execution duration. Due to this optimization, the Average time required to complete overall execution will be 1 hour as against the average time of 6 hours taken before optimization.</t>
  </si>
  <si>
    <t>40 Hours</t>
  </si>
  <si>
    <t>Roy</t>
  </si>
  <si>
    <t>TBD</t>
  </si>
  <si>
    <t>The DIM tables loading pattern will be re-designed by changing the ETL jobs sequence to  ensure  that the Redshift Database resources are efficiently used.</t>
  </si>
  <si>
    <t>During full load, the size of the generated file which is transferred MBOX and to S3 for Redshift consumption is large. This was causing job to run long time and resulting in connection timeout.
Plan is to split the File into multiplesmaller files.</t>
  </si>
  <si>
    <t>WIP</t>
  </si>
  <si>
    <t>Under development in dev</t>
  </si>
  <si>
    <t>24 Hours</t>
  </si>
  <si>
    <t>NA</t>
  </si>
  <si>
    <t>Only required users were provided access to Redshift</t>
  </si>
  <si>
    <t>User Acces Audit : Review and Revoke access of non-myacuvue users in redshift</t>
  </si>
  <si>
    <t>40 hours</t>
  </si>
  <si>
    <t>Implemented in QA</t>
  </si>
  <si>
    <t>Implemented in DEV</t>
  </si>
  <si>
    <t>migrating this change to QA and Prod after having approval</t>
  </si>
  <si>
    <t>Expected to reduce 25 incidents an year.</t>
  </si>
  <si>
    <t>Code migrated to QA.</t>
  </si>
  <si>
    <t>Faster completion ETL jobs and timely availability of data to user</t>
  </si>
  <si>
    <t>Work in Progress</t>
  </si>
  <si>
    <t>Faster completion ETL jobs &amp; Cube refresh and timely availability of data to user</t>
  </si>
  <si>
    <t>4 Incidents</t>
  </si>
  <si>
    <t>Ongoing - 1 job tuned and moved to production</t>
  </si>
  <si>
    <t>Reduction of around 25-30 hours of manual effort per month</t>
  </si>
  <si>
    <t>2 Incidents</t>
  </si>
  <si>
    <t>Avoid job failures and On time completion of jobs</t>
  </si>
  <si>
    <t>Reduction of around 20 hours of manual effort per month</t>
  </si>
  <si>
    <t>Completed. Deployed in Production and monitoring in progress</t>
  </si>
  <si>
    <t>Increased space availability in the Cognos server. Reducing cube refresh failures due to space constraint</t>
  </si>
  <si>
    <t>Ongoing</t>
  </si>
  <si>
    <t>Reduction in manual activity and easy navigation to the report location</t>
  </si>
  <si>
    <t>Reduction in manual activity and easy navigation to the report data source</t>
  </si>
  <si>
    <t>Work in progress</t>
  </si>
  <si>
    <t>15-20 incidents</t>
  </si>
  <si>
    <t>On Time completion and avoiding failures</t>
  </si>
  <si>
    <t xml:space="preserve">Completed </t>
  </si>
  <si>
    <t>1 Problem ticket</t>
  </si>
  <si>
    <t>Good Knowledge base</t>
  </si>
  <si>
    <t>Reduction of around 6-8 hours of manal effort</t>
  </si>
  <si>
    <t>Reduction of around 4-6 hours of manal effort</t>
  </si>
  <si>
    <t>5 Service Requests</t>
  </si>
  <si>
    <t>Reduction in Service Requests</t>
  </si>
  <si>
    <t>Knowledge Base</t>
  </si>
  <si>
    <t>1 Incident</t>
  </si>
  <si>
    <t>Avoid job failure and On time completion of jobs</t>
  </si>
  <si>
    <t>2-3 Incidents</t>
  </si>
  <si>
    <t>Efficient monitoring and Alert mechanism</t>
  </si>
  <si>
    <t xml:space="preserve">Tables identified. Received approval from business. </t>
  </si>
  <si>
    <t>Type</t>
  </si>
  <si>
    <t>ASO</t>
  </si>
  <si>
    <t>Identify and reduce activities less or no value to engagement service delivery</t>
  </si>
  <si>
    <t>BP</t>
  </si>
  <si>
    <t>Implement Application Support SOP</t>
  </si>
  <si>
    <t>Implement Support Operations manual (SQP)
Implement SOP for daily operational tasks 
Review SOP to identify Detective/Preventive Controls</t>
  </si>
  <si>
    <t xml:space="preserve">Develop Application Maintenance Plan (Health Check) for critical applications </t>
  </si>
  <si>
    <t>Develop AM Checklist (Weekly/Monthly)</t>
  </si>
  <si>
    <t>Implement Application Users Audit (Quarterly)</t>
  </si>
  <si>
    <t>Improve Application performance  to reduce data load or report run time</t>
  </si>
  <si>
    <t>Application optimization (Jobs, Reports, Tasks)</t>
  </si>
  <si>
    <t>Use IRIS Known error Database(KEDB)  to improve ticket MTTR</t>
  </si>
  <si>
    <t>Transfer  L1.5/L2 activities to L1 team</t>
  </si>
  <si>
    <t xml:space="preserve">Develop KA for L1 Support.
KA to include Basic Application details, information to be captured before assigning ticket to support team
Identify Tasks that can be handled by L1 Team (Password reset, unlock, user queries, report generation ect)
Update KA Document and handover the Tasks </t>
  </si>
  <si>
    <t>Identify and Implement  self service</t>
  </si>
  <si>
    <t>Implement  self service  for application access management
Implement self service   for some of report requests
Implement self service  for some of Data requests</t>
  </si>
  <si>
    <t xml:space="preserve">Implement Application FAQs  for user self service </t>
  </si>
  <si>
    <t xml:space="preserve">Reduce reoccurring incidents  through Problem Mgmt.
</t>
  </si>
  <si>
    <t>Conduct FMA for Recurring Incidents
Identify what needs to be fixed, enhanced, can be automated, what can be  passed onto SD</t>
  </si>
  <si>
    <t>Reduce reoccurring service requests  through automation, self help, enhancement etc.</t>
  </si>
  <si>
    <t>Conduct FMA for Recurring SRs
Identify what needs to be fixed, enhanced, can be automated, what can be  passed onto SD</t>
  </si>
  <si>
    <t>Automate Manual tasks</t>
  </si>
  <si>
    <t>Review SOP to Automate Manual tasks</t>
  </si>
  <si>
    <t xml:space="preserve">Automate Application health checks </t>
  </si>
  <si>
    <t xml:space="preserve">Implement batch job Re-start ability </t>
  </si>
  <si>
    <t xml:space="preserve">Automate  audit check for data delivery status/exception/errors </t>
  </si>
  <si>
    <t>Automate monitoring of Application, Database, Job, Reports, System processes)</t>
  </si>
  <si>
    <t xml:space="preserve">Automate data validation checks (data quality, integrity etc.) </t>
  </si>
  <si>
    <t>Automate log analysis and error/exception reporting</t>
  </si>
  <si>
    <t>Automate  periodic archiving / purging processes</t>
  </si>
  <si>
    <t>Job Automation</t>
  </si>
  <si>
    <t>Standardize  communication, notifications etc. through support DLs</t>
  </si>
  <si>
    <t>Standardize support process  as per Support Playbook</t>
  </si>
  <si>
    <t xml:space="preserve">Implement "ABC approval" process 
</t>
  </si>
  <si>
    <t>Implement template  for outage communication</t>
  </si>
  <si>
    <t>Problem management: Problem record to be created for each P1, P2 and critical issues</t>
  </si>
  <si>
    <t>We can Create RCA Template and associate with KA Creation. KA will use the RCA template</t>
  </si>
  <si>
    <t>Change management : Every Change to Production environment must be approved</t>
  </si>
  <si>
    <t>SR will be created with following details Change description, Change Requestor, Change Owner, Change Approver/Manager, Implementation Steps &amp; Status. Gets approved by SLM/RSO</t>
  </si>
  <si>
    <t>RTP Process</t>
  </si>
  <si>
    <t>Simplified checklist to Review and approve go-live from application perspective. Every Roll-Out will go through a Transition (Knowledge Capture/Shadow/Rev-Shadow) Process</t>
  </si>
  <si>
    <t>Leverage JnJ enterprise tools(Solman, SCOM etc.) for Application and platform availability monitoring</t>
  </si>
  <si>
    <t xml:space="preserve"> URL monitoring, Service monitoring
Identify what tools are available and what is implemented currently
Identify Currently defined Thresholds
Identfiy how alerts are communicated to whom</t>
  </si>
  <si>
    <t>Leverage JnJ enterprise tools(Tidal etc.)  for job scheduling and monitoring</t>
  </si>
  <si>
    <t>Job Monitoring
Identify what tools are available and what is implemented currently
Identify Currently defined Thresholds
Identfiy how alerts are communicated to whom</t>
  </si>
  <si>
    <t>Leverage JnJ enterprise tools(Solman, Netcool etc.)  for performance monitoring</t>
  </si>
  <si>
    <t>disk space monitoring, CPU/Memory utilization monitoring, NW Bandwidth (Database/OS/Web Servers/Apps Servers/Middleware)
Identify what tools are available and what is implemented currently
Identify Currently defined Thresholds
Identfiy how alerts are communicated to whom</t>
  </si>
  <si>
    <t>Integrate existing monitoring tools  with service management tools ( IRIS, Solman)</t>
  </si>
  <si>
    <t>IRIS Configuration</t>
  </si>
  <si>
    <t>Are all Apps Using IRIS, alert configuration for status change, groups properly created</t>
  </si>
  <si>
    <t>Transfer All activities that can be serviced from offshore</t>
  </si>
  <si>
    <t>Optimize support effort through cross training</t>
  </si>
  <si>
    <t>Consolidate L1.5 services across teams</t>
  </si>
  <si>
    <t>Phase 1 : small apps with same technology grouped and implement AMOS, AMTS, AMSS structure; Phase 2 : AMOS across apps, AMTS and AMSS specific to Apps</t>
  </si>
  <si>
    <t>Consolidate teams based on similar technology services</t>
  </si>
  <si>
    <t>Implement shared service  across teams</t>
  </si>
  <si>
    <t xml:space="preserve">Optimize Service management effort </t>
  </si>
  <si>
    <t>Amend SOW to carve out Project/Enhancement $</t>
  </si>
  <si>
    <t>Optimize Support Coverage Window as per Business need</t>
  </si>
  <si>
    <t>Optimize SLAs as per Application Criticality</t>
  </si>
  <si>
    <t>Governance model  with clear R&amp;R</t>
  </si>
  <si>
    <t>SLM (Onsite/Offshore) &amp; RSO alignment</t>
  </si>
  <si>
    <t>CORE Team</t>
  </si>
  <si>
    <t>Form a CORE Team  to do Incident Analysis, Problem Management, Change Management, Critical Issue Handling</t>
  </si>
  <si>
    <t>Town-Hall every month..Azfar addressing the team</t>
  </si>
  <si>
    <t>Daily dash-board</t>
  </si>
  <si>
    <t>Weekly review (Internal) :</t>
  </si>
  <si>
    <t>Resource Status, Incident Status, high-lights and low lights, Improvement plan tracker, other items of concerns</t>
  </si>
  <si>
    <t>Capacity Planning</t>
  </si>
  <si>
    <t>Identify resource knowledge gaps and plan for training</t>
  </si>
  <si>
    <t xml:space="preserve">Training : </t>
  </si>
  <si>
    <t>ITIL foundation certified, weekly class room training, ITSM training; Educate team on priorities, SLAs; Knowledge sharing on recent issues; Training on JnJ  Business Process/Domain</t>
  </si>
  <si>
    <t>Develop SMEs in widely used technology and domain</t>
  </si>
  <si>
    <t>Define and Implement KM Framework</t>
  </si>
  <si>
    <t>General : Contracts/Sow, RFP, Process Artifacts/templates; 
Application Specific : Business, Technology (beginner, intermediate, advanced)
IRIS : KA</t>
  </si>
  <si>
    <t xml:space="preserve">Review of Infrastructure:  </t>
  </si>
  <si>
    <t>Current capacity review and planning</t>
  </si>
  <si>
    <t>Access controls of OS/DB/App/Middleware to be reviewed :</t>
  </si>
  <si>
    <t>User ID details to be extracted, Validate the IDs and identify the Owners, Generic IDs to be disabled (Non service accounts), All service account IDs password to be restricted/vaulted</t>
  </si>
  <si>
    <t>Preventive maintenance calendar to be created for DB servers, application servers</t>
  </si>
  <si>
    <t>Back up policy, Purging &amp; archival policy for each application</t>
  </si>
  <si>
    <t>Dedicated Dev &amp; QA Server for Testing Production changes</t>
  </si>
  <si>
    <t>From RFP</t>
  </si>
  <si>
    <t>Source</t>
  </si>
  <si>
    <t>ASO Owner</t>
  </si>
  <si>
    <t>Region</t>
  </si>
  <si>
    <t>GOC</t>
  </si>
  <si>
    <t>Implementation Effort (in hours)</t>
  </si>
  <si>
    <t>Actual Hours Before Implementation</t>
  </si>
  <si>
    <t>Actual Hours After Implementation</t>
  </si>
  <si>
    <t>MIRA</t>
  </si>
  <si>
    <t>Actual Savings (Per year in hours)</t>
  </si>
  <si>
    <t>Vibhas/Raj</t>
  </si>
  <si>
    <t>Avoid JVM Heap Size Error : Currently we are receivie alert message for Max Heap size error. It can be stopped by archiving the log.</t>
  </si>
  <si>
    <t>Create logs for high CPU utilization : This script will logs the max CPU consuming process with process details on a hourly basis. It will help the team to analyze outages. It will help for proactive monitoring.</t>
  </si>
  <si>
    <t>Modify the alert for high CPU utilization : If CPU utilization alarm is reduced from 1hr to 30 minutes, it will save 30 mins in each outage.</t>
  </si>
  <si>
    <t>- 5 user requests per month/60 per year/ current- 10 min per user/Post implementation - 2 mins per user</t>
  </si>
  <si>
    <t>5 min per email/Post implementation 0 mins</t>
  </si>
  <si>
    <t>CONSUMER</t>
  </si>
  <si>
    <t>PHARMA</t>
  </si>
  <si>
    <t>JSC EDW</t>
  </si>
  <si>
    <t>Vibhas/Hamza</t>
  </si>
  <si>
    <t>Lever</t>
  </si>
  <si>
    <t>Consumer Edge</t>
  </si>
  <si>
    <t>Vibhas/Sidra</t>
  </si>
  <si>
    <t>POS manual download process is automated using Selenium web driver through Iron Python script. Automation is done for the following retailers. Amazon, Toysrus, CVS, Dollar General, Target, Kmart, Ecommerce (Mystore, Neutrogena, Rogaine)</t>
  </si>
  <si>
    <t>CMT</t>
  </si>
  <si>
    <t>Vinod/Raj</t>
  </si>
  <si>
    <t>4 Incidents. Faster completion ETL jobs and timely availability of data to user</t>
  </si>
  <si>
    <t>14 service requests. 25-30 manual hours/month reduction</t>
  </si>
  <si>
    <t>60 service requests. Reduction of around 20 hours of manual effort per month</t>
  </si>
  <si>
    <t>15-20 incidents. On Time completion and avoiding failures</t>
  </si>
  <si>
    <t>1 service request per month. Reduction of around 4-6 hours of manal effort</t>
  </si>
  <si>
    <t>5 Service Requests. Reduction in Service Requests</t>
  </si>
  <si>
    <t>1 Incident. Avoid job failure and On time completion of jobs</t>
  </si>
  <si>
    <t>1 Problem ticket. Avoid job failure and On time completion of jobs</t>
  </si>
  <si>
    <t>Global sales</t>
  </si>
  <si>
    <t>Pawan/Aditi</t>
  </si>
  <si>
    <t>ASPAC</t>
  </si>
  <si>
    <t>myAcuvue</t>
  </si>
  <si>
    <t>Shivakumar</t>
  </si>
  <si>
    <t>Process Improvement</t>
  </si>
  <si>
    <t>Automation</t>
  </si>
  <si>
    <t>Process Standardization</t>
  </si>
  <si>
    <t>Shift-Left/Self Help</t>
  </si>
  <si>
    <t>Team</t>
  </si>
  <si>
    <t>Madhav M</t>
  </si>
  <si>
    <t>Manjunath C</t>
  </si>
  <si>
    <t>avoiding potential escalation. MRR report michael Syntax</t>
  </si>
  <si>
    <t>Krishna B</t>
  </si>
  <si>
    <t>Keerthana</t>
  </si>
  <si>
    <t>expected to reduce 5 incidents per month</t>
  </si>
  <si>
    <t>Meenal G</t>
  </si>
  <si>
    <t>POS Data sync from Prod to QA</t>
  </si>
  <si>
    <t>Jit</t>
  </si>
  <si>
    <t>In DEV. BUIt Review pending</t>
  </si>
  <si>
    <t>Portal Health Check Automation in .NET</t>
  </si>
  <si>
    <t>Cognos Monthly Report Automation</t>
  </si>
  <si>
    <t>Suresh N</t>
  </si>
  <si>
    <t>JJDCC</t>
  </si>
  <si>
    <t>Oracle Auto stat is enabled, need to see if we can move auto stat window. Ihor to initiate discussion with Oracle DBAs</t>
  </si>
  <si>
    <t>Naresh/Biswaranjan</t>
  </si>
  <si>
    <t>Faster completion ETL jobs and and this is associated to the items in Row 60 and 61</t>
  </si>
  <si>
    <t>Biswaranjan/Naresh</t>
  </si>
  <si>
    <t>Partitioning/re-org for big tables.</t>
  </si>
  <si>
    <t xml:space="preserve">Biswaranjan </t>
  </si>
  <si>
    <t>Q3</t>
  </si>
  <si>
    <t>Naresh/Biswa</t>
  </si>
  <si>
    <t>Kishore/Nageswar</t>
  </si>
  <si>
    <t>Service account should be used in all shell scripts &amp; report schedules</t>
  </si>
  <si>
    <t>Nageswara Rao</t>
  </si>
  <si>
    <t>Santosh/Charan</t>
  </si>
  <si>
    <t>Re-organise the Cognos folder structure</t>
  </si>
  <si>
    <t>Anand/Charan</t>
  </si>
  <si>
    <t>Naresh</t>
  </si>
  <si>
    <t>Biswaranjan</t>
  </si>
  <si>
    <t>Nageswara Rao/Naresh</t>
  </si>
  <si>
    <t>Anand</t>
  </si>
  <si>
    <t>JJDCC, Vision Care</t>
  </si>
  <si>
    <t>Lokesh</t>
  </si>
  <si>
    <t>Vision Care</t>
  </si>
  <si>
    <t>Scheduling Vision care ASPAC jobs on Tidal</t>
  </si>
  <si>
    <t>Planned Completion Date</t>
  </si>
  <si>
    <t>Analyze SCO long running jobs and identify possible improvements (Ongoing)</t>
  </si>
  <si>
    <t>Removal of unused reports and cubes(total 1000+)</t>
  </si>
  <si>
    <t>Knowledge Documents (Ongoing)</t>
  </si>
  <si>
    <t>Q4</t>
  </si>
  <si>
    <t>This happens only during full load. Estimated to do 4 full loads per year.</t>
  </si>
  <si>
    <t>recieved one incident because of which data was duplicated. implement better etl solutions like archiving files and deleting the files. Assuming will receive 1 incident pere quarter</t>
  </si>
  <si>
    <t>1 incident per month</t>
  </si>
  <si>
    <t>Trigger jobs only when files are available (ASPAC)</t>
  </si>
  <si>
    <t>Trigger jobs only when files are available (LFSCGPS)</t>
  </si>
  <si>
    <t>Automate data load for Quota and compensation for NA</t>
  </si>
  <si>
    <t>Automate the campaign file</t>
  </si>
  <si>
    <t xml:space="preserve">We will get a request to refresh campaign file so we  are doing manually as of now so we need to do automation </t>
  </si>
  <si>
    <t>Trigger file to identify data load in MyACUVUE before cube refresh</t>
  </si>
  <si>
    <t>Optimize sales job to execute for better performance</t>
  </si>
  <si>
    <t>Reschedule RFP in NA PROD</t>
  </si>
  <si>
    <t>Reschedule Customer in NA PROD</t>
  </si>
  <si>
    <t>Reschedule Mbox delivery in NA PROD</t>
  </si>
  <si>
    <t>Reschedule Sales job in NA PROD</t>
  </si>
  <si>
    <t>Reschedule Call job in NA PROD</t>
  </si>
  <si>
    <t>Automate clearing of MSTR dump files I-server NA</t>
  </si>
  <si>
    <t>ETL package to add and update multiple users ASPAC</t>
  </si>
  <si>
    <t>ETL package to add and update  multiple users LSGPS</t>
  </si>
  <si>
    <t>Trigger call job once files are delivered from SFDC Team</t>
  </si>
  <si>
    <t>Trigger Customer job once files are delivered from SAP BW Team</t>
  </si>
  <si>
    <t>Raj</t>
  </si>
  <si>
    <t xml:space="preserve">Now we are unable to access the ASPAC QA or PROD server from the DEV. Currently taking 8 hours by this will reduce to 4
we need some AWS configurations changes to do this .
</t>
  </si>
  <si>
    <t>Category</t>
  </si>
  <si>
    <t>BEST PRACTICES</t>
  </si>
  <si>
    <t>ALL</t>
  </si>
  <si>
    <t>EMEA</t>
  </si>
  <si>
    <t>Automate the daily job monitory activity (dashboard to view all jobs) - This needs to be have feasibility study as well..so Q4</t>
  </si>
  <si>
    <t>We need to access ASAPC QA and PROD FROM DEV server in different region</t>
  </si>
  <si>
    <t>% Completed</t>
  </si>
  <si>
    <t>Anil</t>
  </si>
  <si>
    <t>Rishiraj &amp; Shekar</t>
  </si>
  <si>
    <t>Alert when application is down (NA Region) : It will intimate support Team through mail whenever MSTR application goes down inside the server. </t>
  </si>
  <si>
    <t>Spec Sheet automation for removing manual intervention</t>
  </si>
  <si>
    <t>This is planned to remove manual intervention</t>
  </si>
  <si>
    <t>Testing is in progress for the following activity</t>
  </si>
  <si>
    <t>Prashanth M/Sidra</t>
  </si>
  <si>
    <t>Prashanth M/Hamza</t>
  </si>
  <si>
    <t>Prashanth M/ Hamza</t>
  </si>
  <si>
    <t>Prashanth M</t>
  </si>
  <si>
    <t>LSGPS</t>
  </si>
  <si>
    <t>Alert when application is down (ASPAC Region) : It will intimate support Team through mail whenever MSTR application goes down inside the server. </t>
  </si>
  <si>
    <t>Alert when application is down (LSGPS Region) : It will intimate support Team through mail whenever MSTR application goes down inside the server. </t>
  </si>
  <si>
    <t>Optimize ASPAC NSD deep dive dash board within shorter</t>
  </si>
  <si>
    <t>Adding DB, ETL and MSTR in Source safe in NA</t>
  </si>
  <si>
    <t>shankar</t>
  </si>
  <si>
    <t>Adding DB, ETL and MSTR in Source safe in ASPAC</t>
  </si>
  <si>
    <t>Adding DB, ETL and MSTR in Source safe in LSGPS</t>
  </si>
  <si>
    <t>Data archiving. Ihor discussed with business. Received approval to archieve data prior to 2010. Identified the tables for archieving.</t>
  </si>
  <si>
    <t>Q3/Q4</t>
  </si>
  <si>
    <t>Analyze LEO long running jobs and identify possible improvements</t>
  </si>
  <si>
    <t>Q2/Q3</t>
  </si>
  <si>
    <t>4 Incidents. Faster completion ETL jobs and timely availability of data to user
05/11/2017--GSS_RUN_AUDIT_J--two builds identified.currently the job is running for around 5 hours.
Waiting for Iris approval to move the changes into production.
05/25/2017--Identified the long running jobs
Preparing a technical document to move the changes in production</t>
  </si>
  <si>
    <t>Q2/Q3/Q4</t>
  </si>
  <si>
    <t>Job Failure: Perfect_Order_Non-Revenue_PRD</t>
  </si>
  <si>
    <t>05/11/2017--Anand will complete by tomorrow
05/25/2017--Completed &amp; running fine in production</t>
  </si>
  <si>
    <t>Job Failure: LIFE_MIGRTN_WW_Purchase_Price_Variance_Analysis_OV_PRD</t>
  </si>
  <si>
    <t>Charan/Biswa</t>
  </si>
  <si>
    <t>Job Failure:  LFSJP1034_TEN</t>
  </si>
  <si>
    <t>Rehana</t>
  </si>
  <si>
    <t>05/29/2017-Completed</t>
  </si>
  <si>
    <t>05/11/2017-- one catalog  done. Good Knowledge base</t>
  </si>
  <si>
    <t>2-3 Incidents. Avoid job failure and On time completion of jobs
05/11/2017--Completed</t>
  </si>
  <si>
    <t>S2GN_CAPEX_LOAD_J</t>
  </si>
  <si>
    <t>Naresh/Rehana</t>
  </si>
  <si>
    <t>05/25/2017--It moved to production.No job failure till now</t>
  </si>
  <si>
    <t>Technical Debt Reduction</t>
  </si>
  <si>
    <t>Lean and process optimization</t>
  </si>
  <si>
    <t>Pending for Approval to deploy in Prod</t>
  </si>
  <si>
    <t>Vinod/Guru</t>
  </si>
  <si>
    <t>Beacon Access Automation(Normal form)</t>
  </si>
  <si>
    <t>Karthik</t>
  </si>
  <si>
    <t>Automation of the Access request process. Completely elimantes the support effort</t>
  </si>
  <si>
    <t xml:space="preserve">06/22/2017-
06/19/2017-Working on alternative plan.
06/15/2017-Tim is excepting cost for SFTP service
06/12/2017-Today Nageshwar will be check with source team
4 service requests per month. Reduction of around 6-8 hours of manal effort
05/11/2017--Unable to  access IMS portal,that's the reason reach out to Network and windows teams, now i got the acees but iam unable to login, so i need to engage with  appropriate team to resolve the same
</t>
  </si>
  <si>
    <t xml:space="preserve">
Faster completion ETL jobs &amp; Cube refresh and timely availability of data to user.
05/11/2017--Tables have been identified. Need to start work on this.
06/01/2017--Will start next week</t>
  </si>
  <si>
    <t>Performance tuning</t>
  </si>
  <si>
    <t>Santosh/Anand</t>
  </si>
  <si>
    <t xml:space="preserve">06/22/2017-anand raised the request yesterday.Today or tomorrow we will get  the permanet access.
06/19/2017-Anand will check with window team for all access.
06/15/2017- Service account and password have been shared by Ihor. We requested and gotaccess to all servers. Updating the jobs to run with service account is in progress.
06/12/2017-Santhosh  will raise the service request today
05/25/2017-Ihor shared service account user name &amp; password.
Team need to identify the scripts &amp; schedule to change the service account.
</t>
  </si>
  <si>
    <t>06/22/2017-
06/19/2017-No further update on this week.
06/12/2017-120 report identified. and removed
100 reports removed. Increased space availability in the Cognos server. Reducing cube refresh failures due to space constraint
05/04/2017 - Santosh need to discuss with Vinod
101 reports removed. Increased space availability in the Cognos server. Reducing cube refresh failures due to space constraint</t>
  </si>
  <si>
    <t>06/22/2017-you resudle the job to run every saterday.
1 Problem ticket. Avoid job failures and On time completion of jobs
05/25/2017--Analysing the issue at the cube level.
05/29/2017-- Identifying the cubes which are running at the sametime and checking the db with their log files
06/12/2017-created a new job schedule.
06/15/2017 - Job is not running as per schedule, Requested to scheduling L2 team to schedule the job as per our request.</t>
  </si>
  <si>
    <t>SCO Tuning--S2GN_material_Scarp_J</t>
  </si>
  <si>
    <t>Biswa</t>
  </si>
  <si>
    <t>06/22/2017-
06/12/2017-Analysing the query which taking more time.
ETA is 06/23/2017</t>
  </si>
  <si>
    <t xml:space="preserve">
S2GN_DAILY_SUMMARY_J
</t>
  </si>
  <si>
    <t xml:space="preserve">06/22/2017-
06/19/2017--Anand will complete on or before 06/27/2017
06/15/2017  - Identified the sub jobs that have to be tuned. Working on query tuning.
06/12/2017 - Analysing the Sub Jobs in the main job.
ETA is 23/06/2017
</t>
  </si>
  <si>
    <t xml:space="preserve">Sco tuning - Analyze schema s2g_star weekly once 
                     </t>
  </si>
  <si>
    <t>06/19/2017-Completed</t>
  </si>
  <si>
    <t>Sco tuning - S2G_CUSTOMER_BASE_PRICE_AUDIT_J</t>
  </si>
  <si>
    <t>06/22/2017-An incident is raised for DBA Team.
06/19/2017-Rehana will confirm the ETA  on 06/22/2017</t>
  </si>
  <si>
    <t>It will save around 1 hr per outage</t>
  </si>
  <si>
    <t>Savings: 2hrs per week; 2 tickets per week (one for QA and another for PROD)</t>
  </si>
  <si>
    <t>05/24 - Awaiting user confirmation</t>
  </si>
  <si>
    <t>It will save around 1 hr per outage.</t>
  </si>
  <si>
    <t>August</t>
  </si>
  <si>
    <t>Syncronization of Dev , Qa and Prod environments on MSTR</t>
  </si>
  <si>
    <t>Data Validation in progress</t>
  </si>
  <si>
    <t>Environment Sync -&gt; creation of ETL to load data from PROD to QA -- NA </t>
  </si>
  <si>
    <t>Savings: 3 hr for each sync; approx 1 env sync requests per month due to data mismatch between prod &amp; qa</t>
  </si>
  <si>
    <t>Trigger jobs only when files are available (NA)</t>
  </si>
  <si>
    <t>Environment Sync -&gt; creation of ETL to load data from PROD to QA -- LSGPS</t>
  </si>
  <si>
    <t>Tools-Monitoring/Alerting/Job Scheduling</t>
  </si>
  <si>
    <t>Environment Sync -&gt; creation of ETL to load data from PROD to QA -- ASPAC</t>
  </si>
  <si>
    <t>Creation of a tool/script to send outage emails with the required format of the mail</t>
  </si>
  <si>
    <t>MD</t>
  </si>
  <si>
    <t>completed</t>
  </si>
  <si>
    <t>Notify users on age of the files in MBOX (90 Days)</t>
  </si>
  <si>
    <t>PERF.TUNING</t>
  </si>
  <si>
    <t>SMART ANALYTICS-Manual</t>
  </si>
  <si>
    <t>SMART ANALYTICS-SR</t>
  </si>
  <si>
    <t>SMART ANALYTICS-REC INC</t>
  </si>
  <si>
    <t>Project team identified that INSP_LOT &amp; DOC TABLE are loading parallelly but INSP_LOT TABLE is using the data from DOC table.Ideally, there should have been a dependency of DOC table on INSP_LOT.We are working on fixing the dependencies,</t>
  </si>
  <si>
    <t>Ramakrishna</t>
  </si>
  <si>
    <t>We have observed in MATL_TYPE table that update date is less than the create date.We are working on interchanging the both th columns and pull all the data which has already enetred to respective columns.</t>
  </si>
  <si>
    <t>Shruti Hegde</t>
  </si>
  <si>
    <t xml:space="preserve">We have faced failures due to MASTER data &amp; CROSS REF files having leading spaces for the sitenames &amp; other description columns.Ø PARTY table failed due to unique key constraint , and when we analyzed found that the master data was updated with spaces </t>
  </si>
  <si>
    <t>Analysis is in progress</t>
  </si>
  <si>
    <t>created a script to automate the deletion of old/unwanted files in QV folder which deletes the files older than 15 days. The script will run daily, finds the 15 days older file and deletes it.
The QV folder would consume more than 100GB of space.Now the space isse is resolved.</t>
  </si>
  <si>
    <t>space issue is resolved</t>
  </si>
  <si>
    <t>In BSC Canada Consumer Application, there were 4 Tables (Oracle) which were occuoying 2 TB of space (actual size was 52 GB). This was causing the related jobs to either fail or taake longer time. Team did the analysis and found a way with help of DBA team to compress the table by removing empty space (using MOVE ONLINE Command)</t>
  </si>
  <si>
    <t>Correcting the table space issue causing job delays</t>
  </si>
  <si>
    <t>AUTOMATION BUCKET</t>
  </si>
  <si>
    <t>October</t>
  </si>
  <si>
    <t>December</t>
  </si>
  <si>
    <t>BEST PRACTICE</t>
  </si>
  <si>
    <t>SHIFT LEFT</t>
  </si>
  <si>
    <t>Automation of Indirect load status mails (for Consumer jobs)</t>
  </si>
  <si>
    <t>Indirect load status mails are being sent out manually. Ashish is looking at updating an exisitng script to generate dashbaord in the format requested by business and setting it up on a event-based or time-based schedule to send automatic updates</t>
  </si>
  <si>
    <t>EDW ETA estimation</t>
  </si>
  <si>
    <t>Possibility of automation in calculation of ETA</t>
  </si>
  <si>
    <t>EDW Dashboard E-Mail Automation : EDW Dashboard needs to be manually prepared collecting data for each job separately through the Tidal Console. This is consuming significant time and effort on a daily basis.</t>
  </si>
  <si>
    <t>Manual activities related to cognos Weekly immunology activity.
--&gt; Executing the cubes IBM Cognos Transformer cubes from tidal.
--&gt; Moving of the mdc files into corresponding folders.
--&gt; Implementation of  automation scripts for Backup process .</t>
  </si>
  <si>
    <t>Dashboard needs to be made manually collecting data for each job separately through the Tidal Console - EDW</t>
  </si>
  <si>
    <t>Automate to load the MIRA incident and SR into the database.</t>
  </si>
  <si>
    <t>nA</t>
  </si>
  <si>
    <t>Send notification once ASPAC, LSGPS, NA disk-space is 85% reached</t>
  </si>
  <si>
    <t>?</t>
  </si>
  <si>
    <t>Ticket Reduction/Month</t>
  </si>
  <si>
    <t>Beacon</t>
  </si>
  <si>
    <t>IQLIK</t>
  </si>
  <si>
    <t>Global Pricing</t>
  </si>
  <si>
    <t>Janssen Connect</t>
  </si>
  <si>
    <t>JSCEDW Team</t>
  </si>
  <si>
    <t xml:space="preserve">EMS Scheduling: As part of EMS Integration to Databeat project performance issues batch completion delayed daily around 3-4 hours.
Team analyzed the scheduling and made changes to existing schedules through which we avoided batch delays
</t>
  </si>
  <si>
    <t>Query Optimization to PDP</t>
  </si>
  <si>
    <t>Validation Automation</t>
  </si>
  <si>
    <t>Mid November</t>
  </si>
  <si>
    <t>IQLIK Team</t>
  </si>
  <si>
    <t>120 Hrs</t>
  </si>
  <si>
    <t>In Progress</t>
  </si>
  <si>
    <t>DCA Service Improvement</t>
  </si>
  <si>
    <t xml:space="preserve">Nov 17th </t>
  </si>
  <si>
    <t>30 Hrs</t>
  </si>
  <si>
    <t>26 Hrs</t>
  </si>
  <si>
    <t>Automation of Manual process in QLIKSENSE QVD refresh</t>
  </si>
  <si>
    <t xml:space="preserve">Nov 10th </t>
  </si>
  <si>
    <t>To be estimated</t>
  </si>
  <si>
    <t>Manual Monitoring of Task failures in QLIKSENSE</t>
  </si>
  <si>
    <t>August 22nd</t>
  </si>
  <si>
    <t>RDT Renumbering for all TAs</t>
  </si>
  <si>
    <t>Bit bucket implementation.</t>
  </si>
  <si>
    <t>1-Oct- 2017.</t>
  </si>
  <si>
    <t>Global Pricing Team</t>
  </si>
  <si>
    <t> 84</t>
  </si>
  <si>
    <t>Manual monitoring of task failures.</t>
  </si>
  <si>
    <t> Aug-2017</t>
  </si>
  <si>
    <t> 70</t>
  </si>
  <si>
    <t>4-Oct- 2017.</t>
  </si>
  <si>
    <t>Janssen Connect Team</t>
  </si>
  <si>
    <t xml:space="preserve">Changes to /tmp folder: INFA Admin team raised a concern to move all JSC related files from /tmp to Project /TEMP folder due to space constraints. Team made changes to exiting design to point all the temporary files in INFA TEMP folder instead of /tmp .
</t>
  </si>
  <si>
    <t>Optimizing DBL Informatica long running jobs</t>
  </si>
  <si>
    <t>Unix space estimation : An automated script to check the space available in Unix file system and send an alert email if the space crosses the threshold value.</t>
  </si>
  <si>
    <t>PDP long running jobs ( F STDY ) optimization</t>
  </si>
  <si>
    <t>PDP API large info link query (Spotfire) optimization</t>
  </si>
  <si>
    <t>Automation of Year End Activities (ASPAC, NA &amp; LSGPS)</t>
  </si>
  <si>
    <t>Automation-Others</t>
  </si>
  <si>
    <t>Can we introduce new tools..</t>
  </si>
  <si>
    <t>Chatbots..request for information from user..using slack for L1.5..Monitroing tool feeds data into chat window..</t>
  </si>
  <si>
    <t>self-healing-remediation</t>
  </si>
  <si>
    <t>Rule based bots</t>
  </si>
  <si>
    <t>SAP : SOLMON (are they using this tool and using it to full extent)</t>
  </si>
  <si>
    <t>what tools currently in use in JNJ</t>
  </si>
  <si>
    <t>how to escalate to next level : Auto escalation</t>
  </si>
  <si>
    <t>assign ticket to right support team..data analysis to create a rule..</t>
  </si>
  <si>
    <t>what we have done in 2017</t>
  </si>
  <si>
    <t>what we are planning in 2018</t>
  </si>
  <si>
    <t>what is the roadmap for future next 2 yrs</t>
  </si>
  <si>
    <t>Slack : like sype with multiple Channels</t>
  </si>
  <si>
    <t>search automation of knowledge base(sinequa)</t>
  </si>
  <si>
    <t>Chatbot(How do I, service request, monitoring status, background check)</t>
  </si>
  <si>
    <t>virtual assistant COE (Tools used, accelerators</t>
  </si>
  <si>
    <t>APM COE (More on the monitoring)</t>
  </si>
  <si>
    <t>Business BOTs</t>
  </si>
  <si>
    <t>IKON for Knowledge management/KEDB</t>
  </si>
  <si>
    <t>APMON for application performance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</si>
</sst>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1"/>
      <color rgb="FF000000"/>
      <name val="Calibri"/>
      <family val="2"/>
    </font>
    <font>
      <sz val="12"/>
      <color theme="0"/>
      <name val="HP Simplified"/>
      <family val="2"/>
    </font>
    <font>
      <sz val="12"/>
      <name val="HP Simplified"/>
      <family val="2"/>
    </font>
    <font>
      <b/>
      <sz val="10"/>
      <color theme="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rgb="FF000000"/>
      <name val="Calibri"/>
      <family val="2"/>
      <scheme val="minor"/>
    </font>
    <font>
      <sz val="11"/>
      <color theme="1"/>
      <name val="Calibri"/>
      <family val="2"/>
      <scheme val="minor"/>
    </font>
    <font>
      <sz val="9"/>
      <color rgb="FF000000"/>
      <name val="MS Shell Dlg 2"/>
    </font>
    <font>
      <b/>
      <sz val="9"/>
      <color indexed="81"/>
      <name val="Tahoma"/>
      <family val="2"/>
    </font>
    <font>
      <sz val="9"/>
      <color indexed="81"/>
      <name val="Tahoma"/>
      <family val="2"/>
    </font>
    <font>
      <sz val="10"/>
      <color indexed="8"/>
      <name val="Calibri"/>
      <family val="2"/>
    </font>
    <font>
      <sz val="11"/>
      <color rgb="FF000000"/>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9" fontId="10" fillId="0" borderId="0" applyFont="0" applyFill="0" applyBorder="0" applyAlignment="0" applyProtection="0"/>
  </cellStyleXfs>
  <cellXfs count="57">
    <xf numFmtId="0" fontId="0" fillId="0" borderId="0" xfId="0"/>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Border="1"/>
    <xf numFmtId="17" fontId="0" fillId="0" borderId="0" xfId="0" applyNumberFormat="1" applyFill="1" applyBorder="1"/>
    <xf numFmtId="0" fontId="0" fillId="0" borderId="0" xfId="0" applyFill="1" applyBorder="1" applyAlignment="1">
      <alignment wrapText="1"/>
    </xf>
    <xf numFmtId="0" fontId="0" fillId="0" borderId="0" xfId="0" applyFill="1" applyBorder="1" applyAlignment="1"/>
    <xf numFmtId="0" fontId="1" fillId="0" borderId="0" xfId="0" applyFont="1" applyFill="1" applyBorder="1" applyAlignment="1">
      <alignment wrapText="1"/>
    </xf>
    <xf numFmtId="0" fontId="2" fillId="0" borderId="0" xfId="0" applyFont="1"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wrapText="1"/>
    </xf>
    <xf numFmtId="0" fontId="0" fillId="0" borderId="0" xfId="0" applyAlignment="1">
      <alignment vertical="top"/>
    </xf>
    <xf numFmtId="0" fontId="0" fillId="0" borderId="0" xfId="0" applyFill="1" applyBorder="1" applyAlignment="1">
      <alignment vertical="top" wrapText="1"/>
    </xf>
    <xf numFmtId="0" fontId="1" fillId="0" borderId="0" xfId="0" applyFont="1" applyFill="1" applyBorder="1" applyAlignment="1">
      <alignment horizontal="center" vertical="top" wrapText="1"/>
    </xf>
    <xf numFmtId="0" fontId="0" fillId="0" borderId="0" xfId="0" applyAlignment="1">
      <alignment vertical="top" wrapText="1"/>
    </xf>
    <xf numFmtId="0" fontId="0" fillId="0" borderId="0" xfId="0" applyFill="1" applyBorder="1" applyAlignment="1">
      <alignment horizontal="center" vertical="top" wrapText="1"/>
    </xf>
    <xf numFmtId="17" fontId="0" fillId="0" borderId="0" xfId="0" applyNumberFormat="1" applyFill="1" applyBorder="1" applyAlignment="1">
      <alignment vertical="top" wrapText="1"/>
    </xf>
    <xf numFmtId="0" fontId="0" fillId="0" borderId="0" xfId="0" applyFill="1" applyBorder="1" applyAlignment="1">
      <alignment horizontal="left" vertical="center" wrapText="1"/>
    </xf>
    <xf numFmtId="0" fontId="4" fillId="0" borderId="0" xfId="0" applyFont="1" applyFill="1" applyBorder="1" applyAlignment="1">
      <alignment vertical="top" wrapText="1"/>
    </xf>
    <xf numFmtId="0" fontId="3" fillId="2" borderId="0" xfId="0" applyFont="1" applyFill="1" applyBorder="1" applyAlignment="1">
      <alignment vertical="top" wrapText="1"/>
    </xf>
    <xf numFmtId="0" fontId="4" fillId="0" borderId="0" xfId="0" applyFont="1" applyFill="1" applyBorder="1" applyAlignment="1">
      <alignment horizontal="left" vertical="top"/>
    </xf>
    <xf numFmtId="0" fontId="6" fillId="0" borderId="0" xfId="0" applyFont="1" applyAlignment="1">
      <alignment vertical="top"/>
    </xf>
    <xf numFmtId="0" fontId="6" fillId="0" borderId="0" xfId="0" applyFont="1" applyFill="1" applyBorder="1" applyAlignment="1">
      <alignment horizontal="center" vertical="top"/>
    </xf>
    <xf numFmtId="0" fontId="6" fillId="0" borderId="0" xfId="0" applyFont="1" applyFill="1" applyBorder="1" applyAlignment="1">
      <alignment vertical="top"/>
    </xf>
    <xf numFmtId="1" fontId="6" fillId="0" borderId="0" xfId="0" applyNumberFormat="1" applyFont="1" applyFill="1" applyBorder="1" applyAlignment="1">
      <alignment vertical="top"/>
    </xf>
    <xf numFmtId="1" fontId="6" fillId="0" borderId="0" xfId="0" applyNumberFormat="1" applyFont="1" applyAlignment="1">
      <alignment vertical="top"/>
    </xf>
    <xf numFmtId="0" fontId="6" fillId="0" borderId="0" xfId="0" applyFont="1" applyAlignment="1">
      <alignment horizontal="right" vertical="top"/>
    </xf>
    <xf numFmtId="17" fontId="6" fillId="0" borderId="0" xfId="0" applyNumberFormat="1" applyFont="1" applyAlignment="1">
      <alignment vertical="top"/>
    </xf>
    <xf numFmtId="0" fontId="9" fillId="0" borderId="0" xfId="0" applyFont="1" applyAlignment="1">
      <alignment vertical="top"/>
    </xf>
    <xf numFmtId="9" fontId="6" fillId="0" borderId="0" xfId="1" applyFont="1" applyAlignment="1">
      <alignment vertical="top"/>
    </xf>
    <xf numFmtId="9" fontId="6" fillId="0" borderId="0" xfId="0" applyNumberFormat="1" applyFont="1" applyAlignment="1">
      <alignment vertical="top"/>
    </xf>
    <xf numFmtId="0" fontId="14" fillId="0" borderId="0" xfId="0" applyNumberFormat="1" applyFont="1" applyFill="1" applyBorder="1" applyAlignment="1" applyProtection="1">
      <alignment vertical="top"/>
    </xf>
    <xf numFmtId="0" fontId="14" fillId="0" borderId="0" xfId="0" applyNumberFormat="1" applyFont="1" applyFill="1" applyBorder="1" applyAlignment="1" applyProtection="1">
      <alignment horizontal="center" vertical="top"/>
    </xf>
    <xf numFmtId="14" fontId="6" fillId="0" borderId="0" xfId="0" applyNumberFormat="1" applyFont="1" applyAlignment="1">
      <alignment vertical="top"/>
    </xf>
    <xf numFmtId="0" fontId="5" fillId="2" borderId="0" xfId="0" applyFont="1" applyFill="1" applyBorder="1" applyAlignment="1">
      <alignment horizontal="center" vertical="top"/>
    </xf>
    <xf numFmtId="0" fontId="8" fillId="4" borderId="0" xfId="0" applyFont="1" applyFill="1" applyBorder="1" applyAlignment="1">
      <alignment horizontal="center" vertical="top"/>
    </xf>
    <xf numFmtId="0" fontId="7" fillId="3" borderId="0" xfId="0" applyFont="1" applyFill="1" applyBorder="1" applyAlignment="1">
      <alignment horizontal="center" vertical="top"/>
    </xf>
    <xf numFmtId="0" fontId="7" fillId="5" borderId="0" xfId="0" applyFont="1" applyFill="1" applyBorder="1" applyAlignment="1">
      <alignment horizontal="center" vertical="top"/>
    </xf>
    <xf numFmtId="0" fontId="6" fillId="0" borderId="0" xfId="0" applyFont="1" applyFill="1" applyBorder="1" applyAlignment="1"/>
    <xf numFmtId="0" fontId="0" fillId="0" borderId="0" xfId="0" applyFill="1" applyBorder="1" applyAlignment="1">
      <alignment horizontal="right"/>
    </xf>
    <xf numFmtId="0" fontId="6" fillId="0" borderId="0" xfId="0" quotePrefix="1" applyFont="1" applyFill="1" applyBorder="1" applyAlignment="1">
      <alignment vertical="top"/>
    </xf>
    <xf numFmtId="0" fontId="11" fillId="0" borderId="0" xfId="0" applyFont="1" applyAlignment="1"/>
    <xf numFmtId="0" fontId="8" fillId="3" borderId="0" xfId="0" applyFont="1" applyFill="1" applyBorder="1" applyAlignment="1">
      <alignment horizontal="center" vertical="top"/>
    </xf>
    <xf numFmtId="0" fontId="6" fillId="4" borderId="0" xfId="0" applyFont="1" applyFill="1" applyBorder="1" applyAlignment="1">
      <alignment vertical="top"/>
    </xf>
    <xf numFmtId="0" fontId="6" fillId="4" borderId="0" xfId="0" applyFont="1" applyFill="1" applyAlignment="1">
      <alignment vertical="top"/>
    </xf>
    <xf numFmtId="0" fontId="6" fillId="0" borderId="0" xfId="0" applyFont="1" applyFill="1" applyAlignment="1">
      <alignment vertical="top"/>
    </xf>
    <xf numFmtId="0" fontId="15" fillId="0" borderId="0" xfId="0" applyFont="1" applyAlignment="1">
      <alignment wrapText="1"/>
    </xf>
    <xf numFmtId="0" fontId="6" fillId="4" borderId="0" xfId="0" applyFont="1" applyFill="1" applyAlignment="1">
      <alignment vertical="top" wrapText="1"/>
    </xf>
    <xf numFmtId="0" fontId="6" fillId="0" borderId="0" xfId="0" applyFont="1" applyFill="1" applyAlignment="1">
      <alignment vertical="top" wrapText="1"/>
    </xf>
    <xf numFmtId="0" fontId="6" fillId="0" borderId="0" xfId="0" applyFont="1" applyFill="1" applyBorder="1" applyAlignment="1">
      <alignment vertical="top" wrapText="1"/>
    </xf>
    <xf numFmtId="0" fontId="6" fillId="6" borderId="0" xfId="0" applyFont="1" applyFill="1" applyAlignment="1">
      <alignment vertical="top"/>
    </xf>
    <xf numFmtId="0" fontId="0" fillId="0" borderId="0" xfId="0" applyFill="1" applyBorder="1" applyAlignment="1">
      <alignment horizontal="left" wrapText="1"/>
    </xf>
    <xf numFmtId="0" fontId="7" fillId="4" borderId="0" xfId="0" applyFont="1" applyFill="1" applyAlignment="1">
      <alignment vertical="top"/>
    </xf>
    <xf numFmtId="0" fontId="7" fillId="0" borderId="0" xfId="0" applyFont="1" applyFill="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B1" workbookViewId="0">
      <pane ySplit="1" topLeftCell="A15" activePane="bottomLeft" state="frozen"/>
      <selection activeCell="B27" sqref="B27"/>
      <selection pane="bottomLeft" activeCell="D1" sqref="D1:D1048576"/>
    </sheetView>
  </sheetViews>
  <sheetFormatPr defaultColWidth="9.109375" defaultRowHeight="14.4" x14ac:dyDescent="0.3"/>
  <cols>
    <col min="1" max="1" width="6.88671875" style="1" bestFit="1" customWidth="1"/>
    <col min="2" max="2" width="7.109375" style="1" bestFit="1" customWidth="1"/>
    <col min="3" max="3" width="12.44140625" style="1" bestFit="1" customWidth="1"/>
    <col min="4" max="4" width="45.44140625" style="1" customWidth="1"/>
    <col min="5" max="5" width="19.33203125" style="1" customWidth="1"/>
    <col min="6" max="6" width="20.109375" style="1" customWidth="1"/>
    <col min="7" max="7" width="7.6640625" style="1" bestFit="1" customWidth="1"/>
    <col min="8" max="8" width="15.109375" style="1" customWidth="1"/>
    <col min="9" max="9" width="11.6640625" style="1" bestFit="1" customWidth="1"/>
    <col min="10" max="10" width="66.6640625" style="1" customWidth="1"/>
    <col min="11" max="11" width="16.109375" style="1" bestFit="1" customWidth="1"/>
    <col min="12" max="12" width="26.44140625" style="1" bestFit="1" customWidth="1"/>
    <col min="13" max="16384" width="9.109375" style="1"/>
  </cols>
  <sheetData>
    <row r="1" spans="1:15" ht="31.5" customHeight="1" x14ac:dyDescent="0.3">
      <c r="A1" s="3" t="s">
        <v>2</v>
      </c>
      <c r="B1" s="3" t="s">
        <v>3</v>
      </c>
      <c r="C1" s="3" t="s">
        <v>4</v>
      </c>
      <c r="D1" s="3" t="s">
        <v>172</v>
      </c>
      <c r="E1" s="4" t="s">
        <v>5</v>
      </c>
      <c r="F1" s="4" t="s">
        <v>6</v>
      </c>
      <c r="G1" s="3" t="s">
        <v>7</v>
      </c>
      <c r="H1" s="4" t="s">
        <v>8</v>
      </c>
      <c r="I1" s="3" t="s">
        <v>0</v>
      </c>
      <c r="J1" s="3" t="s">
        <v>9</v>
      </c>
      <c r="K1" s="5"/>
      <c r="L1" s="5"/>
      <c r="M1" s="5"/>
      <c r="N1" s="5"/>
      <c r="O1" s="5"/>
    </row>
    <row r="2" spans="1:15" ht="28.8" x14ac:dyDescent="0.3">
      <c r="A2" s="2">
        <v>1</v>
      </c>
      <c r="B2" s="6">
        <v>42795</v>
      </c>
      <c r="C2" s="7" t="s">
        <v>10</v>
      </c>
      <c r="D2" s="1" t="s">
        <v>11</v>
      </c>
      <c r="E2" s="1">
        <v>20</v>
      </c>
      <c r="F2" s="7">
        <f>(0.15*5*52)</f>
        <v>39</v>
      </c>
      <c r="G2" s="7"/>
      <c r="H2" s="1" t="s">
        <v>12</v>
      </c>
      <c r="I2" s="1" t="s">
        <v>10</v>
      </c>
      <c r="J2" s="7" t="s">
        <v>13</v>
      </c>
    </row>
    <row r="3" spans="1:15" ht="28.8" x14ac:dyDescent="0.3">
      <c r="A3" s="2">
        <v>2</v>
      </c>
      <c r="B3" s="6">
        <v>42795</v>
      </c>
      <c r="C3" s="7" t="s">
        <v>10</v>
      </c>
      <c r="D3" s="1" t="s">
        <v>14</v>
      </c>
      <c r="E3" s="1">
        <v>20</v>
      </c>
      <c r="F3" s="7">
        <v>40</v>
      </c>
      <c r="G3" s="7"/>
      <c r="H3" s="1" t="s">
        <v>15</v>
      </c>
      <c r="I3" s="1" t="s">
        <v>10</v>
      </c>
      <c r="J3" s="7" t="s">
        <v>16</v>
      </c>
    </row>
    <row r="4" spans="1:15" ht="43.2" x14ac:dyDescent="0.3">
      <c r="A4" s="2">
        <v>3</v>
      </c>
      <c r="B4" s="6">
        <v>42795</v>
      </c>
      <c r="C4" s="7" t="s">
        <v>10</v>
      </c>
      <c r="D4" s="1" t="s">
        <v>17</v>
      </c>
      <c r="E4" s="1">
        <v>10</v>
      </c>
      <c r="F4" s="7">
        <v>0</v>
      </c>
      <c r="G4" s="7"/>
      <c r="H4" s="1" t="s">
        <v>12</v>
      </c>
      <c r="I4" s="1" t="s">
        <v>10</v>
      </c>
      <c r="J4" s="7" t="s">
        <v>18</v>
      </c>
      <c r="N4" s="8"/>
    </row>
    <row r="5" spans="1:15" ht="28.8" x14ac:dyDescent="0.3">
      <c r="A5" s="2">
        <v>4</v>
      </c>
      <c r="B5" s="6">
        <v>42795</v>
      </c>
      <c r="C5" s="1" t="s">
        <v>10</v>
      </c>
      <c r="D5" s="1" t="s">
        <v>19</v>
      </c>
      <c r="E5" s="1">
        <v>10</v>
      </c>
      <c r="F5" s="1">
        <v>30</v>
      </c>
      <c r="H5" s="1" t="s">
        <v>12</v>
      </c>
      <c r="I5" s="1" t="s">
        <v>10</v>
      </c>
      <c r="J5" s="7" t="s">
        <v>20</v>
      </c>
    </row>
    <row r="6" spans="1:15" ht="15" customHeight="1" x14ac:dyDescent="0.3">
      <c r="A6" s="2">
        <v>5</v>
      </c>
      <c r="B6" s="6">
        <v>42795</v>
      </c>
      <c r="C6" s="1" t="s">
        <v>21</v>
      </c>
      <c r="D6" s="1" t="s">
        <v>22</v>
      </c>
      <c r="E6" s="1">
        <v>10</v>
      </c>
      <c r="F6" s="7">
        <f>(((8*180)/3)/60)*12</f>
        <v>96</v>
      </c>
      <c r="G6" s="7" t="s">
        <v>23</v>
      </c>
      <c r="H6" s="1" t="s">
        <v>24</v>
      </c>
      <c r="I6" s="1" t="s">
        <v>25</v>
      </c>
      <c r="J6" s="54" t="s">
        <v>26</v>
      </c>
    </row>
    <row r="7" spans="1:15" x14ac:dyDescent="0.3">
      <c r="A7" s="2">
        <v>6</v>
      </c>
      <c r="B7" s="6">
        <v>42795</v>
      </c>
      <c r="C7" s="1" t="s">
        <v>21</v>
      </c>
      <c r="D7" s="1" t="s">
        <v>27</v>
      </c>
      <c r="E7" s="1">
        <v>10</v>
      </c>
      <c r="F7" s="7">
        <f>(((8*180)/3)/60)*12</f>
        <v>96</v>
      </c>
      <c r="G7" s="7" t="s">
        <v>23</v>
      </c>
      <c r="H7" s="1" t="s">
        <v>24</v>
      </c>
      <c r="I7" s="1" t="s">
        <v>25</v>
      </c>
      <c r="J7" s="54"/>
    </row>
    <row r="8" spans="1:15" x14ac:dyDescent="0.3">
      <c r="A8" s="2">
        <v>7</v>
      </c>
      <c r="B8" s="6">
        <v>42795</v>
      </c>
      <c r="C8" s="1" t="s">
        <v>21</v>
      </c>
      <c r="D8" s="1" t="s">
        <v>28</v>
      </c>
      <c r="E8" s="1">
        <v>10</v>
      </c>
      <c r="F8" s="7">
        <f>(((8*180)/3)/60)*12</f>
        <v>96</v>
      </c>
      <c r="G8" s="7" t="s">
        <v>23</v>
      </c>
      <c r="H8" s="1" t="s">
        <v>24</v>
      </c>
      <c r="I8" s="1" t="s">
        <v>25</v>
      </c>
      <c r="J8" s="54"/>
    </row>
    <row r="9" spans="1:15" ht="27.75" customHeight="1" x14ac:dyDescent="0.3">
      <c r="A9" s="2">
        <v>8</v>
      </c>
      <c r="B9" s="6">
        <v>42795</v>
      </c>
      <c r="C9" s="1" t="s">
        <v>21</v>
      </c>
      <c r="D9" s="1" t="s">
        <v>29</v>
      </c>
      <c r="E9" s="1">
        <v>25</v>
      </c>
      <c r="F9" s="1">
        <f>(250*5)/60</f>
        <v>20.833333333333332</v>
      </c>
      <c r="G9" s="7"/>
      <c r="H9" s="1" t="s">
        <v>12</v>
      </c>
      <c r="I9" s="1" t="s">
        <v>25</v>
      </c>
      <c r="J9" s="7" t="s">
        <v>30</v>
      </c>
    </row>
    <row r="10" spans="1:15" x14ac:dyDescent="0.3">
      <c r="A10" s="2">
        <v>9</v>
      </c>
      <c r="B10" s="6">
        <v>42795</v>
      </c>
      <c r="C10" s="1" t="s">
        <v>31</v>
      </c>
      <c r="D10" s="1" t="s">
        <v>32</v>
      </c>
      <c r="E10" s="1">
        <v>40</v>
      </c>
      <c r="F10" s="1">
        <v>12</v>
      </c>
      <c r="H10" s="1" t="s">
        <v>12</v>
      </c>
      <c r="J10" s="1" t="s">
        <v>33</v>
      </c>
    </row>
    <row r="11" spans="1:15" x14ac:dyDescent="0.3">
      <c r="A11" s="2">
        <v>10</v>
      </c>
      <c r="B11" s="6">
        <v>42795</v>
      </c>
      <c r="C11" s="1" t="s">
        <v>31</v>
      </c>
      <c r="D11" s="1" t="s">
        <v>34</v>
      </c>
      <c r="E11" s="1">
        <v>60</v>
      </c>
      <c r="F11" s="1">
        <v>720</v>
      </c>
      <c r="H11" s="1" t="s">
        <v>12</v>
      </c>
      <c r="J11" s="1" t="s">
        <v>35</v>
      </c>
    </row>
    <row r="12" spans="1:15" ht="43.2" x14ac:dyDescent="0.3">
      <c r="A12" s="2">
        <v>11</v>
      </c>
      <c r="B12" s="6">
        <v>42795</v>
      </c>
      <c r="C12" s="1" t="s">
        <v>36</v>
      </c>
      <c r="D12" s="1" t="s">
        <v>37</v>
      </c>
      <c r="E12" s="1">
        <v>60</v>
      </c>
      <c r="F12" s="1">
        <f>16*2*12</f>
        <v>384</v>
      </c>
      <c r="H12" s="7" t="s">
        <v>38</v>
      </c>
      <c r="I12" s="1" t="s">
        <v>39</v>
      </c>
      <c r="J12" s="7" t="s">
        <v>40</v>
      </c>
    </row>
    <row r="13" spans="1:15" ht="28.8" x14ac:dyDescent="0.3">
      <c r="A13" s="2">
        <v>12</v>
      </c>
      <c r="B13" s="6">
        <v>42795</v>
      </c>
      <c r="C13" s="1" t="s">
        <v>36</v>
      </c>
      <c r="D13" s="1" t="s">
        <v>41</v>
      </c>
      <c r="E13" s="1">
        <v>16</v>
      </c>
      <c r="F13" s="1">
        <f>(0.25*2*3*12)</f>
        <v>18</v>
      </c>
      <c r="H13" s="1" t="s">
        <v>12</v>
      </c>
      <c r="I13" s="1" t="s">
        <v>42</v>
      </c>
      <c r="J13" s="7" t="s">
        <v>43</v>
      </c>
    </row>
    <row r="14" spans="1:15" x14ac:dyDescent="0.3">
      <c r="A14" s="2">
        <v>13</v>
      </c>
      <c r="B14" s="6">
        <v>42795</v>
      </c>
      <c r="C14" s="1" t="s">
        <v>36</v>
      </c>
      <c r="D14" s="1" t="s">
        <v>44</v>
      </c>
      <c r="E14" s="1">
        <v>8</v>
      </c>
      <c r="F14" s="1">
        <f>(8*12)</f>
        <v>96</v>
      </c>
      <c r="H14" s="1" t="s">
        <v>12</v>
      </c>
      <c r="I14" s="1" t="s">
        <v>45</v>
      </c>
      <c r="J14" s="1" t="s">
        <v>46</v>
      </c>
    </row>
    <row r="15" spans="1:15" ht="28.8" x14ac:dyDescent="0.3">
      <c r="A15" s="2">
        <v>14</v>
      </c>
      <c r="B15" s="6">
        <v>42795</v>
      </c>
      <c r="C15" s="1" t="s">
        <v>36</v>
      </c>
      <c r="D15" s="1" t="s">
        <v>47</v>
      </c>
      <c r="E15" s="1">
        <v>8</v>
      </c>
      <c r="F15" s="1">
        <f>(0.25*2*12)</f>
        <v>6</v>
      </c>
      <c r="H15" s="1" t="s">
        <v>12</v>
      </c>
      <c r="I15" s="1" t="s">
        <v>48</v>
      </c>
      <c r="J15" s="7" t="s">
        <v>49</v>
      </c>
    </row>
    <row r="16" spans="1:15" x14ac:dyDescent="0.3">
      <c r="A16" s="2">
        <v>15</v>
      </c>
      <c r="B16" s="6">
        <v>42795</v>
      </c>
      <c r="C16" s="1" t="s">
        <v>36</v>
      </c>
      <c r="D16" s="1" t="s">
        <v>50</v>
      </c>
      <c r="H16" s="1" t="s">
        <v>12</v>
      </c>
      <c r="J16" s="1" t="s">
        <v>51</v>
      </c>
    </row>
    <row r="17" spans="1:10" ht="57.6" x14ac:dyDescent="0.3">
      <c r="A17" s="2">
        <v>16</v>
      </c>
      <c r="B17" s="6">
        <v>42795</v>
      </c>
      <c r="C17" s="1" t="s">
        <v>52</v>
      </c>
      <c r="D17" s="1" t="s">
        <v>1</v>
      </c>
      <c r="E17" s="7">
        <v>40</v>
      </c>
      <c r="F17" s="1">
        <f>250*0.5</f>
        <v>125</v>
      </c>
      <c r="H17" s="7" t="s">
        <v>53</v>
      </c>
      <c r="J17" s="7" t="s">
        <v>54</v>
      </c>
    </row>
    <row r="18" spans="1:10" ht="43.2" x14ac:dyDescent="0.3">
      <c r="A18" s="2">
        <v>17</v>
      </c>
      <c r="B18" s="6">
        <v>42795</v>
      </c>
      <c r="C18" s="1" t="s">
        <v>52</v>
      </c>
      <c r="D18" s="1" t="s">
        <v>55</v>
      </c>
      <c r="E18" s="7">
        <v>40</v>
      </c>
      <c r="F18" s="1">
        <v>41.66</v>
      </c>
      <c r="G18" s="1" t="s">
        <v>23</v>
      </c>
      <c r="H18" s="1" t="s">
        <v>24</v>
      </c>
      <c r="I18" s="1" t="s">
        <v>25</v>
      </c>
      <c r="J18" s="7" t="s">
        <v>56</v>
      </c>
    </row>
    <row r="19" spans="1:10" x14ac:dyDescent="0.3">
      <c r="A19" s="2">
        <v>18</v>
      </c>
      <c r="B19" s="6">
        <v>42795</v>
      </c>
      <c r="C19" s="1" t="s">
        <v>52</v>
      </c>
      <c r="D19" s="1" t="s">
        <v>57</v>
      </c>
      <c r="E19" s="7">
        <v>24</v>
      </c>
      <c r="F19" s="1">
        <v>41.66</v>
      </c>
      <c r="G19" s="1" t="s">
        <v>23</v>
      </c>
      <c r="H19" s="1" t="s">
        <v>24</v>
      </c>
      <c r="I19" s="1" t="s">
        <v>25</v>
      </c>
      <c r="J19" s="1" t="s">
        <v>58</v>
      </c>
    </row>
    <row r="20" spans="1:10" x14ac:dyDescent="0.3">
      <c r="A20" s="2">
        <v>19</v>
      </c>
      <c r="B20" s="6">
        <v>42795</v>
      </c>
      <c r="C20" s="1" t="s">
        <v>52</v>
      </c>
      <c r="D20" s="1" t="s">
        <v>59</v>
      </c>
      <c r="E20" s="7">
        <v>24</v>
      </c>
      <c r="F20" s="1">
        <v>41.66</v>
      </c>
      <c r="H20" s="1" t="s">
        <v>60</v>
      </c>
      <c r="I20" s="1" t="s">
        <v>25</v>
      </c>
      <c r="J20" s="1" t="s">
        <v>58</v>
      </c>
    </row>
    <row r="21" spans="1:10" x14ac:dyDescent="0.3">
      <c r="A21" s="2">
        <v>20</v>
      </c>
      <c r="B21" s="6">
        <v>42826</v>
      </c>
      <c r="C21" s="1" t="s">
        <v>61</v>
      </c>
      <c r="D21" s="1" t="s">
        <v>62</v>
      </c>
      <c r="E21" s="1">
        <v>200</v>
      </c>
      <c r="F21" s="1">
        <f>(0.15*6*22*12)</f>
        <v>237.59999999999997</v>
      </c>
      <c r="J21" s="1" t="s">
        <v>63</v>
      </c>
    </row>
    <row r="22" spans="1:10" x14ac:dyDescent="0.3">
      <c r="A22" s="2">
        <v>21</v>
      </c>
      <c r="B22" s="6">
        <v>42826</v>
      </c>
      <c r="C22" s="1" t="s">
        <v>31</v>
      </c>
      <c r="D22" s="1" t="s">
        <v>64</v>
      </c>
      <c r="E22" s="1">
        <f>(20*3)</f>
        <v>60</v>
      </c>
      <c r="F22" s="1">
        <v>80</v>
      </c>
      <c r="J22" s="1" t="s">
        <v>65</v>
      </c>
    </row>
    <row r="23" spans="1:10" ht="28.8" x14ac:dyDescent="0.3">
      <c r="A23" s="2">
        <v>22</v>
      </c>
      <c r="B23" s="6">
        <v>42826</v>
      </c>
      <c r="C23" s="1" t="s">
        <v>31</v>
      </c>
      <c r="D23" s="1" t="s">
        <v>66</v>
      </c>
      <c r="E23" s="1">
        <v>50</v>
      </c>
      <c r="F23" s="1">
        <v>40</v>
      </c>
      <c r="J23" s="7" t="s">
        <v>67</v>
      </c>
    </row>
    <row r="24" spans="1:10" x14ac:dyDescent="0.3">
      <c r="A24" s="2">
        <v>23</v>
      </c>
      <c r="B24" s="6">
        <v>42826</v>
      </c>
      <c r="C24" s="1" t="s">
        <v>31</v>
      </c>
      <c r="D24" s="1" t="s">
        <v>68</v>
      </c>
      <c r="E24" s="1">
        <v>60</v>
      </c>
      <c r="F24" s="1">
        <v>192</v>
      </c>
      <c r="J24" s="1" t="s">
        <v>69</v>
      </c>
    </row>
    <row r="25" spans="1:10" x14ac:dyDescent="0.3">
      <c r="A25" s="2">
        <v>24</v>
      </c>
      <c r="B25" s="6">
        <v>42826</v>
      </c>
      <c r="C25" s="1" t="s">
        <v>31</v>
      </c>
      <c r="D25" s="1" t="s">
        <v>70</v>
      </c>
      <c r="E25" s="1">
        <v>2</v>
      </c>
      <c r="F25" s="1">
        <f>(0.25*30*12)</f>
        <v>90</v>
      </c>
      <c r="G25" s="1" t="s">
        <v>23</v>
      </c>
      <c r="H25" s="1" t="s">
        <v>24</v>
      </c>
      <c r="J25" s="1" t="s">
        <v>71</v>
      </c>
    </row>
    <row r="26" spans="1:10" x14ac:dyDescent="0.3">
      <c r="A26" s="2">
        <v>25</v>
      </c>
      <c r="B26" s="6">
        <v>42826</v>
      </c>
      <c r="C26" s="1" t="s">
        <v>42</v>
      </c>
      <c r="D26" s="1" t="s">
        <v>72</v>
      </c>
      <c r="E26" s="1">
        <v>4</v>
      </c>
      <c r="F26" s="1">
        <f>(2*52)</f>
        <v>104</v>
      </c>
      <c r="H26" s="1" t="s">
        <v>15</v>
      </c>
      <c r="I26" s="1" t="s">
        <v>42</v>
      </c>
      <c r="J26" s="1" t="s">
        <v>73</v>
      </c>
    </row>
    <row r="27" spans="1:10" ht="28.8" x14ac:dyDescent="0.3">
      <c r="A27" s="2">
        <v>26</v>
      </c>
      <c r="B27" s="6">
        <v>42826</v>
      </c>
      <c r="C27" s="1" t="s">
        <v>21</v>
      </c>
      <c r="D27" s="1" t="s">
        <v>74</v>
      </c>
      <c r="E27" s="1">
        <v>2</v>
      </c>
      <c r="F27" s="1">
        <f>1*3</f>
        <v>3</v>
      </c>
      <c r="G27" s="1" t="s">
        <v>23</v>
      </c>
      <c r="H27" s="1" t="s">
        <v>24</v>
      </c>
      <c r="I27" s="1" t="s">
        <v>25</v>
      </c>
      <c r="J27" s="7" t="s">
        <v>75</v>
      </c>
    </row>
    <row r="28" spans="1:10" x14ac:dyDescent="0.3">
      <c r="A28" s="2">
        <v>27</v>
      </c>
      <c r="B28" s="6">
        <v>42826</v>
      </c>
      <c r="C28" s="1" t="s">
        <v>36</v>
      </c>
      <c r="D28" s="1" t="s">
        <v>76</v>
      </c>
      <c r="E28" s="1">
        <v>2</v>
      </c>
      <c r="F28" s="1">
        <f>(0.5*22*12)</f>
        <v>132</v>
      </c>
      <c r="H28" s="1" t="s">
        <v>15</v>
      </c>
      <c r="I28" s="1" t="s">
        <v>42</v>
      </c>
      <c r="J28" s="1" t="s">
        <v>77</v>
      </c>
    </row>
    <row r="29" spans="1:10" x14ac:dyDescent="0.3">
      <c r="A29" s="2">
        <v>28</v>
      </c>
      <c r="B29" s="6">
        <v>42826</v>
      </c>
      <c r="C29" s="1" t="s">
        <v>42</v>
      </c>
      <c r="D29" s="1" t="s">
        <v>78</v>
      </c>
      <c r="E29" s="1">
        <v>3</v>
      </c>
      <c r="F29" s="1">
        <f>(4*52)</f>
        <v>208</v>
      </c>
      <c r="G29" s="1" t="s">
        <v>23</v>
      </c>
      <c r="I29" s="1" t="s">
        <v>42</v>
      </c>
      <c r="J29" s="1" t="s">
        <v>79</v>
      </c>
    </row>
    <row r="30" spans="1:10" ht="28.8" x14ac:dyDescent="0.3">
      <c r="A30" s="2">
        <v>29</v>
      </c>
      <c r="B30" s="6">
        <v>42826</v>
      </c>
      <c r="C30" s="1" t="s">
        <v>61</v>
      </c>
      <c r="D30" s="1" t="s">
        <v>80</v>
      </c>
      <c r="E30" s="1">
        <v>16</v>
      </c>
      <c r="F30" s="1">
        <f>2*12</f>
        <v>24</v>
      </c>
      <c r="J30" s="7" t="s">
        <v>81</v>
      </c>
    </row>
    <row r="31" spans="1:10" x14ac:dyDescent="0.3">
      <c r="A31" s="2">
        <v>30</v>
      </c>
      <c r="B31" s="6">
        <v>42842</v>
      </c>
      <c r="C31" s="1" t="s">
        <v>21</v>
      </c>
      <c r="D31" s="1" t="s">
        <v>82</v>
      </c>
    </row>
    <row r="32" spans="1:10" x14ac:dyDescent="0.3">
      <c r="A32" s="2">
        <v>31</v>
      </c>
      <c r="B32" s="6">
        <v>42842</v>
      </c>
      <c r="C32" s="1" t="s">
        <v>61</v>
      </c>
      <c r="D32" s="1" t="s">
        <v>83</v>
      </c>
      <c r="E32" s="1">
        <v>24</v>
      </c>
      <c r="F32" s="1">
        <v>20</v>
      </c>
      <c r="G32" s="1" t="s">
        <v>84</v>
      </c>
      <c r="J32" s="1" t="s">
        <v>85</v>
      </c>
    </row>
    <row r="33" spans="4:4" ht="28.8" x14ac:dyDescent="0.3">
      <c r="D33" s="7" t="s">
        <v>165</v>
      </c>
    </row>
    <row r="34" spans="4:4" ht="28.8" x14ac:dyDescent="0.3">
      <c r="D34" s="7" t="s">
        <v>166</v>
      </c>
    </row>
    <row r="35" spans="4:4" ht="28.8" x14ac:dyDescent="0.3">
      <c r="D35" s="7" t="s">
        <v>167</v>
      </c>
    </row>
    <row r="36" spans="4:4" ht="72" x14ac:dyDescent="0.3">
      <c r="D36" s="7" t="s">
        <v>168</v>
      </c>
    </row>
  </sheetData>
  <mergeCells count="1">
    <mergeCell ref="J6:J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146"/>
  <sheetViews>
    <sheetView zoomScale="80" zoomScaleNormal="80" workbookViewId="0">
      <pane ySplit="1" topLeftCell="A2" activePane="bottomLeft" state="frozen"/>
      <selection pane="bottomLeft" activeCell="E16" sqref="E16"/>
    </sheetView>
  </sheetViews>
  <sheetFormatPr defaultRowHeight="13.8" x14ac:dyDescent="0.3"/>
  <cols>
    <col min="1" max="1" width="6.44140625" style="24" customWidth="1"/>
    <col min="2" max="2" width="10.109375" style="24" customWidth="1"/>
    <col min="3" max="3" width="22.6640625" style="24" customWidth="1"/>
    <col min="4" max="4" width="20.77734375" style="24" customWidth="1"/>
    <col min="5" max="5" width="26.109375" style="24" customWidth="1"/>
    <col min="6" max="6" width="20.77734375" style="24" customWidth="1"/>
    <col min="7" max="7" width="6.77734375" style="24" customWidth="1"/>
    <col min="8" max="8" width="17.77734375" style="24" customWidth="1"/>
    <col min="9" max="9" width="92.109375" style="48" customWidth="1"/>
    <col min="10" max="10" width="12.77734375" style="24" customWidth="1"/>
    <col min="11" max="11" width="21.6640625" style="24" customWidth="1"/>
    <col min="12" max="12" width="10.33203125" style="24" customWidth="1"/>
    <col min="13" max="13" width="11.44140625" style="24" customWidth="1"/>
    <col min="14" max="17" width="9.6640625" style="24" customWidth="1"/>
    <col min="18" max="18" width="15.33203125" style="24" customWidth="1"/>
    <col min="19" max="19" width="48.77734375" style="24" customWidth="1"/>
    <col min="20" max="20" width="11.109375" style="24" customWidth="1"/>
    <col min="21" max="16384" width="8.88671875" style="24"/>
  </cols>
  <sheetData>
    <row r="1" spans="1:20" x14ac:dyDescent="0.3">
      <c r="A1" s="37" t="s">
        <v>307</v>
      </c>
      <c r="B1" s="37" t="s">
        <v>308</v>
      </c>
      <c r="C1" s="37" t="s">
        <v>130</v>
      </c>
      <c r="D1" s="37" t="s">
        <v>324</v>
      </c>
      <c r="E1" s="45" t="s">
        <v>508</v>
      </c>
      <c r="F1" s="37" t="s">
        <v>411</v>
      </c>
      <c r="G1" s="37" t="s">
        <v>2</v>
      </c>
      <c r="H1" s="37" t="s">
        <v>306</v>
      </c>
      <c r="I1" s="37" t="s">
        <v>172</v>
      </c>
      <c r="J1" s="38" t="s">
        <v>384</v>
      </c>
      <c r="K1" s="37" t="s">
        <v>0</v>
      </c>
      <c r="L1" s="37" t="s">
        <v>309</v>
      </c>
      <c r="M1" s="37" t="s">
        <v>6</v>
      </c>
      <c r="N1" s="39" t="s">
        <v>310</v>
      </c>
      <c r="O1" s="39" t="s">
        <v>311</v>
      </c>
      <c r="P1" s="39" t="s">
        <v>313</v>
      </c>
      <c r="Q1" s="40" t="s">
        <v>524</v>
      </c>
      <c r="R1" s="37" t="s">
        <v>8</v>
      </c>
      <c r="S1" s="37" t="s">
        <v>9</v>
      </c>
      <c r="T1" s="37" t="s">
        <v>417</v>
      </c>
    </row>
    <row r="2" spans="1:20" hidden="1" x14ac:dyDescent="0.3">
      <c r="A2" s="24" t="s">
        <v>183</v>
      </c>
      <c r="B2" s="24" t="s">
        <v>321</v>
      </c>
      <c r="C2" s="24" t="s">
        <v>526</v>
      </c>
      <c r="D2" s="24" t="s">
        <v>523</v>
      </c>
      <c r="E2" s="24" t="s">
        <v>523</v>
      </c>
      <c r="F2" s="24" t="s">
        <v>223</v>
      </c>
      <c r="G2" s="25"/>
      <c r="H2" s="24" t="s">
        <v>323</v>
      </c>
      <c r="I2" s="48" t="s">
        <v>537</v>
      </c>
      <c r="J2" s="24" t="s">
        <v>538</v>
      </c>
      <c r="K2" s="24" t="s">
        <v>534</v>
      </c>
      <c r="L2" s="24" t="s">
        <v>539</v>
      </c>
      <c r="M2" s="24" t="s">
        <v>540</v>
      </c>
      <c r="R2" s="24" t="s">
        <v>536</v>
      </c>
    </row>
    <row r="3" spans="1:20" ht="14.4" hidden="1" x14ac:dyDescent="0.3">
      <c r="A3" s="24" t="s">
        <v>183</v>
      </c>
      <c r="B3" s="24" t="s">
        <v>328</v>
      </c>
      <c r="C3" s="24" t="s">
        <v>361</v>
      </c>
      <c r="D3" s="24" t="s">
        <v>343</v>
      </c>
      <c r="E3" s="24" t="s">
        <v>511</v>
      </c>
      <c r="F3" s="24" t="s">
        <v>412</v>
      </c>
      <c r="G3" s="25">
        <v>5</v>
      </c>
      <c r="H3" s="24" t="s">
        <v>329</v>
      </c>
      <c r="I3" s="24" t="s">
        <v>436</v>
      </c>
      <c r="J3" s="24" t="s">
        <v>368</v>
      </c>
      <c r="K3" s="8" t="s">
        <v>365</v>
      </c>
      <c r="L3" s="8">
        <v>50</v>
      </c>
      <c r="M3" s="29">
        <v>0</v>
      </c>
      <c r="N3" s="24">
        <v>0</v>
      </c>
      <c r="O3" s="24">
        <v>0</v>
      </c>
      <c r="P3" s="24">
        <v>0</v>
      </c>
      <c r="R3" s="24" t="s">
        <v>60</v>
      </c>
      <c r="S3" s="24" t="s">
        <v>462</v>
      </c>
    </row>
    <row r="4" spans="1:20" ht="14.4" hidden="1" x14ac:dyDescent="0.3">
      <c r="A4" s="24" t="s">
        <v>183</v>
      </c>
      <c r="B4" s="24" t="s">
        <v>328</v>
      </c>
      <c r="C4" s="24" t="s">
        <v>361</v>
      </c>
      <c r="D4" s="24" t="s">
        <v>343</v>
      </c>
      <c r="E4" s="24" t="s">
        <v>511</v>
      </c>
      <c r="F4" s="24" t="s">
        <v>412</v>
      </c>
      <c r="G4" s="25">
        <v>6</v>
      </c>
      <c r="H4" s="24" t="s">
        <v>329</v>
      </c>
      <c r="I4" s="24" t="s">
        <v>366</v>
      </c>
      <c r="J4" s="24" t="s">
        <v>437</v>
      </c>
      <c r="K4" s="8" t="s">
        <v>367</v>
      </c>
      <c r="L4" s="8">
        <v>20</v>
      </c>
      <c r="M4" s="29">
        <v>0</v>
      </c>
      <c r="N4" s="24">
        <v>0</v>
      </c>
      <c r="O4" s="24">
        <v>0</v>
      </c>
      <c r="P4" s="24">
        <v>0</v>
      </c>
      <c r="R4" s="24" t="s">
        <v>60</v>
      </c>
      <c r="S4" s="24" t="s">
        <v>364</v>
      </c>
    </row>
    <row r="5" spans="1:20" ht="14.4" hidden="1" x14ac:dyDescent="0.3">
      <c r="A5" s="24" t="s">
        <v>183</v>
      </c>
      <c r="B5" s="24" t="s">
        <v>328</v>
      </c>
      <c r="C5" s="24" t="s">
        <v>361</v>
      </c>
      <c r="D5" s="24" t="s">
        <v>343</v>
      </c>
      <c r="E5" s="24" t="s">
        <v>511</v>
      </c>
      <c r="F5" s="24" t="s">
        <v>412</v>
      </c>
      <c r="G5" s="25">
        <v>12</v>
      </c>
      <c r="H5" s="24" t="s">
        <v>329</v>
      </c>
      <c r="I5" s="24" t="s">
        <v>374</v>
      </c>
      <c r="J5" s="24" t="s">
        <v>388</v>
      </c>
      <c r="K5" s="8" t="s">
        <v>375</v>
      </c>
      <c r="L5" s="42" t="s">
        <v>177</v>
      </c>
      <c r="M5" s="29">
        <v>0</v>
      </c>
      <c r="N5" s="24">
        <v>0</v>
      </c>
      <c r="O5" s="24">
        <v>0</v>
      </c>
      <c r="P5" s="24">
        <v>0</v>
      </c>
      <c r="R5" s="24" t="s">
        <v>60</v>
      </c>
      <c r="S5" s="24" t="s">
        <v>204</v>
      </c>
    </row>
    <row r="6" spans="1:20" hidden="1" x14ac:dyDescent="0.3">
      <c r="A6" s="24" t="s">
        <v>340</v>
      </c>
      <c r="B6" s="24" t="s">
        <v>328</v>
      </c>
      <c r="C6" s="24" t="s">
        <v>312</v>
      </c>
      <c r="D6" s="24" t="s">
        <v>343</v>
      </c>
      <c r="E6" s="24" t="s">
        <v>511</v>
      </c>
      <c r="F6" s="24" t="s">
        <v>412</v>
      </c>
      <c r="G6" s="25">
        <v>59</v>
      </c>
      <c r="H6" s="24" t="s">
        <v>314</v>
      </c>
      <c r="I6" s="26" t="s">
        <v>434</v>
      </c>
      <c r="J6" s="24" t="s">
        <v>388</v>
      </c>
      <c r="K6" s="26" t="s">
        <v>433</v>
      </c>
      <c r="L6" s="26"/>
      <c r="M6" s="26"/>
      <c r="R6" s="26" t="s">
        <v>12</v>
      </c>
      <c r="S6" s="26"/>
    </row>
    <row r="7" spans="1:20" hidden="1" x14ac:dyDescent="0.3">
      <c r="A7" s="24" t="s">
        <v>428</v>
      </c>
      <c r="B7" s="24" t="s">
        <v>328</v>
      </c>
      <c r="C7" s="24" t="s">
        <v>312</v>
      </c>
      <c r="D7" s="24" t="s">
        <v>343</v>
      </c>
      <c r="E7" s="24" t="s">
        <v>511</v>
      </c>
      <c r="F7" s="24" t="s">
        <v>412</v>
      </c>
      <c r="G7" s="25">
        <v>60</v>
      </c>
      <c r="H7" s="24" t="s">
        <v>314</v>
      </c>
      <c r="I7" s="26" t="s">
        <v>435</v>
      </c>
      <c r="J7" s="24" t="s">
        <v>388</v>
      </c>
      <c r="K7" s="26" t="s">
        <v>433</v>
      </c>
      <c r="L7" s="26"/>
      <c r="M7" s="26"/>
      <c r="R7" s="26" t="s">
        <v>12</v>
      </c>
      <c r="S7" s="26"/>
    </row>
    <row r="8" spans="1:20" ht="13.8" hidden="1" customHeight="1" x14ac:dyDescent="0.3">
      <c r="A8" s="24" t="s">
        <v>183</v>
      </c>
      <c r="B8" s="24" t="s">
        <v>328</v>
      </c>
      <c r="C8" s="24" t="s">
        <v>312</v>
      </c>
      <c r="D8" s="24" t="s">
        <v>343</v>
      </c>
      <c r="E8" s="24" t="s">
        <v>511</v>
      </c>
      <c r="F8" s="24" t="s">
        <v>412</v>
      </c>
      <c r="G8" s="25">
        <v>58</v>
      </c>
      <c r="H8" s="24" t="s">
        <v>314</v>
      </c>
      <c r="I8" s="26" t="s">
        <v>432</v>
      </c>
      <c r="J8" s="24" t="s">
        <v>388</v>
      </c>
      <c r="K8" s="26" t="s">
        <v>433</v>
      </c>
      <c r="L8" s="26"/>
      <c r="M8" s="26"/>
      <c r="R8" s="26" t="s">
        <v>12</v>
      </c>
      <c r="S8" s="26"/>
    </row>
    <row r="9" spans="1:20" hidden="1" x14ac:dyDescent="0.3">
      <c r="A9" s="24" t="s">
        <v>521</v>
      </c>
      <c r="B9" s="24" t="s">
        <v>328</v>
      </c>
      <c r="C9" s="24" t="s">
        <v>312</v>
      </c>
      <c r="D9" s="24" t="s">
        <v>344</v>
      </c>
      <c r="E9" s="24" t="s">
        <v>511</v>
      </c>
      <c r="F9" s="24" t="s">
        <v>223</v>
      </c>
      <c r="G9" s="25"/>
      <c r="H9" s="24" t="s">
        <v>314</v>
      </c>
      <c r="I9" s="26" t="s">
        <v>520</v>
      </c>
      <c r="J9" s="24">
        <v>2018</v>
      </c>
      <c r="K9" s="26" t="s">
        <v>433</v>
      </c>
      <c r="L9" s="26"/>
      <c r="M9" s="26"/>
      <c r="R9" s="26" t="s">
        <v>12</v>
      </c>
      <c r="S9" s="26"/>
    </row>
    <row r="10" spans="1:20" ht="13.8" hidden="1" customHeight="1" x14ac:dyDescent="0.3">
      <c r="A10" s="24" t="s">
        <v>183</v>
      </c>
      <c r="B10" s="24" t="s">
        <v>328</v>
      </c>
      <c r="C10" s="24" t="s">
        <v>312</v>
      </c>
      <c r="D10" s="24" t="s">
        <v>343</v>
      </c>
      <c r="E10" s="24" t="s">
        <v>511</v>
      </c>
      <c r="F10" s="24" t="s">
        <v>412</v>
      </c>
      <c r="G10" s="25">
        <v>32</v>
      </c>
      <c r="H10" s="24" t="s">
        <v>314</v>
      </c>
      <c r="I10" s="26" t="s">
        <v>316</v>
      </c>
      <c r="J10" s="24" t="s">
        <v>368</v>
      </c>
      <c r="K10" s="26" t="s">
        <v>10</v>
      </c>
      <c r="L10" s="26">
        <v>10</v>
      </c>
      <c r="M10" s="26">
        <v>0</v>
      </c>
      <c r="N10" s="24">
        <v>0</v>
      </c>
      <c r="Q10" s="24" t="s">
        <v>183</v>
      </c>
      <c r="R10" s="26" t="s">
        <v>12</v>
      </c>
      <c r="S10" s="26"/>
    </row>
    <row r="11" spans="1:20" hidden="1" x14ac:dyDescent="0.3">
      <c r="A11" s="24" t="s">
        <v>183</v>
      </c>
      <c r="B11" s="24" t="s">
        <v>328</v>
      </c>
      <c r="C11" s="24" t="s">
        <v>312</v>
      </c>
      <c r="D11" s="24" t="s">
        <v>344</v>
      </c>
      <c r="E11" s="24" t="s">
        <v>511</v>
      </c>
      <c r="F11" s="24" t="s">
        <v>412</v>
      </c>
      <c r="G11" s="25">
        <v>61</v>
      </c>
      <c r="H11" s="24" t="s">
        <v>314</v>
      </c>
      <c r="I11" s="48" t="s">
        <v>490</v>
      </c>
      <c r="J11" s="24" t="s">
        <v>388</v>
      </c>
      <c r="K11" s="24" t="s">
        <v>25</v>
      </c>
      <c r="R11" s="24" t="s">
        <v>12</v>
      </c>
    </row>
    <row r="12" spans="1:20" hidden="1" x14ac:dyDescent="0.3">
      <c r="A12" s="24" t="s">
        <v>340</v>
      </c>
      <c r="B12" s="24" t="s">
        <v>328</v>
      </c>
      <c r="C12" s="24" t="s">
        <v>312</v>
      </c>
      <c r="D12" s="24" t="s">
        <v>344</v>
      </c>
      <c r="E12" s="24" t="s">
        <v>511</v>
      </c>
      <c r="F12" s="24" t="s">
        <v>412</v>
      </c>
      <c r="G12" s="25">
        <v>62</v>
      </c>
      <c r="H12" s="24" t="s">
        <v>314</v>
      </c>
      <c r="I12" s="48" t="s">
        <v>490</v>
      </c>
      <c r="J12" s="24" t="s">
        <v>388</v>
      </c>
      <c r="K12" s="24" t="s">
        <v>25</v>
      </c>
      <c r="R12" s="24" t="s">
        <v>12</v>
      </c>
    </row>
    <row r="13" spans="1:20" hidden="1" x14ac:dyDescent="0.3">
      <c r="A13" s="24" t="s">
        <v>428</v>
      </c>
      <c r="B13" s="24" t="s">
        <v>328</v>
      </c>
      <c r="C13" s="24" t="s">
        <v>312</v>
      </c>
      <c r="D13" s="24" t="s">
        <v>344</v>
      </c>
      <c r="E13" s="24" t="s">
        <v>511</v>
      </c>
      <c r="F13" s="24" t="s">
        <v>412</v>
      </c>
      <c r="G13" s="25">
        <v>63</v>
      </c>
      <c r="H13" s="24" t="s">
        <v>314</v>
      </c>
      <c r="I13" s="48" t="s">
        <v>490</v>
      </c>
      <c r="J13" s="24" t="s">
        <v>388</v>
      </c>
      <c r="K13" s="24" t="s">
        <v>25</v>
      </c>
      <c r="R13" s="24" t="s">
        <v>12</v>
      </c>
    </row>
    <row r="14" spans="1:20" hidden="1" x14ac:dyDescent="0.3">
      <c r="A14" s="24" t="s">
        <v>183</v>
      </c>
      <c r="B14" s="24" t="s">
        <v>328</v>
      </c>
      <c r="C14" s="24" t="s">
        <v>312</v>
      </c>
      <c r="D14" s="24" t="s">
        <v>343</v>
      </c>
      <c r="E14" s="24" t="s">
        <v>511</v>
      </c>
      <c r="F14" s="24" t="s">
        <v>412</v>
      </c>
      <c r="G14" s="25">
        <v>39</v>
      </c>
      <c r="H14" s="24" t="s">
        <v>314</v>
      </c>
      <c r="I14" s="26" t="s">
        <v>403</v>
      </c>
      <c r="J14" s="24" t="s">
        <v>368</v>
      </c>
      <c r="K14" s="26" t="s">
        <v>48</v>
      </c>
      <c r="L14" s="26"/>
      <c r="M14" s="26">
        <v>0</v>
      </c>
      <c r="Q14" s="24" t="s">
        <v>183</v>
      </c>
      <c r="R14" s="26" t="s">
        <v>12</v>
      </c>
      <c r="S14" s="26"/>
    </row>
    <row r="15" spans="1:20" hidden="1" x14ac:dyDescent="0.3">
      <c r="A15" s="24" t="s">
        <v>183</v>
      </c>
      <c r="B15" s="24" t="s">
        <v>328</v>
      </c>
      <c r="C15" s="24" t="s">
        <v>312</v>
      </c>
      <c r="D15" s="24" t="s">
        <v>343</v>
      </c>
      <c r="E15" s="24" t="s">
        <v>511</v>
      </c>
      <c r="F15" s="24" t="s">
        <v>412</v>
      </c>
      <c r="G15" s="25">
        <v>36</v>
      </c>
      <c r="H15" s="24" t="s">
        <v>314</v>
      </c>
      <c r="I15" s="26" t="s">
        <v>400</v>
      </c>
      <c r="J15" s="24" t="s">
        <v>368</v>
      </c>
      <c r="K15" s="26" t="s">
        <v>48</v>
      </c>
      <c r="L15" s="26"/>
      <c r="M15" s="26">
        <v>0</v>
      </c>
      <c r="Q15" s="24" t="s">
        <v>183</v>
      </c>
      <c r="R15" s="26" t="s">
        <v>12</v>
      </c>
      <c r="S15" s="26"/>
    </row>
    <row r="16" spans="1:20" hidden="1" x14ac:dyDescent="0.3">
      <c r="A16" s="24" t="s">
        <v>183</v>
      </c>
      <c r="B16" s="24" t="s">
        <v>328</v>
      </c>
      <c r="C16" s="24" t="s">
        <v>312</v>
      </c>
      <c r="D16" s="24" t="s">
        <v>343</v>
      </c>
      <c r="E16" s="24" t="s">
        <v>511</v>
      </c>
      <c r="F16" s="24" t="s">
        <v>412</v>
      </c>
      <c r="G16" s="25">
        <v>37</v>
      </c>
      <c r="H16" s="24" t="s">
        <v>314</v>
      </c>
      <c r="I16" s="26" t="s">
        <v>401</v>
      </c>
      <c r="J16" s="24" t="s">
        <v>368</v>
      </c>
      <c r="K16" s="26" t="s">
        <v>48</v>
      </c>
      <c r="L16" s="26"/>
      <c r="M16" s="26">
        <v>0</v>
      </c>
      <c r="Q16" s="24" t="s">
        <v>183</v>
      </c>
      <c r="R16" s="26" t="s">
        <v>12</v>
      </c>
      <c r="S16" s="26"/>
      <c r="T16" s="32">
        <v>1</v>
      </c>
    </row>
    <row r="17" spans="1:21" hidden="1" x14ac:dyDescent="0.3">
      <c r="A17" s="24" t="s">
        <v>183</v>
      </c>
      <c r="B17" s="24" t="s">
        <v>328</v>
      </c>
      <c r="C17" s="24" t="s">
        <v>312</v>
      </c>
      <c r="D17" s="24" t="s">
        <v>343</v>
      </c>
      <c r="E17" s="24" t="s">
        <v>511</v>
      </c>
      <c r="F17" s="24" t="s">
        <v>412</v>
      </c>
      <c r="G17" s="25">
        <v>35</v>
      </c>
      <c r="H17" s="24" t="s">
        <v>314</v>
      </c>
      <c r="I17" s="26" t="s">
        <v>399</v>
      </c>
      <c r="J17" s="24" t="s">
        <v>368</v>
      </c>
      <c r="K17" s="26" t="s">
        <v>48</v>
      </c>
      <c r="L17" s="26"/>
      <c r="M17" s="26">
        <v>0</v>
      </c>
      <c r="Q17" s="24" t="s">
        <v>183</v>
      </c>
      <c r="R17" s="26" t="s">
        <v>12</v>
      </c>
      <c r="S17" s="26"/>
    </row>
    <row r="18" spans="1:21" hidden="1" x14ac:dyDescent="0.3">
      <c r="A18" s="24" t="s">
        <v>183</v>
      </c>
      <c r="B18" s="24" t="s">
        <v>328</v>
      </c>
      <c r="C18" s="24" t="s">
        <v>312</v>
      </c>
      <c r="D18" s="24" t="s">
        <v>343</v>
      </c>
      <c r="E18" s="24" t="s">
        <v>511</v>
      </c>
      <c r="F18" s="24" t="s">
        <v>412</v>
      </c>
      <c r="G18" s="25">
        <v>38</v>
      </c>
      <c r="H18" s="24" t="s">
        <v>314</v>
      </c>
      <c r="I18" s="26" t="s">
        <v>402</v>
      </c>
      <c r="J18" s="24" t="s">
        <v>368</v>
      </c>
      <c r="K18" s="26" t="s">
        <v>48</v>
      </c>
      <c r="L18" s="26"/>
      <c r="M18" s="26">
        <v>0</v>
      </c>
      <c r="Q18" s="24" t="s">
        <v>183</v>
      </c>
      <c r="R18" s="26" t="s">
        <v>12</v>
      </c>
      <c r="S18" s="26"/>
      <c r="T18" s="32">
        <v>0.2</v>
      </c>
    </row>
    <row r="19" spans="1:21" ht="14.4" x14ac:dyDescent="0.3">
      <c r="A19" s="24" t="s">
        <v>183</v>
      </c>
      <c r="B19" s="24" t="s">
        <v>328</v>
      </c>
      <c r="C19" s="24" t="s">
        <v>361</v>
      </c>
      <c r="D19" s="24" t="s">
        <v>343</v>
      </c>
      <c r="E19" s="24" t="s">
        <v>494</v>
      </c>
      <c r="F19" s="24" t="s">
        <v>223</v>
      </c>
      <c r="G19" s="25">
        <v>9</v>
      </c>
      <c r="H19" s="24" t="s">
        <v>329</v>
      </c>
      <c r="I19" s="24" t="s">
        <v>101</v>
      </c>
      <c r="J19" s="24" t="s">
        <v>388</v>
      </c>
      <c r="K19" s="8" t="s">
        <v>370</v>
      </c>
      <c r="L19" s="42" t="s">
        <v>177</v>
      </c>
      <c r="M19" s="29" t="s">
        <v>177</v>
      </c>
      <c r="R19" s="24" t="s">
        <v>60</v>
      </c>
      <c r="S19" s="24" t="s">
        <v>331</v>
      </c>
    </row>
    <row r="20" spans="1:21" ht="14.4" x14ac:dyDescent="0.3">
      <c r="A20" s="24" t="s">
        <v>183</v>
      </c>
      <c r="B20" s="24" t="s">
        <v>328</v>
      </c>
      <c r="C20" s="24" t="s">
        <v>361</v>
      </c>
      <c r="D20" s="24" t="s">
        <v>343</v>
      </c>
      <c r="E20" s="24" t="s">
        <v>494</v>
      </c>
      <c r="F20" s="24" t="s">
        <v>223</v>
      </c>
      <c r="G20" s="25">
        <v>7</v>
      </c>
      <c r="H20" s="24" t="s">
        <v>329</v>
      </c>
      <c r="I20" s="24" t="s">
        <v>438</v>
      </c>
      <c r="J20" s="24" t="s">
        <v>368</v>
      </c>
      <c r="K20" s="8" t="s">
        <v>369</v>
      </c>
      <c r="L20" s="8">
        <v>50</v>
      </c>
      <c r="R20" s="24" t="s">
        <v>60</v>
      </c>
      <c r="S20" s="24" t="s">
        <v>330</v>
      </c>
    </row>
    <row r="21" spans="1:21" ht="13.8" customHeight="1" x14ac:dyDescent="0.3">
      <c r="A21" s="24" t="s">
        <v>183</v>
      </c>
      <c r="B21" s="24" t="s">
        <v>328</v>
      </c>
      <c r="C21" s="24" t="s">
        <v>361</v>
      </c>
      <c r="D21" s="24" t="s">
        <v>463</v>
      </c>
      <c r="E21" s="24" t="s">
        <v>494</v>
      </c>
      <c r="F21" s="24" t="s">
        <v>223</v>
      </c>
      <c r="G21" s="25">
        <v>20</v>
      </c>
      <c r="H21" s="24" t="s">
        <v>329</v>
      </c>
      <c r="I21" s="48" t="s">
        <v>125</v>
      </c>
      <c r="J21" s="24" t="s">
        <v>388</v>
      </c>
      <c r="K21" s="8" t="s">
        <v>375</v>
      </c>
      <c r="L21" s="42" t="s">
        <v>177</v>
      </c>
      <c r="M21" s="24">
        <v>60</v>
      </c>
      <c r="N21" s="24">
        <v>60</v>
      </c>
      <c r="R21" s="24" t="s">
        <v>12</v>
      </c>
      <c r="S21" s="24" t="s">
        <v>336</v>
      </c>
    </row>
    <row r="22" spans="1:21" x14ac:dyDescent="0.3">
      <c r="A22" s="24" t="s">
        <v>183</v>
      </c>
      <c r="B22" s="24" t="s">
        <v>328</v>
      </c>
      <c r="C22" s="24" t="s">
        <v>312</v>
      </c>
      <c r="D22" s="24" t="s">
        <v>463</v>
      </c>
      <c r="E22" s="24" t="s">
        <v>494</v>
      </c>
      <c r="F22" s="24" t="s">
        <v>223</v>
      </c>
      <c r="G22" s="25">
        <v>34</v>
      </c>
      <c r="H22" s="24" t="s">
        <v>314</v>
      </c>
      <c r="I22" s="26" t="s">
        <v>398</v>
      </c>
      <c r="J22" s="24" t="s">
        <v>368</v>
      </c>
      <c r="K22" s="26" t="s">
        <v>409</v>
      </c>
      <c r="L22" s="26"/>
      <c r="M22" s="26">
        <f>45*252/60</f>
        <v>189</v>
      </c>
      <c r="Q22" s="24" t="s">
        <v>183</v>
      </c>
      <c r="R22" s="26" t="s">
        <v>12</v>
      </c>
      <c r="S22" s="26"/>
    </row>
    <row r="23" spans="1:21" x14ac:dyDescent="0.3">
      <c r="A23" s="24" t="s">
        <v>340</v>
      </c>
      <c r="B23" s="24" t="s">
        <v>328</v>
      </c>
      <c r="C23" s="24" t="s">
        <v>341</v>
      </c>
      <c r="D23" s="24" t="s">
        <v>454</v>
      </c>
      <c r="E23" s="24" t="s">
        <v>494</v>
      </c>
      <c r="F23" s="24" t="s">
        <v>412</v>
      </c>
      <c r="G23" s="25">
        <v>2</v>
      </c>
      <c r="H23" s="24" t="s">
        <v>342</v>
      </c>
      <c r="I23" s="48" t="s">
        <v>178</v>
      </c>
      <c r="J23" s="24" t="s">
        <v>368</v>
      </c>
      <c r="K23" s="24" t="s">
        <v>176</v>
      </c>
      <c r="L23" s="24">
        <v>40</v>
      </c>
      <c r="M23" s="24">
        <v>0</v>
      </c>
      <c r="Q23" s="24" t="s">
        <v>183</v>
      </c>
      <c r="R23" s="24" t="s">
        <v>12</v>
      </c>
    </row>
    <row r="24" spans="1:21" x14ac:dyDescent="0.3">
      <c r="A24" s="24" t="s">
        <v>183</v>
      </c>
      <c r="B24" s="24" t="s">
        <v>321</v>
      </c>
      <c r="C24" s="24" t="s">
        <v>322</v>
      </c>
      <c r="D24" s="24" t="s">
        <v>463</v>
      </c>
      <c r="E24" s="24" t="s">
        <v>494</v>
      </c>
      <c r="F24" s="24" t="s">
        <v>223</v>
      </c>
      <c r="G24" s="25"/>
      <c r="H24" s="24" t="s">
        <v>323</v>
      </c>
      <c r="I24" s="48" t="s">
        <v>531</v>
      </c>
      <c r="J24" s="24" t="s">
        <v>509</v>
      </c>
      <c r="K24" s="24" t="s">
        <v>529</v>
      </c>
      <c r="L24" s="24">
        <v>14</v>
      </c>
      <c r="M24" s="24">
        <v>0</v>
      </c>
      <c r="N24" s="24">
        <v>0</v>
      </c>
      <c r="O24" s="24">
        <v>0</v>
      </c>
      <c r="P24" s="24">
        <v>0</v>
      </c>
      <c r="Q24" s="24" t="s">
        <v>183</v>
      </c>
      <c r="R24" s="24" t="s">
        <v>193</v>
      </c>
    </row>
    <row r="25" spans="1:21" hidden="1" x14ac:dyDescent="0.3">
      <c r="A25" s="34" t="s">
        <v>414</v>
      </c>
      <c r="B25" s="34" t="s">
        <v>491</v>
      </c>
      <c r="C25" s="34" t="s">
        <v>525</v>
      </c>
      <c r="D25" s="34" t="s">
        <v>344</v>
      </c>
      <c r="E25" s="24" t="s">
        <v>562</v>
      </c>
      <c r="F25" s="34" t="s">
        <v>223</v>
      </c>
      <c r="G25" s="35"/>
      <c r="H25" s="34" t="s">
        <v>457</v>
      </c>
      <c r="I25" s="34" t="s">
        <v>458</v>
      </c>
      <c r="J25" s="34" t="s">
        <v>437</v>
      </c>
      <c r="K25" s="34" t="s">
        <v>459</v>
      </c>
      <c r="L25" s="34">
        <v>345</v>
      </c>
      <c r="M25" s="34">
        <v>960</v>
      </c>
      <c r="N25" s="34">
        <v>960</v>
      </c>
      <c r="O25" s="34">
        <v>0</v>
      </c>
      <c r="P25" s="34"/>
      <c r="Q25" s="34">
        <v>200</v>
      </c>
      <c r="R25" s="34" t="s">
        <v>193</v>
      </c>
      <c r="S25" s="34" t="s">
        <v>460</v>
      </c>
    </row>
    <row r="26" spans="1:21" hidden="1" x14ac:dyDescent="0.3">
      <c r="A26" s="24" t="s">
        <v>183</v>
      </c>
      <c r="B26" s="24" t="s">
        <v>328</v>
      </c>
      <c r="C26" s="24" t="s">
        <v>312</v>
      </c>
      <c r="D26" s="24" t="s">
        <v>344</v>
      </c>
      <c r="E26" s="24" t="s">
        <v>562</v>
      </c>
      <c r="F26" s="24" t="s">
        <v>223</v>
      </c>
      <c r="G26" s="25">
        <v>42</v>
      </c>
      <c r="H26" s="24" t="s">
        <v>314</v>
      </c>
      <c r="I26" s="26" t="s">
        <v>407</v>
      </c>
      <c r="J26" s="24" t="s">
        <v>368</v>
      </c>
      <c r="K26" s="26" t="s">
        <v>61</v>
      </c>
      <c r="L26" s="26">
        <v>16</v>
      </c>
      <c r="M26" s="26">
        <f>45*252/60</f>
        <v>189</v>
      </c>
      <c r="N26" s="24">
        <v>252</v>
      </c>
      <c r="Q26" s="24" t="s">
        <v>183</v>
      </c>
      <c r="R26" s="26" t="s">
        <v>12</v>
      </c>
      <c r="S26" s="26"/>
    </row>
    <row r="27" spans="1:21" hidden="1" x14ac:dyDescent="0.3">
      <c r="A27" s="24" t="s">
        <v>183</v>
      </c>
      <c r="B27" s="24" t="s">
        <v>328</v>
      </c>
      <c r="C27" s="24" t="s">
        <v>312</v>
      </c>
      <c r="D27" s="24" t="s">
        <v>344</v>
      </c>
      <c r="E27" s="24" t="s">
        <v>562</v>
      </c>
      <c r="F27" s="24" t="s">
        <v>223</v>
      </c>
      <c r="G27" s="25">
        <v>43</v>
      </c>
      <c r="H27" s="24" t="s">
        <v>314</v>
      </c>
      <c r="I27" s="26" t="s">
        <v>408</v>
      </c>
      <c r="J27" s="24" t="s">
        <v>368</v>
      </c>
      <c r="K27" s="26" t="s">
        <v>61</v>
      </c>
      <c r="L27" s="26">
        <v>16</v>
      </c>
      <c r="M27" s="26">
        <f>15*252/60</f>
        <v>63</v>
      </c>
      <c r="N27" s="26">
        <f>15*252/60</f>
        <v>63</v>
      </c>
      <c r="Q27" s="24" t="s">
        <v>183</v>
      </c>
      <c r="R27" s="26" t="s">
        <v>12</v>
      </c>
      <c r="S27" s="26"/>
    </row>
    <row r="28" spans="1:21" hidden="1" x14ac:dyDescent="0.3">
      <c r="A28" s="24" t="s">
        <v>183</v>
      </c>
      <c r="B28" s="24" t="s">
        <v>328</v>
      </c>
      <c r="C28" s="24" t="s">
        <v>312</v>
      </c>
      <c r="D28" s="24" t="s">
        <v>344</v>
      </c>
      <c r="E28" s="24" t="s">
        <v>562</v>
      </c>
      <c r="F28" s="24" t="s">
        <v>223</v>
      </c>
      <c r="G28" s="25">
        <v>29</v>
      </c>
      <c r="H28" s="24" t="s">
        <v>314</v>
      </c>
      <c r="I28" s="26" t="s">
        <v>397</v>
      </c>
      <c r="J28" s="24" t="s">
        <v>368</v>
      </c>
      <c r="K28" s="26" t="s">
        <v>10</v>
      </c>
      <c r="L28" s="26">
        <v>20</v>
      </c>
      <c r="M28" s="27">
        <v>30</v>
      </c>
      <c r="N28" s="27">
        <v>30</v>
      </c>
      <c r="Q28" s="24" t="s">
        <v>183</v>
      </c>
      <c r="R28" s="26" t="s">
        <v>12</v>
      </c>
      <c r="S28" s="26"/>
      <c r="T28" s="32">
        <v>0</v>
      </c>
    </row>
    <row r="29" spans="1:21" hidden="1" x14ac:dyDescent="0.3">
      <c r="A29" s="24" t="s">
        <v>183</v>
      </c>
      <c r="B29" s="24" t="s">
        <v>328</v>
      </c>
      <c r="C29" s="24" t="s">
        <v>312</v>
      </c>
      <c r="D29" s="24" t="s">
        <v>344</v>
      </c>
      <c r="E29" s="24" t="s">
        <v>562</v>
      </c>
      <c r="F29" s="24" t="s">
        <v>223</v>
      </c>
      <c r="G29" s="25">
        <v>24</v>
      </c>
      <c r="H29" s="24" t="s">
        <v>314</v>
      </c>
      <c r="I29" s="26" t="s">
        <v>486</v>
      </c>
      <c r="J29" s="24" t="s">
        <v>368</v>
      </c>
      <c r="K29" s="26" t="s">
        <v>61</v>
      </c>
      <c r="L29" s="26">
        <v>16</v>
      </c>
      <c r="M29" s="26">
        <f>15*252/60</f>
        <v>63</v>
      </c>
      <c r="N29" s="26">
        <f>15*252/60</f>
        <v>63</v>
      </c>
      <c r="Q29" s="24" t="s">
        <v>183</v>
      </c>
      <c r="R29" s="26" t="s">
        <v>12</v>
      </c>
      <c r="S29" s="26"/>
      <c r="U29" s="24">
        <f>U28/176</f>
        <v>0</v>
      </c>
    </row>
    <row r="30" spans="1:21" ht="14.4" hidden="1" x14ac:dyDescent="0.3">
      <c r="A30" s="24" t="s">
        <v>183</v>
      </c>
      <c r="B30" s="24" t="s">
        <v>328</v>
      </c>
      <c r="C30" s="24" t="s">
        <v>361</v>
      </c>
      <c r="D30" s="24" t="s">
        <v>344</v>
      </c>
      <c r="E30" s="24" t="s">
        <v>562</v>
      </c>
      <c r="F30" s="24" t="s">
        <v>223</v>
      </c>
      <c r="G30" s="25">
        <v>2</v>
      </c>
      <c r="H30" s="24" t="s">
        <v>329</v>
      </c>
      <c r="I30" s="48" t="s">
        <v>118</v>
      </c>
      <c r="J30" s="30" t="s">
        <v>368</v>
      </c>
      <c r="K30" s="8" t="s">
        <v>372</v>
      </c>
      <c r="L30" s="8">
        <v>50</v>
      </c>
      <c r="M30" s="24">
        <v>84</v>
      </c>
      <c r="N30" s="24">
        <v>100</v>
      </c>
      <c r="R30" s="24" t="s">
        <v>206</v>
      </c>
      <c r="S30" s="24" t="s">
        <v>461</v>
      </c>
      <c r="T30" s="33">
        <v>0.3</v>
      </c>
    </row>
    <row r="31" spans="1:21" hidden="1" x14ac:dyDescent="0.3">
      <c r="A31" s="24" t="s">
        <v>340</v>
      </c>
      <c r="B31" s="24" t="s">
        <v>328</v>
      </c>
      <c r="C31" s="24" t="s">
        <v>312</v>
      </c>
      <c r="D31" s="24" t="s">
        <v>344</v>
      </c>
      <c r="E31" s="24" t="s">
        <v>562</v>
      </c>
      <c r="F31" s="24" t="s">
        <v>223</v>
      </c>
      <c r="G31" s="25">
        <v>17</v>
      </c>
      <c r="H31" s="24" t="s">
        <v>314</v>
      </c>
      <c r="I31" s="26" t="s">
        <v>392</v>
      </c>
      <c r="J31" s="24" t="s">
        <v>481</v>
      </c>
      <c r="K31" s="26" t="s">
        <v>45</v>
      </c>
      <c r="L31" s="26">
        <v>60</v>
      </c>
      <c r="M31" s="26">
        <v>720</v>
      </c>
      <c r="N31" s="24">
        <v>720</v>
      </c>
      <c r="Q31" s="24" t="s">
        <v>183</v>
      </c>
      <c r="R31" s="26" t="s">
        <v>193</v>
      </c>
      <c r="S31" s="26" t="s">
        <v>35</v>
      </c>
    </row>
    <row r="32" spans="1:21" hidden="1" x14ac:dyDescent="0.3">
      <c r="A32" s="24" t="s">
        <v>183</v>
      </c>
      <c r="B32" s="24" t="s">
        <v>321</v>
      </c>
      <c r="C32" s="24" t="s">
        <v>322</v>
      </c>
      <c r="D32" s="24" t="s">
        <v>344</v>
      </c>
      <c r="E32" s="24" t="s">
        <v>562</v>
      </c>
      <c r="F32" s="24" t="s">
        <v>223</v>
      </c>
      <c r="G32" s="25">
        <v>8</v>
      </c>
      <c r="H32" s="24" t="s">
        <v>323</v>
      </c>
      <c r="I32" s="48" t="s">
        <v>163</v>
      </c>
      <c r="J32" s="30">
        <v>42887</v>
      </c>
      <c r="K32" s="24" t="s">
        <v>501</v>
      </c>
      <c r="L32" s="26">
        <v>40</v>
      </c>
      <c r="M32" s="26">
        <f>5*52*2</f>
        <v>520</v>
      </c>
      <c r="N32" s="26">
        <f>5*52*2</f>
        <v>520</v>
      </c>
      <c r="Q32" s="24" t="s">
        <v>183</v>
      </c>
      <c r="R32" s="47" t="s">
        <v>193</v>
      </c>
    </row>
    <row r="33" spans="1:20" hidden="1" x14ac:dyDescent="0.3">
      <c r="A33" s="24" t="s">
        <v>183</v>
      </c>
      <c r="B33" s="24" t="s">
        <v>328</v>
      </c>
      <c r="C33" s="24" t="s">
        <v>312</v>
      </c>
      <c r="D33" s="24" t="s">
        <v>344</v>
      </c>
      <c r="E33" s="24" t="s">
        <v>562</v>
      </c>
      <c r="F33" s="24" t="s">
        <v>223</v>
      </c>
      <c r="G33" s="25">
        <v>13</v>
      </c>
      <c r="H33" s="24" t="s">
        <v>314</v>
      </c>
      <c r="I33" s="26" t="s">
        <v>44</v>
      </c>
      <c r="J33" s="24" t="s">
        <v>481</v>
      </c>
      <c r="K33" s="26" t="s">
        <v>45</v>
      </c>
      <c r="L33" s="26">
        <v>16</v>
      </c>
      <c r="M33" s="26">
        <f>(8*12)</f>
        <v>96</v>
      </c>
      <c r="N33" s="24">
        <v>120</v>
      </c>
      <c r="Q33" s="24" t="s">
        <v>183</v>
      </c>
      <c r="R33" s="26" t="s">
        <v>193</v>
      </c>
      <c r="S33" s="26" t="s">
        <v>46</v>
      </c>
      <c r="T33" s="32">
        <v>0.5</v>
      </c>
    </row>
    <row r="34" spans="1:20" hidden="1" x14ac:dyDescent="0.3">
      <c r="A34" s="24" t="s">
        <v>183</v>
      </c>
      <c r="B34" s="24" t="s">
        <v>328</v>
      </c>
      <c r="C34" s="24" t="s">
        <v>312</v>
      </c>
      <c r="D34" s="24" t="s">
        <v>344</v>
      </c>
      <c r="E34" s="24" t="s">
        <v>562</v>
      </c>
      <c r="F34" s="24" t="s">
        <v>223</v>
      </c>
      <c r="G34" s="25">
        <v>57</v>
      </c>
      <c r="H34" s="24" t="s">
        <v>314</v>
      </c>
      <c r="I34" s="26" t="s">
        <v>404</v>
      </c>
      <c r="J34" s="24" t="s">
        <v>388</v>
      </c>
      <c r="K34" s="26" t="s">
        <v>25</v>
      </c>
      <c r="L34" s="26">
        <v>10</v>
      </c>
      <c r="M34" s="26">
        <v>26</v>
      </c>
      <c r="N34" s="26">
        <f>1*52</f>
        <v>52</v>
      </c>
      <c r="Q34" s="24" t="s">
        <v>183</v>
      </c>
      <c r="R34" s="26" t="s">
        <v>12</v>
      </c>
      <c r="S34" s="26"/>
    </row>
    <row r="35" spans="1:20" hidden="1" x14ac:dyDescent="0.3">
      <c r="A35" s="24" t="s">
        <v>183</v>
      </c>
      <c r="B35" s="24" t="s">
        <v>328</v>
      </c>
      <c r="C35" s="24" t="s">
        <v>312</v>
      </c>
      <c r="D35" s="24" t="s">
        <v>346</v>
      </c>
      <c r="E35" s="24" t="s">
        <v>512</v>
      </c>
      <c r="F35" s="24" t="s">
        <v>412</v>
      </c>
      <c r="G35" s="25">
        <v>55</v>
      </c>
      <c r="H35" s="24" t="s">
        <v>314</v>
      </c>
      <c r="I35" s="26" t="s">
        <v>50</v>
      </c>
      <c r="J35" s="24" t="s">
        <v>388</v>
      </c>
      <c r="K35" s="26" t="s">
        <v>347</v>
      </c>
      <c r="L35" s="26" t="s">
        <v>177</v>
      </c>
      <c r="M35" s="26">
        <v>0</v>
      </c>
      <c r="N35" s="24">
        <v>0</v>
      </c>
      <c r="O35" s="24">
        <v>0</v>
      </c>
      <c r="P35" s="24">
        <v>0</v>
      </c>
      <c r="Q35" s="24" t="s">
        <v>183</v>
      </c>
      <c r="R35" s="26" t="s">
        <v>12</v>
      </c>
      <c r="S35" s="26" t="s">
        <v>51</v>
      </c>
    </row>
    <row r="36" spans="1:20" ht="13.8" hidden="1" customHeight="1" x14ac:dyDescent="0.3">
      <c r="A36" s="24" t="s">
        <v>183</v>
      </c>
      <c r="B36" s="24" t="s">
        <v>328</v>
      </c>
      <c r="C36" s="24" t="s">
        <v>361</v>
      </c>
      <c r="D36" s="24" t="s">
        <v>343</v>
      </c>
      <c r="E36" s="24" t="s">
        <v>512</v>
      </c>
      <c r="F36" s="24" t="s">
        <v>412</v>
      </c>
      <c r="G36" s="25">
        <v>18</v>
      </c>
      <c r="H36" s="24" t="s">
        <v>329</v>
      </c>
      <c r="I36" s="48" t="s">
        <v>116</v>
      </c>
      <c r="J36" s="30" t="s">
        <v>439</v>
      </c>
      <c r="K36" s="8" t="s">
        <v>377</v>
      </c>
      <c r="L36" s="8">
        <v>60</v>
      </c>
      <c r="M36" s="29">
        <v>0</v>
      </c>
      <c r="N36" s="24">
        <v>0</v>
      </c>
      <c r="O36" s="24">
        <v>0</v>
      </c>
      <c r="P36" s="24">
        <v>0</v>
      </c>
      <c r="R36" s="24" t="s">
        <v>193</v>
      </c>
      <c r="S36" s="24" t="s">
        <v>449</v>
      </c>
    </row>
    <row r="37" spans="1:20" ht="14.4" hidden="1" x14ac:dyDescent="0.3">
      <c r="A37" s="24" t="s">
        <v>183</v>
      </c>
      <c r="B37" s="24" t="s">
        <v>328</v>
      </c>
      <c r="C37" s="24" t="s">
        <v>361</v>
      </c>
      <c r="D37" s="24" t="s">
        <v>343</v>
      </c>
      <c r="E37" s="24" t="s">
        <v>512</v>
      </c>
      <c r="F37" s="24" t="s">
        <v>412</v>
      </c>
      <c r="G37" s="25">
        <v>19</v>
      </c>
      <c r="H37" s="24" t="s">
        <v>329</v>
      </c>
      <c r="I37" s="48" t="s">
        <v>123</v>
      </c>
      <c r="J37" s="24" t="s">
        <v>368</v>
      </c>
      <c r="K37" s="8" t="s">
        <v>379</v>
      </c>
      <c r="L37" s="8">
        <v>50</v>
      </c>
      <c r="M37" s="29">
        <v>0</v>
      </c>
      <c r="N37" s="24">
        <v>0</v>
      </c>
      <c r="O37" s="24">
        <v>0</v>
      </c>
      <c r="P37" s="24">
        <v>0</v>
      </c>
      <c r="R37" s="24" t="s">
        <v>193</v>
      </c>
      <c r="S37" s="24" t="s">
        <v>335</v>
      </c>
    </row>
    <row r="38" spans="1:20" ht="14.4" hidden="1" x14ac:dyDescent="0.3">
      <c r="A38" s="24" t="s">
        <v>183</v>
      </c>
      <c r="B38" s="24" t="s">
        <v>328</v>
      </c>
      <c r="C38" s="24" t="s">
        <v>380</v>
      </c>
      <c r="D38" s="24" t="s">
        <v>343</v>
      </c>
      <c r="E38" s="24" t="s">
        <v>512</v>
      </c>
      <c r="F38" s="24" t="s">
        <v>412</v>
      </c>
      <c r="G38" s="25">
        <v>23</v>
      </c>
      <c r="H38" s="24" t="s">
        <v>329</v>
      </c>
      <c r="I38" s="48" t="s">
        <v>387</v>
      </c>
      <c r="J38" s="24" t="s">
        <v>441</v>
      </c>
      <c r="K38" s="8" t="s">
        <v>347</v>
      </c>
      <c r="L38" s="8">
        <v>50</v>
      </c>
      <c r="M38" s="29">
        <v>0</v>
      </c>
      <c r="N38" s="24">
        <v>0</v>
      </c>
      <c r="O38" s="24">
        <v>0</v>
      </c>
      <c r="P38" s="24">
        <v>0</v>
      </c>
      <c r="R38" s="24" t="s">
        <v>206</v>
      </c>
      <c r="S38" s="24" t="s">
        <v>216</v>
      </c>
    </row>
    <row r="39" spans="1:20" hidden="1" x14ac:dyDescent="0.3">
      <c r="A39" s="24" t="s">
        <v>183</v>
      </c>
      <c r="B39" s="24" t="s">
        <v>321</v>
      </c>
      <c r="C39" s="24" t="s">
        <v>526</v>
      </c>
      <c r="D39" s="24" t="s">
        <v>344</v>
      </c>
      <c r="E39" s="24" t="s">
        <v>495</v>
      </c>
      <c r="F39" s="24" t="s">
        <v>223</v>
      </c>
      <c r="G39" s="25"/>
      <c r="H39" s="24" t="s">
        <v>323</v>
      </c>
      <c r="I39" s="48" t="s">
        <v>541</v>
      </c>
      <c r="J39" s="24" t="s">
        <v>542</v>
      </c>
      <c r="K39" s="24" t="s">
        <v>534</v>
      </c>
      <c r="L39" s="24" t="s">
        <v>543</v>
      </c>
      <c r="R39" s="24" t="s">
        <v>536</v>
      </c>
    </row>
    <row r="40" spans="1:20" ht="14.4" hidden="1" x14ac:dyDescent="0.3">
      <c r="A40" s="24" t="s">
        <v>183</v>
      </c>
      <c r="B40" s="24" t="s">
        <v>328</v>
      </c>
      <c r="C40" s="24" t="s">
        <v>361</v>
      </c>
      <c r="D40" s="24" t="s">
        <v>344</v>
      </c>
      <c r="E40" s="24" t="s">
        <v>495</v>
      </c>
      <c r="F40" s="24" t="s">
        <v>223</v>
      </c>
      <c r="G40" s="25">
        <v>3</v>
      </c>
      <c r="H40" s="24" t="s">
        <v>329</v>
      </c>
      <c r="I40" s="48" t="s">
        <v>121</v>
      </c>
      <c r="J40" s="24" t="s">
        <v>388</v>
      </c>
      <c r="K40" s="8" t="s">
        <v>378</v>
      </c>
      <c r="L40" s="42" t="s">
        <v>177</v>
      </c>
      <c r="M40" s="24">
        <v>24</v>
      </c>
      <c r="N40" s="24">
        <v>30</v>
      </c>
      <c r="R40" s="24" t="s">
        <v>60</v>
      </c>
      <c r="S40" s="24" t="s">
        <v>334</v>
      </c>
    </row>
    <row r="41" spans="1:20" ht="13.8" hidden="1" customHeight="1" x14ac:dyDescent="0.3">
      <c r="A41" s="24" t="s">
        <v>183</v>
      </c>
      <c r="B41" s="24" t="s">
        <v>328</v>
      </c>
      <c r="C41" s="24" t="s">
        <v>382</v>
      </c>
      <c r="D41" s="24" t="s">
        <v>344</v>
      </c>
      <c r="E41" s="24" t="s">
        <v>495</v>
      </c>
      <c r="F41" s="24" t="s">
        <v>223</v>
      </c>
      <c r="G41" s="25">
        <v>22</v>
      </c>
      <c r="H41" s="24" t="s">
        <v>329</v>
      </c>
      <c r="I41" s="48" t="s">
        <v>383</v>
      </c>
      <c r="J41" s="30" t="s">
        <v>481</v>
      </c>
      <c r="K41" s="41" t="s">
        <v>381</v>
      </c>
      <c r="L41" s="41">
        <v>20</v>
      </c>
      <c r="M41" s="24">
        <v>50</v>
      </c>
      <c r="N41" s="24">
        <v>50</v>
      </c>
      <c r="Q41" s="24" t="s">
        <v>183</v>
      </c>
      <c r="R41" s="24" t="s">
        <v>60</v>
      </c>
      <c r="S41" s="26" t="s">
        <v>456</v>
      </c>
    </row>
    <row r="42" spans="1:20" hidden="1" x14ac:dyDescent="0.3">
      <c r="A42" s="24" t="s">
        <v>183</v>
      </c>
      <c r="B42" s="24" t="s">
        <v>321</v>
      </c>
      <c r="C42" s="24" t="s">
        <v>149</v>
      </c>
      <c r="D42" s="24" t="s">
        <v>344</v>
      </c>
      <c r="E42" s="24" t="s">
        <v>495</v>
      </c>
      <c r="F42" s="24" t="s">
        <v>223</v>
      </c>
      <c r="G42" s="25">
        <v>51</v>
      </c>
      <c r="H42" s="24" t="s">
        <v>426</v>
      </c>
      <c r="I42" s="48" t="s">
        <v>421</v>
      </c>
      <c r="J42" s="24" t="s">
        <v>84</v>
      </c>
      <c r="K42" s="24" t="s">
        <v>347</v>
      </c>
      <c r="L42" s="24">
        <v>40</v>
      </c>
      <c r="M42" s="24">
        <v>120</v>
      </c>
      <c r="N42" s="24">
        <v>0</v>
      </c>
      <c r="O42" s="24">
        <v>0</v>
      </c>
      <c r="P42" s="24">
        <v>0</v>
      </c>
      <c r="Q42" s="24" t="s">
        <v>183</v>
      </c>
      <c r="R42" s="24" t="s">
        <v>12</v>
      </c>
      <c r="S42" s="24" t="s">
        <v>422</v>
      </c>
    </row>
    <row r="43" spans="1:20" hidden="1" x14ac:dyDescent="0.3">
      <c r="A43" s="24" t="s">
        <v>183</v>
      </c>
      <c r="B43" s="24" t="s">
        <v>321</v>
      </c>
      <c r="C43" s="24" t="s">
        <v>149</v>
      </c>
      <c r="D43" s="24" t="s">
        <v>344</v>
      </c>
      <c r="E43" s="24" t="s">
        <v>495</v>
      </c>
      <c r="F43" s="24" t="s">
        <v>223</v>
      </c>
      <c r="G43" s="25">
        <v>2</v>
      </c>
      <c r="H43" s="24" t="s">
        <v>425</v>
      </c>
      <c r="I43" s="48" t="s">
        <v>515</v>
      </c>
      <c r="J43" s="31" t="s">
        <v>368</v>
      </c>
      <c r="K43" s="24" t="s">
        <v>151</v>
      </c>
      <c r="L43" s="26">
        <v>80</v>
      </c>
      <c r="M43" s="26">
        <f>52*2</f>
        <v>104</v>
      </c>
      <c r="N43" s="24">
        <v>104</v>
      </c>
      <c r="Q43" s="24" t="s">
        <v>183</v>
      </c>
      <c r="R43" s="24" t="s">
        <v>12</v>
      </c>
      <c r="S43" s="24" t="s">
        <v>516</v>
      </c>
    </row>
    <row r="44" spans="1:20" hidden="1" x14ac:dyDescent="0.3">
      <c r="A44" s="24" t="s">
        <v>183</v>
      </c>
      <c r="B44" s="24" t="s">
        <v>328</v>
      </c>
      <c r="C44" s="24" t="s">
        <v>312</v>
      </c>
      <c r="D44" s="24" t="s">
        <v>344</v>
      </c>
      <c r="E44" s="24" t="s">
        <v>495</v>
      </c>
      <c r="F44" s="24" t="s">
        <v>223</v>
      </c>
      <c r="G44" s="25">
        <v>19</v>
      </c>
      <c r="H44" s="24" t="s">
        <v>314</v>
      </c>
      <c r="I44" s="26" t="s">
        <v>37</v>
      </c>
      <c r="J44" s="24" t="s">
        <v>481</v>
      </c>
      <c r="K44" s="26" t="s">
        <v>61</v>
      </c>
      <c r="L44" s="26">
        <v>60</v>
      </c>
      <c r="M44" s="26">
        <f>16*2*12</f>
        <v>384</v>
      </c>
      <c r="N44" s="24">
        <v>384</v>
      </c>
      <c r="Q44" s="24">
        <v>24</v>
      </c>
      <c r="R44" s="24" t="s">
        <v>12</v>
      </c>
      <c r="S44" s="26" t="s">
        <v>40</v>
      </c>
    </row>
    <row r="45" spans="1:20" hidden="1" x14ac:dyDescent="0.3">
      <c r="A45" s="24" t="s">
        <v>183</v>
      </c>
      <c r="B45" s="24" t="s">
        <v>328</v>
      </c>
      <c r="C45" s="24" t="s">
        <v>312</v>
      </c>
      <c r="D45" s="24" t="s">
        <v>344</v>
      </c>
      <c r="E45" s="24" t="s">
        <v>495</v>
      </c>
      <c r="F45" s="24" t="s">
        <v>223</v>
      </c>
      <c r="G45" s="25">
        <v>53</v>
      </c>
      <c r="H45" s="24" t="s">
        <v>314</v>
      </c>
      <c r="I45" s="26" t="s">
        <v>394</v>
      </c>
      <c r="J45" s="24" t="s">
        <v>388</v>
      </c>
      <c r="K45" s="26" t="s">
        <v>61</v>
      </c>
      <c r="L45" s="26">
        <v>24</v>
      </c>
      <c r="M45" s="26">
        <v>20</v>
      </c>
      <c r="N45" s="24">
        <v>20</v>
      </c>
      <c r="Q45" s="24" t="s">
        <v>183</v>
      </c>
      <c r="R45" s="26" t="s">
        <v>12</v>
      </c>
      <c r="S45" s="26" t="s">
        <v>85</v>
      </c>
    </row>
    <row r="46" spans="1:20" hidden="1" x14ac:dyDescent="0.3">
      <c r="A46" s="24" t="s">
        <v>183</v>
      </c>
      <c r="B46" s="24" t="s">
        <v>328</v>
      </c>
      <c r="C46" s="24" t="s">
        <v>312</v>
      </c>
      <c r="D46" s="24" t="s">
        <v>344</v>
      </c>
      <c r="E46" s="24" t="s">
        <v>495</v>
      </c>
      <c r="F46" s="24" t="s">
        <v>223</v>
      </c>
      <c r="G46" s="25">
        <v>47</v>
      </c>
      <c r="H46" s="24" t="s">
        <v>314</v>
      </c>
      <c r="I46" s="26" t="s">
        <v>395</v>
      </c>
      <c r="J46" s="24" t="s">
        <v>388</v>
      </c>
      <c r="K46" s="26" t="s">
        <v>42</v>
      </c>
      <c r="L46" s="26">
        <v>16</v>
      </c>
      <c r="M46" s="27">
        <v>48</v>
      </c>
      <c r="N46" s="27">
        <v>48</v>
      </c>
      <c r="Q46" s="24" t="s">
        <v>183</v>
      </c>
      <c r="R46" s="26" t="s">
        <v>12</v>
      </c>
      <c r="S46" s="26" t="s">
        <v>396</v>
      </c>
    </row>
    <row r="47" spans="1:20" hidden="1" x14ac:dyDescent="0.3">
      <c r="A47" s="24" t="s">
        <v>183</v>
      </c>
      <c r="B47" s="24" t="s">
        <v>328</v>
      </c>
      <c r="C47" s="24" t="s">
        <v>312</v>
      </c>
      <c r="D47" s="24" t="s">
        <v>344</v>
      </c>
      <c r="E47" s="24" t="s">
        <v>495</v>
      </c>
      <c r="F47" s="24" t="s">
        <v>223</v>
      </c>
      <c r="G47" s="25">
        <v>46</v>
      </c>
      <c r="H47" s="24" t="s">
        <v>314</v>
      </c>
      <c r="I47" s="26" t="s">
        <v>415</v>
      </c>
      <c r="J47" s="24" t="s">
        <v>388</v>
      </c>
      <c r="K47" s="26" t="s">
        <v>61</v>
      </c>
      <c r="L47" s="26">
        <v>200</v>
      </c>
      <c r="M47" s="27">
        <f>(0.25*6*22*12)</f>
        <v>396</v>
      </c>
      <c r="N47" s="27">
        <f>(20*6*22*12)/60</f>
        <v>528</v>
      </c>
      <c r="Q47" s="24" t="s">
        <v>183</v>
      </c>
      <c r="R47" s="26" t="s">
        <v>12</v>
      </c>
      <c r="S47" s="26" t="s">
        <v>63</v>
      </c>
      <c r="T47" s="32">
        <v>0</v>
      </c>
    </row>
    <row r="48" spans="1:20" hidden="1" x14ac:dyDescent="0.3">
      <c r="A48" s="24" t="s">
        <v>340</v>
      </c>
      <c r="B48" s="24" t="s">
        <v>328</v>
      </c>
      <c r="C48" s="24" t="s">
        <v>312</v>
      </c>
      <c r="D48" s="24" t="s">
        <v>344</v>
      </c>
      <c r="E48" s="24" t="s">
        <v>495</v>
      </c>
      <c r="F48" s="24" t="s">
        <v>223</v>
      </c>
      <c r="G48" s="25">
        <v>30</v>
      </c>
      <c r="H48" s="24" t="s">
        <v>314</v>
      </c>
      <c r="I48" s="26" t="s">
        <v>68</v>
      </c>
      <c r="J48" s="24" t="s">
        <v>368</v>
      </c>
      <c r="K48" s="26" t="s">
        <v>418</v>
      </c>
      <c r="L48" s="26">
        <v>60</v>
      </c>
      <c r="M48" s="26">
        <v>192</v>
      </c>
      <c r="N48" s="24">
        <v>192</v>
      </c>
      <c r="Q48" s="24" t="s">
        <v>183</v>
      </c>
      <c r="R48" s="26" t="s">
        <v>12</v>
      </c>
      <c r="S48" s="26" t="s">
        <v>69</v>
      </c>
    </row>
    <row r="49" spans="1:20" hidden="1" x14ac:dyDescent="0.3">
      <c r="A49" s="24" t="s">
        <v>183</v>
      </c>
      <c r="B49" s="24" t="s">
        <v>328</v>
      </c>
      <c r="C49" s="24" t="s">
        <v>312</v>
      </c>
      <c r="D49" s="24" t="s">
        <v>344</v>
      </c>
      <c r="E49" s="24" t="s">
        <v>495</v>
      </c>
      <c r="F49" s="24" t="s">
        <v>223</v>
      </c>
      <c r="G49" s="25">
        <v>45</v>
      </c>
      <c r="H49" s="24" t="s">
        <v>314</v>
      </c>
      <c r="I49" s="26" t="s">
        <v>41</v>
      </c>
      <c r="J49" s="24" t="s">
        <v>388</v>
      </c>
      <c r="K49" s="26" t="s">
        <v>42</v>
      </c>
      <c r="L49" s="26">
        <v>16</v>
      </c>
      <c r="M49" s="26">
        <f>(0.25*2*3*12)</f>
        <v>18</v>
      </c>
      <c r="N49" s="24">
        <v>72</v>
      </c>
      <c r="Q49" s="24" t="s">
        <v>183</v>
      </c>
      <c r="R49" s="26" t="s">
        <v>12</v>
      </c>
      <c r="S49" s="26" t="s">
        <v>43</v>
      </c>
    </row>
    <row r="50" spans="1:20" hidden="1" x14ac:dyDescent="0.3">
      <c r="A50" s="24" t="s">
        <v>183</v>
      </c>
      <c r="B50" s="24" t="s">
        <v>321</v>
      </c>
      <c r="C50" s="24" t="s">
        <v>149</v>
      </c>
      <c r="D50" s="24" t="s">
        <v>344</v>
      </c>
      <c r="E50" s="24" t="s">
        <v>495</v>
      </c>
      <c r="F50" s="24" t="s">
        <v>223</v>
      </c>
      <c r="G50" s="25">
        <v>1</v>
      </c>
      <c r="H50" s="24" t="s">
        <v>425</v>
      </c>
      <c r="I50" s="48" t="s">
        <v>517</v>
      </c>
      <c r="J50" s="30">
        <v>42856</v>
      </c>
      <c r="K50" s="24" t="s">
        <v>151</v>
      </c>
      <c r="L50" s="26">
        <v>80</v>
      </c>
      <c r="M50" s="26">
        <v>365</v>
      </c>
      <c r="N50" s="24">
        <v>426</v>
      </c>
      <c r="Q50" s="24" t="s">
        <v>183</v>
      </c>
      <c r="R50" s="24" t="s">
        <v>193</v>
      </c>
    </row>
    <row r="51" spans="1:20" ht="55.2" hidden="1" x14ac:dyDescent="0.3">
      <c r="A51" s="24" t="s">
        <v>183</v>
      </c>
      <c r="B51" s="24" t="s">
        <v>321</v>
      </c>
      <c r="C51" s="24" t="s">
        <v>149</v>
      </c>
      <c r="D51" s="24" t="s">
        <v>344</v>
      </c>
      <c r="E51" s="24" t="s">
        <v>495</v>
      </c>
      <c r="F51" s="24" t="s">
        <v>223</v>
      </c>
      <c r="G51" s="25">
        <v>4</v>
      </c>
      <c r="H51" s="24" t="s">
        <v>425</v>
      </c>
      <c r="I51" s="51" t="s">
        <v>518</v>
      </c>
      <c r="J51" s="30">
        <v>42856</v>
      </c>
      <c r="K51" s="24" t="s">
        <v>154</v>
      </c>
      <c r="L51" s="26">
        <v>40</v>
      </c>
      <c r="M51" s="26">
        <f>4*52</f>
        <v>208</v>
      </c>
      <c r="N51" s="24">
        <v>208</v>
      </c>
      <c r="Q51" s="24" t="s">
        <v>183</v>
      </c>
      <c r="R51" s="24" t="s">
        <v>193</v>
      </c>
    </row>
    <row r="52" spans="1:20" ht="43.2" hidden="1" x14ac:dyDescent="0.3">
      <c r="A52" s="24" t="s">
        <v>183</v>
      </c>
      <c r="B52" s="24" t="s">
        <v>321</v>
      </c>
      <c r="C52" s="24" t="s">
        <v>322</v>
      </c>
      <c r="D52" s="24" t="s">
        <v>344</v>
      </c>
      <c r="E52" s="24" t="s">
        <v>497</v>
      </c>
      <c r="F52" s="24" t="s">
        <v>223</v>
      </c>
      <c r="G52" s="25"/>
      <c r="H52" s="24" t="s">
        <v>323</v>
      </c>
      <c r="I52" s="49" t="s">
        <v>498</v>
      </c>
      <c r="J52" s="24" t="s">
        <v>481</v>
      </c>
      <c r="K52" s="24" t="s">
        <v>499</v>
      </c>
      <c r="L52" s="24">
        <v>10</v>
      </c>
      <c r="M52" s="26"/>
      <c r="R52" s="24" t="s">
        <v>60</v>
      </c>
      <c r="S52" s="24" t="s">
        <v>503</v>
      </c>
    </row>
    <row r="53" spans="1:20" ht="43.2" hidden="1" x14ac:dyDescent="0.3">
      <c r="A53" s="24" t="s">
        <v>183</v>
      </c>
      <c r="B53" s="24" t="s">
        <v>321</v>
      </c>
      <c r="C53" s="24" t="s">
        <v>322</v>
      </c>
      <c r="D53" s="24" t="s">
        <v>344</v>
      </c>
      <c r="E53" s="24" t="s">
        <v>497</v>
      </c>
      <c r="F53" s="24" t="s">
        <v>223</v>
      </c>
      <c r="G53" s="25"/>
      <c r="H53" s="24" t="s">
        <v>323</v>
      </c>
      <c r="I53" s="49" t="s">
        <v>502</v>
      </c>
      <c r="J53" s="24" t="s">
        <v>481</v>
      </c>
      <c r="K53" s="24" t="s">
        <v>351</v>
      </c>
      <c r="L53" s="24">
        <v>60</v>
      </c>
      <c r="M53" s="26"/>
      <c r="R53" s="24" t="s">
        <v>60</v>
      </c>
      <c r="S53" s="24" t="s">
        <v>503</v>
      </c>
    </row>
    <row r="54" spans="1:20" hidden="1" x14ac:dyDescent="0.3">
      <c r="A54" s="24" t="s">
        <v>183</v>
      </c>
      <c r="B54" s="24" t="s">
        <v>328</v>
      </c>
      <c r="C54" s="24" t="s">
        <v>312</v>
      </c>
      <c r="D54" s="24" t="s">
        <v>343</v>
      </c>
      <c r="E54" s="24" t="s">
        <v>497</v>
      </c>
      <c r="F54" s="24" t="s">
        <v>223</v>
      </c>
      <c r="G54" s="25">
        <v>33</v>
      </c>
      <c r="H54" s="24" t="s">
        <v>314</v>
      </c>
      <c r="I54" s="26" t="s">
        <v>66</v>
      </c>
      <c r="J54" s="24" t="s">
        <v>368</v>
      </c>
      <c r="K54" s="26" t="s">
        <v>42</v>
      </c>
      <c r="L54" s="26">
        <v>50</v>
      </c>
      <c r="M54" s="26">
        <v>40</v>
      </c>
      <c r="N54" s="24">
        <v>40</v>
      </c>
      <c r="Q54" s="24">
        <v>1</v>
      </c>
      <c r="R54" s="26" t="s">
        <v>12</v>
      </c>
      <c r="S54" s="26" t="s">
        <v>390</v>
      </c>
      <c r="T54" s="32">
        <v>0</v>
      </c>
    </row>
    <row r="55" spans="1:20" hidden="1" x14ac:dyDescent="0.3">
      <c r="A55" s="24" t="s">
        <v>183</v>
      </c>
      <c r="B55" s="24" t="s">
        <v>328</v>
      </c>
      <c r="C55" s="24" t="s">
        <v>312</v>
      </c>
      <c r="D55" s="24" t="s">
        <v>343</v>
      </c>
      <c r="E55" s="24" t="s">
        <v>497</v>
      </c>
      <c r="F55" s="24" t="s">
        <v>223</v>
      </c>
      <c r="G55" s="25">
        <v>54</v>
      </c>
      <c r="H55" s="24" t="s">
        <v>314</v>
      </c>
      <c r="I55" s="26" t="s">
        <v>32</v>
      </c>
      <c r="J55" s="24" t="s">
        <v>388</v>
      </c>
      <c r="K55" s="26" t="s">
        <v>418</v>
      </c>
      <c r="L55" s="26">
        <v>40</v>
      </c>
      <c r="M55" s="26">
        <v>12</v>
      </c>
      <c r="N55" s="24">
        <v>12</v>
      </c>
      <c r="Q55" s="24">
        <f>4</f>
        <v>4</v>
      </c>
      <c r="R55" s="26" t="s">
        <v>12</v>
      </c>
      <c r="S55" s="26" t="s">
        <v>33</v>
      </c>
      <c r="T55" s="32">
        <v>0.9</v>
      </c>
    </row>
    <row r="56" spans="1:20" hidden="1" x14ac:dyDescent="0.3">
      <c r="A56" s="24" t="s">
        <v>340</v>
      </c>
      <c r="B56" s="24" t="s">
        <v>328</v>
      </c>
      <c r="C56" s="24" t="s">
        <v>312</v>
      </c>
      <c r="D56" s="24" t="s">
        <v>343</v>
      </c>
      <c r="E56" s="24" t="s">
        <v>497</v>
      </c>
      <c r="F56" s="24" t="s">
        <v>223</v>
      </c>
      <c r="G56" s="25">
        <v>40</v>
      </c>
      <c r="H56" s="24" t="s">
        <v>314</v>
      </c>
      <c r="I56" s="26" t="s">
        <v>416</v>
      </c>
      <c r="J56" s="24" t="s">
        <v>368</v>
      </c>
      <c r="K56" s="26" t="s">
        <v>10</v>
      </c>
      <c r="L56" s="26">
        <v>30</v>
      </c>
      <c r="M56" s="26">
        <f>24*12</f>
        <v>288</v>
      </c>
      <c r="N56" s="24">
        <f>48*24</f>
        <v>1152</v>
      </c>
      <c r="Q56" s="24" t="s">
        <v>183</v>
      </c>
      <c r="R56" s="26" t="s">
        <v>12</v>
      </c>
      <c r="S56" s="26" t="s">
        <v>410</v>
      </c>
      <c r="T56" s="32">
        <v>1</v>
      </c>
    </row>
    <row r="57" spans="1:20" hidden="1" x14ac:dyDescent="0.3">
      <c r="A57" s="24" t="s">
        <v>183</v>
      </c>
      <c r="B57" s="24" t="s">
        <v>328</v>
      </c>
      <c r="C57" s="24" t="s">
        <v>312</v>
      </c>
      <c r="D57" s="24" t="s">
        <v>343</v>
      </c>
      <c r="E57" s="24" t="s">
        <v>497</v>
      </c>
      <c r="F57" s="24" t="s">
        <v>223</v>
      </c>
      <c r="G57" s="25">
        <v>14</v>
      </c>
      <c r="H57" s="24" t="s">
        <v>314</v>
      </c>
      <c r="I57" s="26" t="s">
        <v>72</v>
      </c>
      <c r="J57" s="24" t="s">
        <v>481</v>
      </c>
      <c r="K57" s="26" t="s">
        <v>42</v>
      </c>
      <c r="L57" s="26">
        <v>18</v>
      </c>
      <c r="M57" s="26">
        <f>(2*52)</f>
        <v>104</v>
      </c>
      <c r="N57" s="24">
        <v>104</v>
      </c>
      <c r="Q57" s="24">
        <f>2*4</f>
        <v>8</v>
      </c>
      <c r="R57" s="24" t="s">
        <v>193</v>
      </c>
      <c r="S57" s="26" t="s">
        <v>478</v>
      </c>
      <c r="T57" s="32">
        <v>0.7</v>
      </c>
    </row>
    <row r="58" spans="1:20" hidden="1" x14ac:dyDescent="0.3">
      <c r="A58" s="24" t="s">
        <v>340</v>
      </c>
      <c r="B58" s="24" t="s">
        <v>328</v>
      </c>
      <c r="C58" s="24" t="s">
        <v>312</v>
      </c>
      <c r="D58" s="24" t="s">
        <v>344</v>
      </c>
      <c r="E58" s="24" t="s">
        <v>496</v>
      </c>
      <c r="F58" s="24" t="s">
        <v>223</v>
      </c>
      <c r="G58" s="25">
        <v>51</v>
      </c>
      <c r="H58" s="24" t="s">
        <v>314</v>
      </c>
      <c r="I58" s="26" t="s">
        <v>489</v>
      </c>
      <c r="J58" s="24" t="s">
        <v>481</v>
      </c>
      <c r="K58" s="26" t="s">
        <v>42</v>
      </c>
      <c r="L58" s="26">
        <v>16</v>
      </c>
      <c r="M58" s="26">
        <v>36</v>
      </c>
      <c r="N58" s="24">
        <v>36</v>
      </c>
      <c r="Q58" s="24">
        <v>12</v>
      </c>
      <c r="R58" s="26" t="s">
        <v>12</v>
      </c>
      <c r="S58" s="26" t="s">
        <v>485</v>
      </c>
    </row>
    <row r="59" spans="1:20" hidden="1" x14ac:dyDescent="0.3">
      <c r="A59" s="24" t="s">
        <v>428</v>
      </c>
      <c r="B59" s="24" t="s">
        <v>328</v>
      </c>
      <c r="C59" s="24" t="s">
        <v>312</v>
      </c>
      <c r="D59" s="24" t="s">
        <v>344</v>
      </c>
      <c r="E59" s="24" t="s">
        <v>496</v>
      </c>
      <c r="F59" s="24" t="s">
        <v>223</v>
      </c>
      <c r="G59" s="25">
        <v>52</v>
      </c>
      <c r="H59" s="24" t="s">
        <v>314</v>
      </c>
      <c r="I59" s="26" t="s">
        <v>487</v>
      </c>
      <c r="J59" s="24" t="s">
        <v>481</v>
      </c>
      <c r="K59" s="26" t="s">
        <v>61</v>
      </c>
      <c r="L59" s="26">
        <v>16</v>
      </c>
      <c r="M59" s="26">
        <v>36</v>
      </c>
      <c r="N59" s="24">
        <v>36</v>
      </c>
      <c r="Q59" s="24">
        <v>12</v>
      </c>
      <c r="R59" s="26" t="s">
        <v>12</v>
      </c>
      <c r="S59" s="26" t="s">
        <v>485</v>
      </c>
      <c r="T59" s="33">
        <v>0.2</v>
      </c>
    </row>
    <row r="60" spans="1:20" hidden="1" x14ac:dyDescent="0.3">
      <c r="A60" s="24" t="s">
        <v>183</v>
      </c>
      <c r="B60" s="24" t="s">
        <v>328</v>
      </c>
      <c r="C60" s="24" t="s">
        <v>312</v>
      </c>
      <c r="D60" s="24" t="s">
        <v>344</v>
      </c>
      <c r="E60" s="24" t="s">
        <v>496</v>
      </c>
      <c r="F60" s="24" t="s">
        <v>223</v>
      </c>
      <c r="G60" s="25">
        <v>31</v>
      </c>
      <c r="H60" s="24" t="s">
        <v>314</v>
      </c>
      <c r="I60" s="26" t="s">
        <v>482</v>
      </c>
      <c r="J60" s="24" t="s">
        <v>481</v>
      </c>
      <c r="K60" s="26" t="s">
        <v>25</v>
      </c>
      <c r="L60" s="26">
        <v>45</v>
      </c>
      <c r="M60" s="26">
        <v>144</v>
      </c>
      <c r="N60" s="24">
        <v>144</v>
      </c>
      <c r="Q60" s="24">
        <v>12</v>
      </c>
      <c r="R60" s="26" t="s">
        <v>12</v>
      </c>
      <c r="S60" s="26" t="s">
        <v>483</v>
      </c>
      <c r="T60" s="32">
        <v>0.85</v>
      </c>
    </row>
    <row r="61" spans="1:20" x14ac:dyDescent="0.3">
      <c r="G61" s="25"/>
    </row>
    <row r="62" spans="1:20" x14ac:dyDescent="0.3">
      <c r="G62" s="25"/>
    </row>
    <row r="63" spans="1:20" x14ac:dyDescent="0.3">
      <c r="G63" s="25"/>
    </row>
    <row r="64" spans="1:20" x14ac:dyDescent="0.3">
      <c r="G64" s="25"/>
    </row>
    <row r="65" spans="1:21" x14ac:dyDescent="0.3">
      <c r="G65" s="25"/>
    </row>
    <row r="66" spans="1:21" x14ac:dyDescent="0.3">
      <c r="G66" s="25"/>
    </row>
    <row r="67" spans="1:21" x14ac:dyDescent="0.3">
      <c r="G67" s="25"/>
    </row>
    <row r="68" spans="1:21" x14ac:dyDescent="0.3">
      <c r="G68" s="25"/>
    </row>
    <row r="69" spans="1:21" x14ac:dyDescent="0.3">
      <c r="G69" s="25"/>
    </row>
    <row r="70" spans="1:21" x14ac:dyDescent="0.3">
      <c r="B70" s="24">
        <v>245</v>
      </c>
      <c r="G70" s="25"/>
    </row>
    <row r="71" spans="1:21" x14ac:dyDescent="0.3">
      <c r="B71" s="24">
        <v>220</v>
      </c>
      <c r="G71" s="25"/>
    </row>
    <row r="72" spans="1:21" x14ac:dyDescent="0.3">
      <c r="B72" s="24">
        <v>40</v>
      </c>
      <c r="G72" s="25"/>
    </row>
    <row r="73" spans="1:21" x14ac:dyDescent="0.3">
      <c r="B73" s="24">
        <f>SUM(B70:B72)</f>
        <v>505</v>
      </c>
      <c r="G73" s="25"/>
    </row>
    <row r="74" spans="1:21" x14ac:dyDescent="0.3">
      <c r="B74" s="24">
        <f>B73/100</f>
        <v>5.05</v>
      </c>
      <c r="F74" s="24">
        <f>183+206+40</f>
        <v>429</v>
      </c>
      <c r="G74" s="25"/>
    </row>
    <row r="75" spans="1:21" s="48" customFormat="1" x14ac:dyDescent="0.3">
      <c r="A75" s="24"/>
      <c r="B75" s="24"/>
      <c r="C75" s="24"/>
      <c r="D75" s="24"/>
      <c r="E75" s="24"/>
      <c r="F75" s="24"/>
      <c r="G75" s="25"/>
      <c r="H75" s="24"/>
      <c r="J75" s="24"/>
      <c r="K75" s="24"/>
      <c r="L75" s="24"/>
      <c r="M75" s="24"/>
      <c r="N75" s="24"/>
      <c r="O75" s="24"/>
      <c r="P75" s="24"/>
      <c r="Q75" s="24"/>
      <c r="R75" s="24"/>
      <c r="S75" s="24"/>
      <c r="T75" s="24"/>
      <c r="U75" s="24"/>
    </row>
    <row r="76" spans="1:21" s="48" customFormat="1" x14ac:dyDescent="0.3">
      <c r="A76" s="24"/>
      <c r="B76" s="24"/>
      <c r="C76" s="24">
        <v>189</v>
      </c>
      <c r="D76" s="24">
        <v>150</v>
      </c>
      <c r="E76" s="24"/>
      <c r="F76" s="24"/>
      <c r="G76" s="25"/>
      <c r="H76" s="24"/>
      <c r="J76" s="24"/>
      <c r="K76" s="24"/>
      <c r="L76" s="24"/>
      <c r="M76" s="24"/>
      <c r="N76" s="24"/>
      <c r="O76" s="24"/>
      <c r="P76" s="24"/>
      <c r="Q76" s="24"/>
      <c r="R76" s="24"/>
      <c r="S76" s="24"/>
      <c r="T76" s="24"/>
      <c r="U76" s="24"/>
    </row>
    <row r="77" spans="1:21" s="48" customFormat="1" x14ac:dyDescent="0.3">
      <c r="A77" s="24"/>
      <c r="B77" s="24"/>
      <c r="C77" s="24">
        <v>185</v>
      </c>
      <c r="D77" s="24">
        <v>180</v>
      </c>
      <c r="E77" s="24"/>
      <c r="F77" s="24"/>
      <c r="G77" s="25"/>
      <c r="H77" s="24"/>
      <c r="J77" s="24"/>
      <c r="K77" s="24"/>
      <c r="L77" s="24"/>
      <c r="M77" s="24"/>
      <c r="N77" s="24"/>
      <c r="O77" s="24"/>
      <c r="P77" s="24"/>
      <c r="Q77" s="24"/>
      <c r="R77" s="24"/>
      <c r="S77" s="24"/>
      <c r="T77" s="24"/>
      <c r="U77" s="24"/>
    </row>
    <row r="78" spans="1:21" s="48" customFormat="1" x14ac:dyDescent="0.3">
      <c r="A78" s="24"/>
      <c r="B78" s="24"/>
      <c r="C78" s="24">
        <v>245</v>
      </c>
      <c r="D78" s="24">
        <v>220</v>
      </c>
      <c r="E78" s="24"/>
      <c r="F78" s="24"/>
      <c r="G78" s="25"/>
      <c r="H78" s="24"/>
      <c r="J78" s="24"/>
      <c r="K78" s="24"/>
      <c r="L78" s="24"/>
      <c r="M78" s="24"/>
      <c r="N78" s="24"/>
      <c r="O78" s="24"/>
      <c r="P78" s="24"/>
      <c r="Q78" s="24"/>
      <c r="R78" s="24"/>
      <c r="S78" s="24"/>
      <c r="T78" s="24"/>
      <c r="U78" s="24"/>
    </row>
    <row r="79" spans="1:21" s="48" customFormat="1" x14ac:dyDescent="0.3">
      <c r="A79" s="24"/>
      <c r="B79" s="24"/>
      <c r="C79" s="24"/>
      <c r="D79" s="24"/>
      <c r="E79" s="24"/>
      <c r="F79" s="24"/>
      <c r="G79" s="25"/>
      <c r="H79" s="24"/>
      <c r="J79" s="24"/>
      <c r="K79" s="24"/>
      <c r="L79" s="24"/>
      <c r="M79" s="24"/>
      <c r="N79" s="24"/>
      <c r="O79" s="24"/>
      <c r="P79" s="24"/>
      <c r="Q79" s="24"/>
      <c r="R79" s="24"/>
      <c r="S79" s="24"/>
      <c r="T79" s="24"/>
      <c r="U79" s="24"/>
    </row>
    <row r="80" spans="1:21" s="48" customFormat="1" x14ac:dyDescent="0.3">
      <c r="A80" s="24"/>
      <c r="B80" s="24"/>
      <c r="C80" s="24"/>
      <c r="D80" s="24">
        <v>220</v>
      </c>
      <c r="E80" s="24"/>
      <c r="F80" s="24"/>
      <c r="G80" s="25"/>
      <c r="H80" s="24">
        <f>87*22</f>
        <v>1914</v>
      </c>
      <c r="J80" s="24"/>
      <c r="K80" s="24"/>
      <c r="L80" s="24"/>
      <c r="M80" s="24"/>
      <c r="N80" s="24"/>
      <c r="O80" s="24"/>
      <c r="P80" s="24"/>
      <c r="Q80" s="24"/>
      <c r="R80" s="24"/>
      <c r="S80" s="24"/>
      <c r="T80" s="24"/>
      <c r="U80" s="24"/>
    </row>
    <row r="81" spans="1:21" s="48" customFormat="1" x14ac:dyDescent="0.3">
      <c r="A81" s="24"/>
      <c r="B81" s="24"/>
      <c r="C81" s="24"/>
      <c r="D81" s="24">
        <v>245</v>
      </c>
      <c r="E81" s="24"/>
      <c r="F81" s="24"/>
      <c r="G81" s="25"/>
      <c r="H81" s="24"/>
      <c r="J81" s="24"/>
      <c r="K81" s="24"/>
      <c r="L81" s="24"/>
      <c r="M81" s="24"/>
      <c r="N81" s="24"/>
      <c r="O81" s="24"/>
      <c r="P81" s="24"/>
      <c r="Q81" s="24"/>
      <c r="R81" s="24"/>
      <c r="S81" s="24"/>
      <c r="T81" s="24"/>
      <c r="U81" s="24"/>
    </row>
    <row r="82" spans="1:21" s="48" customFormat="1" x14ac:dyDescent="0.3">
      <c r="A82" s="24"/>
      <c r="B82" s="24"/>
      <c r="C82" s="24">
        <f>C78/3</f>
        <v>81.666666666666671</v>
      </c>
      <c r="D82" s="24">
        <v>40</v>
      </c>
      <c r="E82" s="24"/>
      <c r="F82" s="24"/>
      <c r="G82" s="25"/>
      <c r="H82" s="24"/>
      <c r="J82" s="24"/>
      <c r="K82" s="24"/>
      <c r="L82" s="24"/>
      <c r="M82" s="24"/>
      <c r="N82" s="24"/>
      <c r="O82" s="24"/>
      <c r="P82" s="24"/>
      <c r="Q82" s="24"/>
      <c r="R82" s="24"/>
      <c r="S82" s="24"/>
      <c r="T82" s="24"/>
      <c r="U82" s="24"/>
    </row>
    <row r="83" spans="1:21" s="48" customFormat="1" x14ac:dyDescent="0.3">
      <c r="A83" s="24"/>
      <c r="B83" s="24"/>
      <c r="C83" s="24">
        <f>176*0.6</f>
        <v>105.6</v>
      </c>
      <c r="D83" s="24">
        <f>SUBTOTAL(9,D80:D82)</f>
        <v>505</v>
      </c>
      <c r="E83" s="24"/>
      <c r="F83" s="24"/>
      <c r="G83" s="25"/>
      <c r="H83" s="24"/>
      <c r="J83" s="24"/>
      <c r="K83" s="24"/>
      <c r="L83" s="24"/>
      <c r="M83" s="24"/>
      <c r="N83" s="24"/>
      <c r="O83" s="24"/>
      <c r="P83" s="24"/>
      <c r="Q83" s="24"/>
      <c r="R83" s="24"/>
      <c r="S83" s="24"/>
      <c r="T83" s="24"/>
      <c r="U83" s="24"/>
    </row>
    <row r="84" spans="1:21" s="48" customFormat="1" x14ac:dyDescent="0.3">
      <c r="A84" s="24"/>
      <c r="B84" s="24"/>
      <c r="C84" s="24">
        <f>C83/C82</f>
        <v>1.2930612244897959</v>
      </c>
      <c r="D84" s="24">
        <f>D83/80</f>
        <v>6.3125</v>
      </c>
      <c r="E84" s="24"/>
      <c r="F84" s="24"/>
      <c r="G84" s="25"/>
      <c r="H84" s="24"/>
      <c r="J84" s="24"/>
      <c r="K84" s="24"/>
      <c r="L84" s="24"/>
      <c r="M84" s="24"/>
      <c r="N84" s="24"/>
      <c r="O84" s="24"/>
      <c r="P84" s="24"/>
      <c r="Q84" s="24"/>
      <c r="R84" s="24"/>
      <c r="S84" s="24"/>
      <c r="T84" s="24"/>
      <c r="U84" s="24"/>
    </row>
    <row r="85" spans="1:21" s="48" customFormat="1" x14ac:dyDescent="0.3">
      <c r="A85" s="24"/>
      <c r="B85" s="24"/>
      <c r="C85" s="24"/>
      <c r="D85" s="24"/>
      <c r="E85" s="24">
        <v>429</v>
      </c>
      <c r="F85" s="24"/>
      <c r="G85" s="25"/>
      <c r="H85" s="24"/>
      <c r="J85" s="24"/>
      <c r="K85" s="24"/>
      <c r="L85" s="24"/>
      <c r="M85" s="24"/>
      <c r="N85" s="24"/>
      <c r="O85" s="24"/>
      <c r="P85" s="24"/>
      <c r="Q85" s="24"/>
      <c r="R85" s="24"/>
      <c r="S85" s="24"/>
      <c r="T85" s="24"/>
      <c r="U85" s="24"/>
    </row>
    <row r="86" spans="1:21" s="48" customFormat="1" x14ac:dyDescent="0.3">
      <c r="A86" s="24"/>
      <c r="B86" s="24"/>
      <c r="C86" s="24">
        <f>8/C84</f>
        <v>6.1868686868686869</v>
      </c>
      <c r="D86" s="24"/>
      <c r="E86" s="24">
        <f>E85/80</f>
        <v>5.3624999999999998</v>
      </c>
      <c r="F86" s="24"/>
      <c r="G86" s="25"/>
      <c r="H86" s="24"/>
      <c r="J86" s="24"/>
      <c r="K86" s="24"/>
      <c r="L86" s="24"/>
      <c r="M86" s="24"/>
      <c r="N86" s="24"/>
      <c r="O86" s="24"/>
      <c r="P86" s="24"/>
      <c r="Q86" s="24"/>
      <c r="R86" s="24"/>
      <c r="S86" s="24"/>
      <c r="T86" s="24"/>
      <c r="U86" s="24"/>
    </row>
    <row r="87" spans="1:21" s="48" customFormat="1" x14ac:dyDescent="0.3">
      <c r="A87" s="24"/>
      <c r="B87" s="24"/>
      <c r="C87" s="24"/>
      <c r="D87" s="24"/>
      <c r="E87" s="24">
        <f>380*15</f>
        <v>5700</v>
      </c>
      <c r="F87" s="24"/>
      <c r="G87" s="25"/>
      <c r="H87" s="24"/>
      <c r="J87" s="24"/>
      <c r="K87" s="24"/>
      <c r="L87" s="24"/>
      <c r="M87" s="24"/>
      <c r="N87" s="24"/>
      <c r="O87" s="24"/>
      <c r="P87" s="24"/>
      <c r="Q87" s="24"/>
      <c r="R87" s="24"/>
      <c r="S87" s="24"/>
      <c r="T87" s="24"/>
      <c r="U87" s="24"/>
    </row>
    <row r="88" spans="1:21" s="48" customFormat="1" x14ac:dyDescent="0.3">
      <c r="A88" s="24"/>
      <c r="B88" s="24"/>
      <c r="C88" s="24">
        <f>6*22</f>
        <v>132</v>
      </c>
      <c r="D88" s="24"/>
      <c r="E88" s="24">
        <f>E87/60</f>
        <v>95</v>
      </c>
      <c r="F88" s="24"/>
      <c r="G88" s="25"/>
      <c r="H88" s="24"/>
      <c r="J88" s="24"/>
      <c r="K88" s="24"/>
      <c r="L88" s="24"/>
      <c r="M88" s="24"/>
      <c r="N88" s="24"/>
      <c r="O88" s="24"/>
      <c r="P88" s="24"/>
      <c r="Q88" s="24"/>
      <c r="R88" s="24"/>
      <c r="S88" s="24"/>
      <c r="T88" s="24"/>
      <c r="U88" s="24"/>
    </row>
    <row r="89" spans="1:21" s="48" customFormat="1" x14ac:dyDescent="0.3">
      <c r="A89" s="24"/>
      <c r="B89" s="24"/>
      <c r="C89" s="24"/>
      <c r="D89" s="24"/>
      <c r="E89" s="24">
        <f>2*22</f>
        <v>44</v>
      </c>
      <c r="F89" s="24"/>
      <c r="G89" s="25"/>
      <c r="H89" s="24"/>
      <c r="J89" s="24"/>
      <c r="K89" s="24"/>
      <c r="L89" s="24"/>
      <c r="M89" s="24"/>
      <c r="N89" s="24"/>
      <c r="O89" s="24"/>
      <c r="P89" s="24"/>
      <c r="Q89" s="24"/>
      <c r="R89" s="24"/>
      <c r="S89" s="24"/>
      <c r="T89" s="24"/>
      <c r="U89" s="24"/>
    </row>
    <row r="90" spans="1:21" s="48" customFormat="1" x14ac:dyDescent="0.3">
      <c r="A90" s="24"/>
      <c r="B90" s="24"/>
      <c r="C90" s="24"/>
      <c r="D90" s="24"/>
      <c r="E90" s="24">
        <f>E88+E89</f>
        <v>139</v>
      </c>
      <c r="F90" s="24"/>
      <c r="G90" s="25"/>
      <c r="H90" s="24"/>
      <c r="J90" s="24"/>
      <c r="K90" s="24"/>
      <c r="L90" s="24"/>
      <c r="M90" s="24"/>
      <c r="N90" s="24"/>
      <c r="O90" s="24"/>
      <c r="P90" s="24"/>
      <c r="Q90" s="24"/>
      <c r="R90" s="24"/>
      <c r="S90" s="24"/>
      <c r="T90" s="24"/>
      <c r="U90" s="24"/>
    </row>
    <row r="91" spans="1:21" x14ac:dyDescent="0.3">
      <c r="E91" s="24">
        <f>E90/160</f>
        <v>0.86875000000000002</v>
      </c>
      <c r="G91" s="25"/>
    </row>
    <row r="92" spans="1:21" x14ac:dyDescent="0.3">
      <c r="G92" s="25"/>
    </row>
    <row r="93" spans="1:21" x14ac:dyDescent="0.3">
      <c r="G93" s="25"/>
    </row>
    <row r="94" spans="1:21" x14ac:dyDescent="0.3">
      <c r="G94" s="25"/>
    </row>
    <row r="95" spans="1:21" x14ac:dyDescent="0.3">
      <c r="G95" s="25"/>
    </row>
    <row r="96" spans="1:21" x14ac:dyDescent="0.3">
      <c r="G96" s="25"/>
    </row>
    <row r="97" spans="7:7" x14ac:dyDescent="0.3">
      <c r="G97" s="25"/>
    </row>
    <row r="98" spans="7:7" x14ac:dyDescent="0.3">
      <c r="G98" s="25"/>
    </row>
    <row r="99" spans="7:7" x14ac:dyDescent="0.3">
      <c r="G99" s="25"/>
    </row>
    <row r="100" spans="7:7" x14ac:dyDescent="0.3">
      <c r="G100" s="25"/>
    </row>
    <row r="101" spans="7:7" x14ac:dyDescent="0.3">
      <c r="G101" s="25"/>
    </row>
    <row r="102" spans="7:7" x14ac:dyDescent="0.3">
      <c r="G102" s="25"/>
    </row>
    <row r="103" spans="7:7" x14ac:dyDescent="0.3">
      <c r="G103" s="25"/>
    </row>
    <row r="104" spans="7:7" x14ac:dyDescent="0.3">
      <c r="G104" s="25"/>
    </row>
    <row r="105" spans="7:7" x14ac:dyDescent="0.3">
      <c r="G105" s="25"/>
    </row>
    <row r="106" spans="7:7" x14ac:dyDescent="0.3">
      <c r="G106" s="25"/>
    </row>
    <row r="107" spans="7:7" x14ac:dyDescent="0.3">
      <c r="G107" s="25"/>
    </row>
    <row r="108" spans="7:7" x14ac:dyDescent="0.3">
      <c r="G108" s="25"/>
    </row>
    <row r="109" spans="7:7" x14ac:dyDescent="0.3">
      <c r="G109" s="25"/>
    </row>
    <row r="110" spans="7:7" x14ac:dyDescent="0.3">
      <c r="G110" s="25"/>
    </row>
    <row r="111" spans="7:7" x14ac:dyDescent="0.3">
      <c r="G111" s="25"/>
    </row>
    <row r="112" spans="7:7" x14ac:dyDescent="0.3">
      <c r="G112" s="25"/>
    </row>
    <row r="113" spans="7:7" x14ac:dyDescent="0.3">
      <c r="G113" s="25"/>
    </row>
    <row r="114" spans="7:7" x14ac:dyDescent="0.3">
      <c r="G114" s="25"/>
    </row>
    <row r="115" spans="7:7" x14ac:dyDescent="0.3">
      <c r="G115" s="25"/>
    </row>
    <row r="116" spans="7:7" x14ac:dyDescent="0.3">
      <c r="G116" s="25"/>
    </row>
    <row r="117" spans="7:7" x14ac:dyDescent="0.3">
      <c r="G117" s="25"/>
    </row>
    <row r="118" spans="7:7" x14ac:dyDescent="0.3">
      <c r="G118" s="25"/>
    </row>
    <row r="119" spans="7:7" x14ac:dyDescent="0.3">
      <c r="G119" s="25"/>
    </row>
    <row r="120" spans="7:7" x14ac:dyDescent="0.3">
      <c r="G120" s="25"/>
    </row>
    <row r="121" spans="7:7" x14ac:dyDescent="0.3">
      <c r="G121" s="25"/>
    </row>
    <row r="122" spans="7:7" x14ac:dyDescent="0.3">
      <c r="G122" s="25"/>
    </row>
    <row r="123" spans="7:7" x14ac:dyDescent="0.3">
      <c r="G123" s="25"/>
    </row>
    <row r="124" spans="7:7" x14ac:dyDescent="0.3">
      <c r="G124" s="25"/>
    </row>
    <row r="125" spans="7:7" x14ac:dyDescent="0.3">
      <c r="G125" s="25"/>
    </row>
    <row r="126" spans="7:7" x14ac:dyDescent="0.3">
      <c r="G126" s="25"/>
    </row>
    <row r="127" spans="7:7" x14ac:dyDescent="0.3">
      <c r="G127" s="25"/>
    </row>
    <row r="128" spans="7:7" x14ac:dyDescent="0.3">
      <c r="G128" s="25"/>
    </row>
    <row r="129" spans="7:7" x14ac:dyDescent="0.3">
      <c r="G129" s="25"/>
    </row>
    <row r="130" spans="7:7" x14ac:dyDescent="0.3">
      <c r="G130" s="25"/>
    </row>
    <row r="131" spans="7:7" x14ac:dyDescent="0.3">
      <c r="G131" s="25"/>
    </row>
    <row r="132" spans="7:7" x14ac:dyDescent="0.3">
      <c r="G132" s="25"/>
    </row>
    <row r="133" spans="7:7" x14ac:dyDescent="0.3">
      <c r="G133" s="25"/>
    </row>
    <row r="134" spans="7:7" x14ac:dyDescent="0.3">
      <c r="G134" s="25"/>
    </row>
    <row r="135" spans="7:7" x14ac:dyDescent="0.3">
      <c r="G135" s="25"/>
    </row>
    <row r="136" spans="7:7" x14ac:dyDescent="0.3">
      <c r="G136" s="25"/>
    </row>
    <row r="137" spans="7:7" x14ac:dyDescent="0.3">
      <c r="G137" s="25"/>
    </row>
    <row r="138" spans="7:7" x14ac:dyDescent="0.3">
      <c r="G138" s="25"/>
    </row>
    <row r="139" spans="7:7" x14ac:dyDescent="0.3">
      <c r="G139" s="25"/>
    </row>
    <row r="140" spans="7:7" x14ac:dyDescent="0.3">
      <c r="G140" s="25"/>
    </row>
    <row r="141" spans="7:7" x14ac:dyDescent="0.3">
      <c r="G141" s="25"/>
    </row>
    <row r="142" spans="7:7" x14ac:dyDescent="0.3">
      <c r="G142" s="25"/>
    </row>
    <row r="143" spans="7:7" x14ac:dyDescent="0.3">
      <c r="G143" s="25"/>
    </row>
    <row r="144" spans="7:7" x14ac:dyDescent="0.3">
      <c r="G144" s="25"/>
    </row>
    <row r="145" spans="7:7" x14ac:dyDescent="0.3">
      <c r="G145" s="25"/>
    </row>
    <row r="146" spans="7:7" x14ac:dyDescent="0.3">
      <c r="G146" s="25"/>
    </row>
  </sheetData>
  <autoFilter ref="A1:U60">
    <filterColumn colId="4">
      <filters>
        <filter val="PERF.TUNING"/>
      </filters>
    </filterColumn>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26"/>
  <sheetViews>
    <sheetView tabSelected="1" workbookViewId="0">
      <selection activeCell="C7" sqref="C7"/>
    </sheetView>
  </sheetViews>
  <sheetFormatPr defaultRowHeight="14.4" x14ac:dyDescent="0.3"/>
  <cols>
    <col min="3" max="3" width="91" bestFit="1" customWidth="1"/>
  </cols>
  <sheetData>
    <row r="6" spans="3:3" x14ac:dyDescent="0.3">
      <c r="C6" s="48" t="s">
        <v>581</v>
      </c>
    </row>
    <row r="7" spans="3:3" x14ac:dyDescent="0.3">
      <c r="C7" s="48" t="s">
        <v>580</v>
      </c>
    </row>
    <row r="8" spans="3:3" x14ac:dyDescent="0.3">
      <c r="C8" s="47" t="s">
        <v>568</v>
      </c>
    </row>
    <row r="9" spans="3:3" x14ac:dyDescent="0.3">
      <c r="C9" s="47" t="s">
        <v>563</v>
      </c>
    </row>
    <row r="10" spans="3:3" x14ac:dyDescent="0.3">
      <c r="C10" s="55" t="s">
        <v>564</v>
      </c>
    </row>
    <row r="11" spans="3:3" x14ac:dyDescent="0.3">
      <c r="C11" s="56" t="s">
        <v>565</v>
      </c>
    </row>
    <row r="12" spans="3:3" x14ac:dyDescent="0.3">
      <c r="C12" s="48" t="s">
        <v>566</v>
      </c>
    </row>
    <row r="13" spans="3:3" x14ac:dyDescent="0.3">
      <c r="C13" s="47" t="s">
        <v>567</v>
      </c>
    </row>
    <row r="14" spans="3:3" x14ac:dyDescent="0.3">
      <c r="C14" s="47" t="s">
        <v>569</v>
      </c>
    </row>
    <row r="15" spans="3:3" x14ac:dyDescent="0.3">
      <c r="C15" s="48" t="s">
        <v>570</v>
      </c>
    </row>
    <row r="16" spans="3:3" x14ac:dyDescent="0.3">
      <c r="C16" s="48" t="s">
        <v>579</v>
      </c>
    </row>
    <row r="17" spans="3:3" x14ac:dyDescent="0.3">
      <c r="C17" s="48" t="s">
        <v>571</v>
      </c>
    </row>
    <row r="18" spans="3:3" x14ac:dyDescent="0.3">
      <c r="C18" s="48" t="s">
        <v>572</v>
      </c>
    </row>
    <row r="19" spans="3:3" x14ac:dyDescent="0.3">
      <c r="C19" s="48" t="s">
        <v>573</v>
      </c>
    </row>
    <row r="20" spans="3:3" x14ac:dyDescent="0.3">
      <c r="C20" s="48" t="s">
        <v>574</v>
      </c>
    </row>
    <row r="21" spans="3:3" x14ac:dyDescent="0.3">
      <c r="C21" s="48"/>
    </row>
    <row r="22" spans="3:3" x14ac:dyDescent="0.3">
      <c r="C22" s="56" t="s">
        <v>575</v>
      </c>
    </row>
    <row r="23" spans="3:3" x14ac:dyDescent="0.3">
      <c r="C23" s="56" t="s">
        <v>576</v>
      </c>
    </row>
    <row r="24" spans="3:3" x14ac:dyDescent="0.3">
      <c r="C24" s="48"/>
    </row>
    <row r="25" spans="3:3" x14ac:dyDescent="0.3">
      <c r="C25" s="48" t="s">
        <v>577</v>
      </c>
    </row>
    <row r="26" spans="3:3" x14ac:dyDescent="0.3">
      <c r="C26" s="48" t="s">
        <v>578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8" zoomScale="80" zoomScaleNormal="80" workbookViewId="0">
      <selection activeCell="E2" sqref="E2:E29"/>
    </sheetView>
  </sheetViews>
  <sheetFormatPr defaultColWidth="9.109375" defaultRowHeight="14.4" x14ac:dyDescent="0.3"/>
  <cols>
    <col min="1" max="1" width="88.44140625" style="7" customWidth="1"/>
    <col min="2" max="2" width="9.109375" style="7"/>
    <col min="3" max="3" width="27.109375" style="7" bestFit="1" customWidth="1"/>
    <col min="4" max="4" width="26.88671875" style="7" bestFit="1" customWidth="1"/>
    <col min="5" max="5" width="40.5546875" style="7" customWidth="1"/>
    <col min="6" max="6" width="17.5546875" style="7" customWidth="1"/>
    <col min="7" max="7" width="34.6640625" style="7" customWidth="1"/>
    <col min="8" max="16384" width="9.109375" style="7"/>
  </cols>
  <sheetData>
    <row r="1" spans="1:7" s="9" customFormat="1" x14ac:dyDescent="0.3">
      <c r="A1" s="9" t="s">
        <v>86</v>
      </c>
      <c r="B1" s="9" t="s">
        <v>7</v>
      </c>
      <c r="C1" s="9" t="s">
        <v>87</v>
      </c>
      <c r="D1" s="9" t="s">
        <v>88</v>
      </c>
      <c r="E1" s="9" t="s">
        <v>89</v>
      </c>
      <c r="F1" s="9" t="s">
        <v>90</v>
      </c>
      <c r="G1" s="9" t="s">
        <v>9</v>
      </c>
    </row>
    <row r="2" spans="1:7" ht="28.8" x14ac:dyDescent="0.3">
      <c r="A2" s="7" t="s">
        <v>91</v>
      </c>
      <c r="B2" s="7" t="s">
        <v>92</v>
      </c>
      <c r="E2" s="7" t="s">
        <v>192</v>
      </c>
      <c r="F2" s="7" t="s">
        <v>193</v>
      </c>
    </row>
    <row r="3" spans="1:7" ht="43.2" x14ac:dyDescent="0.3">
      <c r="A3" s="7" t="s">
        <v>93</v>
      </c>
      <c r="B3" s="7" t="s">
        <v>94</v>
      </c>
      <c r="E3" s="7" t="s">
        <v>194</v>
      </c>
      <c r="F3" s="7" t="s">
        <v>12</v>
      </c>
      <c r="G3" s="7" t="s">
        <v>221</v>
      </c>
    </row>
    <row r="4" spans="1:7" ht="28.8" x14ac:dyDescent="0.3">
      <c r="A4" s="7" t="s">
        <v>95</v>
      </c>
      <c r="B4" s="7" t="s">
        <v>92</v>
      </c>
      <c r="E4" s="7" t="s">
        <v>194</v>
      </c>
      <c r="F4" s="7" t="s">
        <v>12</v>
      </c>
    </row>
    <row r="5" spans="1:7" ht="28.8" x14ac:dyDescent="0.3">
      <c r="A5" s="20" t="s">
        <v>96</v>
      </c>
      <c r="B5" s="7" t="s">
        <v>92</v>
      </c>
      <c r="C5" s="7" t="s">
        <v>195</v>
      </c>
      <c r="E5" s="7" t="s">
        <v>192</v>
      </c>
      <c r="F5" s="7" t="s">
        <v>12</v>
      </c>
    </row>
    <row r="6" spans="1:7" x14ac:dyDescent="0.3">
      <c r="A6" s="7" t="s">
        <v>97</v>
      </c>
      <c r="B6" s="7" t="s">
        <v>92</v>
      </c>
    </row>
    <row r="7" spans="1:7" ht="43.2" x14ac:dyDescent="0.3">
      <c r="A7" s="7" t="s">
        <v>98</v>
      </c>
      <c r="B7" s="7" t="s">
        <v>99</v>
      </c>
      <c r="C7" s="7" t="s">
        <v>195</v>
      </c>
      <c r="E7" s="7" t="s">
        <v>192</v>
      </c>
      <c r="F7" s="7" t="s">
        <v>196</v>
      </c>
    </row>
    <row r="8" spans="1:7" x14ac:dyDescent="0.3">
      <c r="A8" s="7" t="s">
        <v>100</v>
      </c>
      <c r="B8" s="7" t="s">
        <v>99</v>
      </c>
    </row>
    <row r="9" spans="1:7" ht="28.8" x14ac:dyDescent="0.3">
      <c r="A9" s="7" t="s">
        <v>101</v>
      </c>
      <c r="B9" s="7" t="s">
        <v>92</v>
      </c>
      <c r="C9" s="7" t="s">
        <v>102</v>
      </c>
      <c r="E9" s="7" t="s">
        <v>197</v>
      </c>
      <c r="F9" s="7" t="s">
        <v>12</v>
      </c>
    </row>
    <row r="10" spans="1:7" x14ac:dyDescent="0.3">
      <c r="A10" s="7" t="s">
        <v>103</v>
      </c>
      <c r="B10" s="7" t="s">
        <v>94</v>
      </c>
    </row>
    <row r="11" spans="1:7" ht="28.8" x14ac:dyDescent="0.3">
      <c r="A11" s="7" t="s">
        <v>104</v>
      </c>
      <c r="B11" s="7" t="s">
        <v>94</v>
      </c>
      <c r="C11" s="7" t="s">
        <v>198</v>
      </c>
      <c r="E11" s="7" t="s">
        <v>199</v>
      </c>
      <c r="F11" s="7" t="s">
        <v>12</v>
      </c>
    </row>
    <row r="12" spans="1:7" x14ac:dyDescent="0.3">
      <c r="A12" s="7" t="s">
        <v>105</v>
      </c>
      <c r="B12" s="7" t="s">
        <v>92</v>
      </c>
    </row>
    <row r="13" spans="1:7" ht="72" x14ac:dyDescent="0.3">
      <c r="A13" s="7" t="s">
        <v>106</v>
      </c>
      <c r="B13" s="7" t="s">
        <v>99</v>
      </c>
      <c r="C13" s="7" t="s">
        <v>107</v>
      </c>
      <c r="D13" s="7" t="s">
        <v>108</v>
      </c>
      <c r="E13" s="7" t="s">
        <v>200</v>
      </c>
      <c r="F13" s="7" t="s">
        <v>201</v>
      </c>
    </row>
    <row r="14" spans="1:7" ht="43.2" x14ac:dyDescent="0.3">
      <c r="A14" s="7" t="s">
        <v>109</v>
      </c>
      <c r="B14" s="7" t="s">
        <v>94</v>
      </c>
      <c r="C14" s="7" t="s">
        <v>110</v>
      </c>
      <c r="E14" s="7" t="s">
        <v>202</v>
      </c>
      <c r="F14" s="7" t="s">
        <v>203</v>
      </c>
    </row>
    <row r="15" spans="1:7" ht="28.8" x14ac:dyDescent="0.3">
      <c r="A15" s="7" t="s">
        <v>111</v>
      </c>
      <c r="B15" s="7" t="s">
        <v>94</v>
      </c>
      <c r="C15" s="7" t="s">
        <v>183</v>
      </c>
      <c r="E15" s="7" t="s">
        <v>204</v>
      </c>
      <c r="F15" s="7" t="s">
        <v>12</v>
      </c>
    </row>
    <row r="16" spans="1:7" ht="28.8" x14ac:dyDescent="0.3">
      <c r="A16" s="7" t="s">
        <v>112</v>
      </c>
      <c r="B16" s="7" t="s">
        <v>92</v>
      </c>
      <c r="C16" s="7" t="s">
        <v>183</v>
      </c>
      <c r="E16" s="7" t="s">
        <v>205</v>
      </c>
      <c r="F16" s="7" t="s">
        <v>206</v>
      </c>
    </row>
    <row r="17" spans="1:6" x14ac:dyDescent="0.3">
      <c r="A17" s="7" t="s">
        <v>113</v>
      </c>
      <c r="B17" s="7" t="s">
        <v>94</v>
      </c>
      <c r="C17" s="7" t="s">
        <v>207</v>
      </c>
      <c r="E17" s="7" t="s">
        <v>208</v>
      </c>
      <c r="F17" s="7" t="s">
        <v>209</v>
      </c>
    </row>
    <row r="18" spans="1:6" x14ac:dyDescent="0.3">
      <c r="A18" s="7" t="s">
        <v>114</v>
      </c>
    </row>
    <row r="19" spans="1:6" ht="28.8" x14ac:dyDescent="0.3">
      <c r="A19" s="7" t="s">
        <v>115</v>
      </c>
      <c r="B19" s="7" t="s">
        <v>94</v>
      </c>
      <c r="C19" s="7" t="s">
        <v>210</v>
      </c>
      <c r="E19" s="7" t="s">
        <v>199</v>
      </c>
      <c r="F19" s="7" t="s">
        <v>12</v>
      </c>
    </row>
    <row r="20" spans="1:6" x14ac:dyDescent="0.3">
      <c r="A20" s="7" t="s">
        <v>116</v>
      </c>
      <c r="C20" s="7" t="s">
        <v>117</v>
      </c>
      <c r="E20" s="7" t="s">
        <v>211</v>
      </c>
      <c r="F20" s="7" t="s">
        <v>193</v>
      </c>
    </row>
    <row r="21" spans="1:6" x14ac:dyDescent="0.3">
      <c r="A21" s="7" t="s">
        <v>118</v>
      </c>
      <c r="B21" s="1" t="s">
        <v>94</v>
      </c>
      <c r="C21" s="7" t="s">
        <v>119</v>
      </c>
      <c r="D21" s="7" t="s">
        <v>120</v>
      </c>
      <c r="E21" s="7" t="s">
        <v>212</v>
      </c>
      <c r="F21" s="7" t="s">
        <v>206</v>
      </c>
    </row>
    <row r="22" spans="1:6" x14ac:dyDescent="0.3">
      <c r="A22" s="7" t="s">
        <v>121</v>
      </c>
      <c r="B22" s="1" t="s">
        <v>94</v>
      </c>
      <c r="C22" s="7" t="s">
        <v>122</v>
      </c>
      <c r="E22" s="7" t="s">
        <v>213</v>
      </c>
      <c r="F22" s="7" t="s">
        <v>12</v>
      </c>
    </row>
    <row r="23" spans="1:6" x14ac:dyDescent="0.3">
      <c r="A23" s="7" t="s">
        <v>123</v>
      </c>
      <c r="B23" s="7" t="s">
        <v>94</v>
      </c>
      <c r="C23" s="7" t="s">
        <v>214</v>
      </c>
      <c r="E23" s="7" t="s">
        <v>215</v>
      </c>
      <c r="F23" s="7" t="s">
        <v>12</v>
      </c>
    </row>
    <row r="24" spans="1:6" x14ac:dyDescent="0.3">
      <c r="A24" s="7" t="s">
        <v>124</v>
      </c>
      <c r="B24" s="7" t="s">
        <v>94</v>
      </c>
      <c r="C24" s="7" t="s">
        <v>183</v>
      </c>
      <c r="E24" s="7" t="s">
        <v>216</v>
      </c>
      <c r="F24" s="7" t="s">
        <v>206</v>
      </c>
    </row>
    <row r="25" spans="1:6" ht="28.8" x14ac:dyDescent="0.3">
      <c r="A25" s="7" t="s">
        <v>125</v>
      </c>
      <c r="B25" s="7" t="s">
        <v>92</v>
      </c>
      <c r="C25" s="7" t="s">
        <v>217</v>
      </c>
      <c r="E25" s="7" t="s">
        <v>218</v>
      </c>
      <c r="F25" s="7" t="s">
        <v>12</v>
      </c>
    </row>
    <row r="26" spans="1:6" ht="28.8" x14ac:dyDescent="0.3">
      <c r="A26" s="7" t="s">
        <v>126</v>
      </c>
      <c r="B26" s="7" t="s">
        <v>94</v>
      </c>
      <c r="C26" s="7" t="s">
        <v>219</v>
      </c>
      <c r="E26" s="7" t="s">
        <v>218</v>
      </c>
      <c r="F26" s="7" t="s">
        <v>206</v>
      </c>
    </row>
    <row r="27" spans="1:6" x14ac:dyDescent="0.3">
      <c r="A27" s="7" t="s">
        <v>127</v>
      </c>
    </row>
    <row r="28" spans="1:6" x14ac:dyDescent="0.3">
      <c r="A28" s="7" t="s">
        <v>128</v>
      </c>
      <c r="B28" s="7" t="s">
        <v>94</v>
      </c>
      <c r="C28" s="7" t="s">
        <v>183</v>
      </c>
      <c r="E28" s="7" t="s">
        <v>220</v>
      </c>
      <c r="F28" s="7" t="s">
        <v>206</v>
      </c>
    </row>
    <row r="29" spans="1:6" ht="28.8" x14ac:dyDescent="0.3">
      <c r="A29" s="7" t="s">
        <v>129</v>
      </c>
      <c r="B29" s="7" t="s">
        <v>94</v>
      </c>
      <c r="C29" s="7" t="s">
        <v>210</v>
      </c>
      <c r="E29" s="7" t="s">
        <v>218</v>
      </c>
      <c r="F29" s="7"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90" zoomScaleNormal="90" workbookViewId="0">
      <pane ySplit="1" topLeftCell="A5" activePane="bottomLeft" state="frozen"/>
      <selection activeCell="B27" sqref="B27"/>
      <selection pane="bottomLeft" activeCell="H9" sqref="H9:H12"/>
    </sheetView>
  </sheetViews>
  <sheetFormatPr defaultColWidth="9.109375" defaultRowHeight="14.4" x14ac:dyDescent="0.3"/>
  <cols>
    <col min="1" max="1" width="6.88671875" style="1" bestFit="1" customWidth="1"/>
    <col min="2" max="2" width="7.5546875" style="1" bestFit="1" customWidth="1"/>
    <col min="3" max="3" width="17" style="1" bestFit="1" customWidth="1"/>
    <col min="4" max="4" width="56.44140625" style="1" customWidth="1"/>
    <col min="5" max="5" width="19.33203125" style="1" customWidth="1"/>
    <col min="6" max="6" width="20.109375" style="1" customWidth="1"/>
    <col min="7" max="7" width="7.6640625" style="1" bestFit="1" customWidth="1"/>
    <col min="8" max="8" width="15.109375" style="1" customWidth="1"/>
    <col min="9" max="9" width="28.44140625" style="1" bestFit="1" customWidth="1"/>
    <col min="10" max="10" width="66.6640625" style="7" customWidth="1"/>
    <col min="11" max="11" width="16.109375" style="1" bestFit="1" customWidth="1"/>
    <col min="12" max="12" width="26.44140625" style="1" bestFit="1" customWidth="1"/>
    <col min="13" max="16384" width="9.109375" style="1"/>
  </cols>
  <sheetData>
    <row r="1" spans="1:15" ht="31.5" customHeight="1" x14ac:dyDescent="0.3">
      <c r="A1" s="3" t="s">
        <v>2</v>
      </c>
      <c r="B1" s="3" t="s">
        <v>3</v>
      </c>
      <c r="C1" s="3" t="s">
        <v>130</v>
      </c>
      <c r="D1" s="3" t="s">
        <v>172</v>
      </c>
      <c r="E1" s="4" t="s">
        <v>5</v>
      </c>
      <c r="F1" s="4" t="s">
        <v>6</v>
      </c>
      <c r="G1" s="3" t="s">
        <v>7</v>
      </c>
      <c r="H1" s="4" t="s">
        <v>8</v>
      </c>
      <c r="I1" s="3" t="s">
        <v>0</v>
      </c>
      <c r="J1" s="4" t="s">
        <v>9</v>
      </c>
      <c r="K1" s="5"/>
      <c r="L1" s="5"/>
      <c r="M1" s="5"/>
      <c r="N1" s="5"/>
      <c r="O1" s="5"/>
    </row>
    <row r="2" spans="1:15" ht="57.6" x14ac:dyDescent="0.3">
      <c r="A2" s="2">
        <v>1</v>
      </c>
      <c r="B2" s="6">
        <v>42762</v>
      </c>
      <c r="C2" s="7" t="s">
        <v>131</v>
      </c>
      <c r="D2" s="7" t="s">
        <v>132</v>
      </c>
      <c r="E2" s="1">
        <v>10</v>
      </c>
      <c r="F2" s="7">
        <v>16</v>
      </c>
      <c r="G2" s="7"/>
      <c r="H2" s="1" t="s">
        <v>24</v>
      </c>
      <c r="I2" s="1" t="s">
        <v>133</v>
      </c>
      <c r="J2" s="7" t="s">
        <v>134</v>
      </c>
    </row>
    <row r="3" spans="1:15" ht="43.2" x14ac:dyDescent="0.3">
      <c r="A3" s="2">
        <v>2</v>
      </c>
      <c r="B3" s="6">
        <v>42763</v>
      </c>
      <c r="C3" s="7" t="s">
        <v>131</v>
      </c>
      <c r="D3" s="7" t="s">
        <v>135</v>
      </c>
      <c r="E3" s="1">
        <v>8</v>
      </c>
      <c r="F3" s="7">
        <v>60</v>
      </c>
      <c r="G3" s="7"/>
      <c r="H3" s="1" t="s">
        <v>24</v>
      </c>
      <c r="I3" s="1" t="s">
        <v>136</v>
      </c>
    </row>
    <row r="4" spans="1:15" ht="86.4" x14ac:dyDescent="0.3">
      <c r="A4" s="2">
        <v>3</v>
      </c>
      <c r="B4" s="6">
        <v>42796</v>
      </c>
      <c r="C4" s="7" t="s">
        <v>131</v>
      </c>
      <c r="D4" s="7" t="s">
        <v>137</v>
      </c>
      <c r="E4" s="1">
        <v>10</v>
      </c>
      <c r="F4" s="7">
        <v>60</v>
      </c>
      <c r="G4" s="7"/>
      <c r="H4" s="1" t="s">
        <v>24</v>
      </c>
      <c r="I4" s="1" t="s">
        <v>133</v>
      </c>
      <c r="J4" s="7" t="s">
        <v>134</v>
      </c>
    </row>
    <row r="5" spans="1:15" ht="43.2" x14ac:dyDescent="0.3">
      <c r="A5" s="2">
        <v>4</v>
      </c>
      <c r="B5" s="6">
        <v>42809</v>
      </c>
      <c r="C5" s="7" t="s">
        <v>131</v>
      </c>
      <c r="D5" s="7" t="s">
        <v>138</v>
      </c>
      <c r="E5" s="1">
        <v>10</v>
      </c>
      <c r="F5" s="7">
        <v>40</v>
      </c>
      <c r="G5" s="7"/>
      <c r="H5" s="1" t="s">
        <v>24</v>
      </c>
      <c r="I5" s="1" t="s">
        <v>139</v>
      </c>
      <c r="J5" s="7" t="s">
        <v>140</v>
      </c>
      <c r="N5" s="8"/>
    </row>
    <row r="6" spans="1:15" ht="72" x14ac:dyDescent="0.3">
      <c r="A6" s="2">
        <v>5</v>
      </c>
      <c r="B6" s="6">
        <v>42809</v>
      </c>
      <c r="C6" s="7" t="s">
        <v>131</v>
      </c>
      <c r="D6" s="7" t="s">
        <v>141</v>
      </c>
      <c r="E6" s="1">
        <v>4</v>
      </c>
      <c r="F6" s="7">
        <v>10</v>
      </c>
      <c r="G6" s="7"/>
      <c r="H6" s="1" t="s">
        <v>24</v>
      </c>
      <c r="I6" s="1" t="s">
        <v>133</v>
      </c>
      <c r="J6" s="7" t="s">
        <v>142</v>
      </c>
    </row>
    <row r="7" spans="1:15" ht="100.8" x14ac:dyDescent="0.3">
      <c r="A7" s="2">
        <v>6</v>
      </c>
      <c r="B7" s="6">
        <v>42850</v>
      </c>
      <c r="C7" s="7" t="s">
        <v>131</v>
      </c>
      <c r="D7" s="7" t="s">
        <v>143</v>
      </c>
      <c r="E7" s="1">
        <v>80</v>
      </c>
      <c r="F7" s="1">
        <v>180</v>
      </c>
      <c r="H7" s="1" t="s">
        <v>144</v>
      </c>
      <c r="I7" s="1" t="s">
        <v>145</v>
      </c>
      <c r="J7" s="7" t="s">
        <v>146</v>
      </c>
    </row>
    <row r="8" spans="1:15" ht="27.75" customHeight="1" x14ac:dyDescent="0.3">
      <c r="A8" s="2">
        <v>7</v>
      </c>
      <c r="B8" s="6">
        <v>42855</v>
      </c>
      <c r="C8" s="7" t="s">
        <v>131</v>
      </c>
      <c r="D8" s="7" t="s">
        <v>147</v>
      </c>
      <c r="E8" s="1">
        <v>16</v>
      </c>
      <c r="F8" s="7">
        <f>(((8*180)/3)/60)*12</f>
        <v>96</v>
      </c>
      <c r="G8" s="7"/>
      <c r="H8" s="1" t="s">
        <v>144</v>
      </c>
      <c r="I8" s="1" t="s">
        <v>145</v>
      </c>
      <c r="J8" s="7" t="s">
        <v>148</v>
      </c>
    </row>
    <row r="9" spans="1:15" ht="43.2" x14ac:dyDescent="0.3">
      <c r="A9" s="2">
        <v>8</v>
      </c>
      <c r="B9" s="6">
        <v>42860</v>
      </c>
      <c r="C9" s="7" t="s">
        <v>149</v>
      </c>
      <c r="D9" s="10" t="s">
        <v>150</v>
      </c>
      <c r="E9" s="1">
        <v>80</v>
      </c>
      <c r="F9" s="1">
        <v>365</v>
      </c>
      <c r="H9" s="1" t="s">
        <v>144</v>
      </c>
      <c r="I9" s="1" t="s">
        <v>151</v>
      </c>
    </row>
    <row r="10" spans="1:15" x14ac:dyDescent="0.3">
      <c r="A10" s="2">
        <v>9</v>
      </c>
      <c r="B10" s="6">
        <v>42916</v>
      </c>
      <c r="C10" s="7" t="s">
        <v>149</v>
      </c>
      <c r="D10" s="10" t="s">
        <v>152</v>
      </c>
      <c r="E10" s="1">
        <v>80</v>
      </c>
      <c r="F10" s="1">
        <f>52*2</f>
        <v>104</v>
      </c>
      <c r="H10" s="1" t="s">
        <v>12</v>
      </c>
      <c r="I10" s="1" t="s">
        <v>151</v>
      </c>
    </row>
    <row r="11" spans="1:15" ht="28.8" x14ac:dyDescent="0.3">
      <c r="A11" s="2">
        <v>10</v>
      </c>
      <c r="B11" s="6">
        <v>42870</v>
      </c>
      <c r="C11" s="7" t="s">
        <v>149</v>
      </c>
      <c r="D11" s="10" t="s">
        <v>153</v>
      </c>
      <c r="E11" s="1">
        <v>80</v>
      </c>
      <c r="F11" s="1">
        <f>5*52</f>
        <v>260</v>
      </c>
      <c r="H11" s="1" t="s">
        <v>144</v>
      </c>
      <c r="I11" s="1" t="s">
        <v>154</v>
      </c>
    </row>
    <row r="12" spans="1:15" ht="57.6" x14ac:dyDescent="0.3">
      <c r="A12" s="2">
        <v>11</v>
      </c>
      <c r="B12" s="6">
        <v>42886</v>
      </c>
      <c r="C12" s="7" t="s">
        <v>149</v>
      </c>
      <c r="D12" s="10" t="s">
        <v>155</v>
      </c>
      <c r="E12" s="1">
        <v>40</v>
      </c>
      <c r="F12" s="1">
        <f>4*52</f>
        <v>208</v>
      </c>
      <c r="H12" s="1" t="s">
        <v>144</v>
      </c>
      <c r="I12" s="1" t="s">
        <v>154</v>
      </c>
    </row>
    <row r="13" spans="1:15" x14ac:dyDescent="0.3">
      <c r="A13" s="2"/>
      <c r="B13" s="6"/>
      <c r="D13" s="11"/>
      <c r="E13"/>
    </row>
    <row r="14" spans="1:15" x14ac:dyDescent="0.3">
      <c r="A14" s="2"/>
      <c r="B14" s="6"/>
      <c r="D14" s="12"/>
    </row>
    <row r="15" spans="1:15" x14ac:dyDescent="0.3">
      <c r="A15" s="2"/>
      <c r="B15" s="6"/>
      <c r="D15" s="12"/>
    </row>
    <row r="16" spans="1:15" x14ac:dyDescent="0.3">
      <c r="A16" s="2"/>
      <c r="B16" s="6"/>
      <c r="E16" s="7"/>
      <c r="H16" s="7"/>
    </row>
    <row r="17" spans="1:5" x14ac:dyDescent="0.3">
      <c r="A17" s="2"/>
      <c r="B17" s="6"/>
      <c r="E17" s="7"/>
    </row>
    <row r="18" spans="1:5" x14ac:dyDescent="0.3">
      <c r="A18" s="2"/>
      <c r="B18" s="6"/>
      <c r="E18" s="7"/>
    </row>
    <row r="19" spans="1:5" x14ac:dyDescent="0.3">
      <c r="A19" s="2"/>
      <c r="B19" s="6"/>
      <c r="E19" s="7"/>
    </row>
    <row r="20" spans="1:5" x14ac:dyDescent="0.3">
      <c r="A20" s="2"/>
      <c r="B20" s="6"/>
    </row>
    <row r="21" spans="1:5" x14ac:dyDescent="0.3">
      <c r="A21" s="2"/>
      <c r="B21" s="6"/>
    </row>
    <row r="22" spans="1:5" x14ac:dyDescent="0.3">
      <c r="A22" s="2"/>
      <c r="B22" s="6"/>
    </row>
    <row r="23" spans="1:5" x14ac:dyDescent="0.3">
      <c r="A23" s="2"/>
      <c r="B23" s="6"/>
    </row>
    <row r="24" spans="1:5" x14ac:dyDescent="0.3">
      <c r="A24" s="2"/>
      <c r="B24" s="6"/>
    </row>
    <row r="25" spans="1:5" x14ac:dyDescent="0.3">
      <c r="A25" s="2"/>
      <c r="B25" s="6"/>
    </row>
    <row r="26" spans="1:5" x14ac:dyDescent="0.3">
      <c r="A26" s="2"/>
      <c r="B26" s="6"/>
    </row>
    <row r="27" spans="1:5" x14ac:dyDescent="0.3">
      <c r="A27" s="2"/>
      <c r="B27" s="6"/>
    </row>
    <row r="28" spans="1:5" x14ac:dyDescent="0.3">
      <c r="A28" s="2"/>
      <c r="B28" s="6"/>
    </row>
    <row r="29" spans="1:5" x14ac:dyDescent="0.3">
      <c r="A29" s="2"/>
      <c r="B29" s="6"/>
    </row>
    <row r="30" spans="1:5" x14ac:dyDescent="0.3">
      <c r="A30" s="2"/>
      <c r="B30" s="6"/>
    </row>
    <row r="31" spans="1:5" x14ac:dyDescent="0.3">
      <c r="A31" s="2"/>
      <c r="B31"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J2" sqref="J2:J9"/>
    </sheetView>
  </sheetViews>
  <sheetFormatPr defaultRowHeight="14.4" x14ac:dyDescent="0.3"/>
  <cols>
    <col min="1" max="1" width="6.6640625" style="17" bestFit="1" customWidth="1"/>
    <col min="2" max="2" width="4.88671875" style="17" bestFit="1" customWidth="1"/>
    <col min="3" max="3" width="16.109375" style="17" bestFit="1" customWidth="1"/>
    <col min="4" max="4" width="82.21875" style="17" customWidth="1"/>
    <col min="5" max="5" width="17.5546875" style="17" customWidth="1"/>
    <col min="6" max="6" width="21.6640625" style="17" customWidth="1"/>
    <col min="7" max="7" width="7.109375" style="17" bestFit="1" customWidth="1"/>
    <col min="8" max="8" width="20.44140625" style="17" bestFit="1" customWidth="1"/>
    <col min="9" max="9" width="11" style="17" bestFit="1" customWidth="1"/>
    <col min="10" max="10" width="10.109375" style="17" bestFit="1" customWidth="1"/>
    <col min="11" max="16384" width="8.88671875" style="17"/>
  </cols>
  <sheetData>
    <row r="1" spans="1:10" ht="28.8" x14ac:dyDescent="0.3">
      <c r="A1" s="16" t="s">
        <v>2</v>
      </c>
      <c r="B1" s="16" t="s">
        <v>3</v>
      </c>
      <c r="C1" s="16" t="s">
        <v>130</v>
      </c>
      <c r="D1" s="3" t="s">
        <v>172</v>
      </c>
      <c r="E1" s="16" t="s">
        <v>5</v>
      </c>
      <c r="F1" s="16" t="s">
        <v>6</v>
      </c>
      <c r="G1" s="16" t="s">
        <v>7</v>
      </c>
      <c r="H1" s="16" t="s">
        <v>8</v>
      </c>
      <c r="I1" s="16" t="s">
        <v>0</v>
      </c>
      <c r="J1" s="16" t="s">
        <v>9</v>
      </c>
    </row>
    <row r="2" spans="1:10" ht="57.6" x14ac:dyDescent="0.3">
      <c r="A2" s="18"/>
      <c r="B2" s="19"/>
      <c r="C2" s="15"/>
      <c r="D2" s="15" t="s">
        <v>156</v>
      </c>
      <c r="E2" s="15" t="s">
        <v>186</v>
      </c>
      <c r="F2" s="15">
        <f>0.5*22*12</f>
        <v>132</v>
      </c>
      <c r="G2" s="15" t="s">
        <v>99</v>
      </c>
      <c r="H2" s="15" t="s">
        <v>24</v>
      </c>
      <c r="I2" s="15"/>
      <c r="J2" s="15"/>
    </row>
    <row r="3" spans="1:10" ht="43.2" x14ac:dyDescent="0.3">
      <c r="D3" s="15" t="s">
        <v>157</v>
      </c>
      <c r="E3" s="17" t="s">
        <v>175</v>
      </c>
      <c r="F3" s="17" t="s">
        <v>183</v>
      </c>
      <c r="G3" s="17" t="s">
        <v>99</v>
      </c>
      <c r="H3" s="17" t="s">
        <v>180</v>
      </c>
      <c r="J3" s="17" t="s">
        <v>187</v>
      </c>
    </row>
    <row r="4" spans="1:10" ht="43.2" x14ac:dyDescent="0.3">
      <c r="D4" s="15" t="s">
        <v>158</v>
      </c>
      <c r="G4" s="17" t="s">
        <v>99</v>
      </c>
      <c r="H4" s="17" t="s">
        <v>180</v>
      </c>
      <c r="J4" s="17" t="s">
        <v>188</v>
      </c>
    </row>
    <row r="5" spans="1:10" ht="86.4" x14ac:dyDescent="0.3">
      <c r="D5" s="15" t="s">
        <v>159</v>
      </c>
      <c r="F5" s="17" t="s">
        <v>190</v>
      </c>
      <c r="G5" s="17" t="s">
        <v>99</v>
      </c>
      <c r="H5" s="17" t="s">
        <v>180</v>
      </c>
      <c r="J5" s="17" t="s">
        <v>189</v>
      </c>
    </row>
    <row r="6" spans="1:10" ht="57.6" x14ac:dyDescent="0.3">
      <c r="D6" s="15" t="s">
        <v>160</v>
      </c>
      <c r="G6" s="17" t="s">
        <v>99</v>
      </c>
      <c r="H6" s="17" t="s">
        <v>180</v>
      </c>
      <c r="J6" s="17" t="s">
        <v>191</v>
      </c>
    </row>
    <row r="7" spans="1:10" ht="43.2" x14ac:dyDescent="0.3">
      <c r="D7" s="15" t="s">
        <v>161</v>
      </c>
      <c r="F7" s="17" t="s">
        <v>183</v>
      </c>
      <c r="G7" s="17" t="s">
        <v>99</v>
      </c>
    </row>
    <row r="8" spans="1:10" ht="28.8" x14ac:dyDescent="0.3">
      <c r="D8" s="15" t="s">
        <v>162</v>
      </c>
      <c r="G8" s="17" t="s">
        <v>99</v>
      </c>
    </row>
    <row r="9" spans="1:10" ht="28.8" x14ac:dyDescent="0.3">
      <c r="D9" s="1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3" sqref="D3"/>
    </sheetView>
  </sheetViews>
  <sheetFormatPr defaultRowHeight="14.4" x14ac:dyDescent="0.3"/>
  <cols>
    <col min="1" max="1" width="6.6640625" style="17" bestFit="1" customWidth="1"/>
    <col min="2" max="2" width="4.88671875" style="17" bestFit="1" customWidth="1"/>
    <col min="3" max="3" width="16.109375" style="17" bestFit="1" customWidth="1"/>
    <col min="4" max="4" width="82.21875" style="17" customWidth="1"/>
    <col min="5" max="5" width="17.5546875" style="17" customWidth="1"/>
    <col min="6" max="6" width="21.6640625" style="17" customWidth="1"/>
    <col min="7" max="7" width="7.109375" style="17" bestFit="1" customWidth="1"/>
    <col min="8" max="8" width="20.44140625" style="17" bestFit="1" customWidth="1"/>
    <col min="9" max="9" width="11" style="17" bestFit="1" customWidth="1"/>
    <col min="10" max="10" width="10.109375" style="17" bestFit="1" customWidth="1"/>
    <col min="11" max="16384" width="8.88671875" style="17"/>
  </cols>
  <sheetData>
    <row r="1" spans="1:10" ht="28.8" x14ac:dyDescent="0.3">
      <c r="A1" s="16" t="s">
        <v>2</v>
      </c>
      <c r="B1" s="16" t="s">
        <v>3</v>
      </c>
      <c r="C1" s="16" t="s">
        <v>130</v>
      </c>
      <c r="D1" s="3" t="s">
        <v>172</v>
      </c>
      <c r="E1" s="16" t="s">
        <v>5</v>
      </c>
      <c r="F1" s="16" t="s">
        <v>6</v>
      </c>
      <c r="G1" s="16" t="s">
        <v>7</v>
      </c>
      <c r="H1" s="16" t="s">
        <v>8</v>
      </c>
      <c r="I1" s="16" t="s">
        <v>0</v>
      </c>
      <c r="J1" s="16" t="s">
        <v>9</v>
      </c>
    </row>
    <row r="2" spans="1:10" ht="144" x14ac:dyDescent="0.3">
      <c r="A2" s="18"/>
      <c r="B2" s="19"/>
      <c r="C2" s="15"/>
      <c r="D2" s="15" t="s">
        <v>164</v>
      </c>
      <c r="E2" s="15"/>
      <c r="F2" s="15"/>
      <c r="G2" s="15"/>
      <c r="H2" s="15"/>
      <c r="I2" s="15"/>
      <c r="J2" s="15"/>
    </row>
    <row r="3" spans="1:10" x14ac:dyDescent="0.3">
      <c r="D3" s="15"/>
    </row>
    <row r="4" spans="1:10" x14ac:dyDescent="0.3">
      <c r="D4" s="15"/>
    </row>
    <row r="5" spans="1:10" x14ac:dyDescent="0.3">
      <c r="D5" s="15"/>
    </row>
    <row r="6" spans="1:10" x14ac:dyDescent="0.3">
      <c r="D6" s="15"/>
    </row>
    <row r="7" spans="1:10" x14ac:dyDescent="0.3">
      <c r="D7" s="15"/>
    </row>
    <row r="8" spans="1:10" x14ac:dyDescent="0.3">
      <c r="D8" s="15"/>
    </row>
    <row r="9" spans="1:10" x14ac:dyDescent="0.3">
      <c r="D9" s="1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2" sqref="D2:D4"/>
    </sheetView>
  </sheetViews>
  <sheetFormatPr defaultRowHeight="14.4" x14ac:dyDescent="0.3"/>
  <cols>
    <col min="1" max="1" width="6.6640625" bestFit="1" customWidth="1"/>
    <col min="2" max="2" width="4.88671875" bestFit="1" customWidth="1"/>
    <col min="3" max="3" width="14.33203125" customWidth="1"/>
    <col min="4" max="4" width="60.6640625" bestFit="1" customWidth="1"/>
    <col min="5" max="5" width="13.5546875" bestFit="1" customWidth="1"/>
    <col min="6" max="6" width="16.5546875" bestFit="1" customWidth="1"/>
    <col min="7" max="7" width="7.109375" bestFit="1" customWidth="1"/>
    <col min="8" max="8" width="11" bestFit="1" customWidth="1"/>
    <col min="9" max="9" width="8.44140625" bestFit="1" customWidth="1"/>
    <col min="10" max="10" width="8.6640625" bestFit="1" customWidth="1"/>
  </cols>
  <sheetData>
    <row r="1" spans="1:10" s="17" customFormat="1" ht="28.8" x14ac:dyDescent="0.3">
      <c r="A1" s="16" t="s">
        <v>2</v>
      </c>
      <c r="B1" s="16" t="s">
        <v>3</v>
      </c>
      <c r="C1" s="16" t="s">
        <v>130</v>
      </c>
      <c r="D1" s="3" t="s">
        <v>172</v>
      </c>
      <c r="E1" s="16" t="s">
        <v>5</v>
      </c>
      <c r="F1" s="16" t="s">
        <v>6</v>
      </c>
      <c r="G1" s="16" t="s">
        <v>7</v>
      </c>
      <c r="H1" s="16" t="s">
        <v>8</v>
      </c>
      <c r="I1" s="16" t="s">
        <v>0</v>
      </c>
      <c r="J1" s="16" t="s">
        <v>9</v>
      </c>
    </row>
    <row r="2" spans="1:10" s="17" customFormat="1" ht="57.6" x14ac:dyDescent="0.3">
      <c r="A2" s="18"/>
      <c r="B2" s="19"/>
      <c r="C2" s="15"/>
      <c r="D2" s="15" t="s">
        <v>169</v>
      </c>
      <c r="E2" s="15"/>
      <c r="F2" s="15"/>
      <c r="G2" s="15"/>
      <c r="H2" s="15"/>
      <c r="I2" s="15"/>
      <c r="J2" s="15"/>
    </row>
    <row r="3" spans="1:10" x14ac:dyDescent="0.3">
      <c r="D3" s="15" t="s">
        <v>170</v>
      </c>
    </row>
    <row r="4" spans="1:10" ht="28.8" x14ac:dyDescent="0.3">
      <c r="D4" s="15" t="s">
        <v>171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F2" sqref="F2"/>
    </sheetView>
  </sheetViews>
  <sheetFormatPr defaultRowHeight="14.4" x14ac:dyDescent="0.3"/>
  <cols>
    <col min="1" max="1" width="6.6640625" style="14" bestFit="1" customWidth="1"/>
    <col min="2" max="2" width="4.88671875" style="14" bestFit="1" customWidth="1"/>
    <col min="3" max="3" width="15.21875" style="14" customWidth="1"/>
    <col min="4" max="4" width="93.21875" style="14" customWidth="1"/>
    <col min="5" max="5" width="13.5546875" style="14" bestFit="1" customWidth="1"/>
    <col min="6" max="6" width="16.5546875" style="14" bestFit="1" customWidth="1"/>
    <col min="7" max="7" width="7.109375" style="14" bestFit="1" customWidth="1"/>
    <col min="8" max="8" width="11" style="14" bestFit="1" customWidth="1"/>
    <col min="9" max="9" width="8.44140625" style="14" bestFit="1" customWidth="1"/>
    <col min="10" max="10" width="21" style="14" customWidth="1"/>
    <col min="11" max="16384" width="8.88671875" style="14"/>
  </cols>
  <sheetData>
    <row r="1" spans="1:10" s="17" customFormat="1" ht="28.8" x14ac:dyDescent="0.3">
      <c r="A1" s="16" t="s">
        <v>2</v>
      </c>
      <c r="B1" s="16" t="s">
        <v>3</v>
      </c>
      <c r="C1" s="16" t="s">
        <v>130</v>
      </c>
      <c r="D1" s="3" t="s">
        <v>172</v>
      </c>
      <c r="E1" s="16" t="s">
        <v>5</v>
      </c>
      <c r="F1" s="16" t="s">
        <v>6</v>
      </c>
      <c r="G1" s="16" t="s">
        <v>7</v>
      </c>
      <c r="H1" s="16" t="s">
        <v>8</v>
      </c>
      <c r="I1" s="16" t="s">
        <v>0</v>
      </c>
      <c r="J1" s="16" t="s">
        <v>9</v>
      </c>
    </row>
    <row r="2" spans="1:10" ht="201.6" x14ac:dyDescent="0.3">
      <c r="D2" s="17" t="s">
        <v>173</v>
      </c>
      <c r="E2" s="14" t="s">
        <v>175</v>
      </c>
      <c r="F2" s="14">
        <f>5*22*12</f>
        <v>1320</v>
      </c>
      <c r="G2" s="14" t="s">
        <v>99</v>
      </c>
      <c r="H2" s="14" t="s">
        <v>24</v>
      </c>
      <c r="I2" s="14" t="s">
        <v>176</v>
      </c>
      <c r="J2" s="17" t="s">
        <v>174</v>
      </c>
    </row>
    <row r="3" spans="1:10" ht="28.8" x14ac:dyDescent="0.3">
      <c r="D3" s="17" t="s">
        <v>178</v>
      </c>
      <c r="E3" s="14" t="s">
        <v>175</v>
      </c>
      <c r="F3" s="14" t="s">
        <v>177</v>
      </c>
      <c r="G3" s="14" t="s">
        <v>92</v>
      </c>
      <c r="H3" s="14" t="s">
        <v>12</v>
      </c>
      <c r="J3" s="17"/>
    </row>
    <row r="4" spans="1:10" ht="43.2" x14ac:dyDescent="0.3">
      <c r="D4" s="17" t="s">
        <v>179</v>
      </c>
      <c r="E4" s="14" t="s">
        <v>175</v>
      </c>
      <c r="F4" s="14">
        <f>5*5</f>
        <v>25</v>
      </c>
      <c r="G4" s="14" t="s">
        <v>99</v>
      </c>
      <c r="H4" s="14" t="s">
        <v>180</v>
      </c>
      <c r="J4" s="17" t="s">
        <v>181</v>
      </c>
    </row>
    <row r="5" spans="1:10" ht="43.2" x14ac:dyDescent="0.3">
      <c r="D5" s="14" t="s">
        <v>185</v>
      </c>
      <c r="E5" s="14" t="s">
        <v>182</v>
      </c>
      <c r="F5" s="14" t="s">
        <v>183</v>
      </c>
      <c r="G5" s="14" t="s">
        <v>94</v>
      </c>
      <c r="H5" s="14" t="s">
        <v>24</v>
      </c>
      <c r="J5" s="17" t="s">
        <v>184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F58"/>
  <sheetViews>
    <sheetView zoomScale="80" zoomScaleNormal="80" workbookViewId="0">
      <selection activeCell="F11" sqref="F11"/>
    </sheetView>
  </sheetViews>
  <sheetFormatPr defaultRowHeight="14.4" x14ac:dyDescent="0.3"/>
  <cols>
    <col min="1" max="2" width="8.88671875" style="13"/>
    <col min="3" max="3" width="10" style="13" bestFit="1" customWidth="1"/>
    <col min="4" max="4" width="5.5546875" style="13" bestFit="1" customWidth="1"/>
    <col min="5" max="5" width="94.88671875" style="13" bestFit="1" customWidth="1"/>
    <col min="6" max="6" width="102.44140625" style="13" customWidth="1"/>
    <col min="7" max="16384" width="8.88671875" style="13"/>
  </cols>
  <sheetData>
    <row r="1" spans="2:6" ht="15" x14ac:dyDescent="0.3">
      <c r="C1" s="22" t="s">
        <v>305</v>
      </c>
      <c r="D1" s="22" t="s">
        <v>222</v>
      </c>
      <c r="E1" s="22" t="s">
        <v>172</v>
      </c>
      <c r="F1" s="22" t="s">
        <v>9</v>
      </c>
    </row>
    <row r="2" spans="2:6" ht="15" x14ac:dyDescent="0.3">
      <c r="B2" s="23"/>
      <c r="C2" s="21" t="s">
        <v>304</v>
      </c>
      <c r="D2" s="21" t="s">
        <v>223</v>
      </c>
      <c r="E2" s="21" t="s">
        <v>224</v>
      </c>
      <c r="F2" s="21"/>
    </row>
    <row r="3" spans="2:6" ht="45" x14ac:dyDescent="0.3">
      <c r="B3" s="23"/>
      <c r="C3" s="21" t="s">
        <v>304</v>
      </c>
      <c r="D3" s="21" t="s">
        <v>225</v>
      </c>
      <c r="E3" s="21" t="s">
        <v>226</v>
      </c>
      <c r="F3" s="21" t="s">
        <v>227</v>
      </c>
    </row>
    <row r="4" spans="2:6" ht="15" hidden="1" x14ac:dyDescent="0.3">
      <c r="B4" s="23"/>
      <c r="C4" s="21"/>
      <c r="D4" s="21" t="s">
        <v>225</v>
      </c>
      <c r="E4" s="21" t="s">
        <v>228</v>
      </c>
      <c r="F4" s="21" t="s">
        <v>229</v>
      </c>
    </row>
    <row r="5" spans="2:6" ht="15" hidden="1" x14ac:dyDescent="0.3">
      <c r="B5" s="23"/>
      <c r="C5" s="21"/>
      <c r="D5" s="21" t="s">
        <v>225</v>
      </c>
      <c r="E5" s="21" t="s">
        <v>230</v>
      </c>
      <c r="F5" s="21"/>
    </row>
    <row r="6" spans="2:6" ht="15" x14ac:dyDescent="0.3">
      <c r="B6" s="23"/>
      <c r="C6" s="21" t="s">
        <v>304</v>
      </c>
      <c r="D6" s="21" t="s">
        <v>225</v>
      </c>
      <c r="E6" s="21" t="s">
        <v>231</v>
      </c>
      <c r="F6" s="21" t="s">
        <v>232</v>
      </c>
    </row>
    <row r="7" spans="2:6" ht="15" x14ac:dyDescent="0.3">
      <c r="B7" s="23"/>
      <c r="C7" s="21" t="s">
        <v>304</v>
      </c>
      <c r="D7" s="21" t="s">
        <v>225</v>
      </c>
      <c r="E7" s="21" t="s">
        <v>233</v>
      </c>
      <c r="F7" s="21"/>
    </row>
    <row r="8" spans="2:6" ht="60" x14ac:dyDescent="0.3">
      <c r="B8" s="23"/>
      <c r="C8" s="21" t="s">
        <v>304</v>
      </c>
      <c r="D8" s="21" t="s">
        <v>223</v>
      </c>
      <c r="E8" s="21" t="s">
        <v>234</v>
      </c>
      <c r="F8" s="21" t="s">
        <v>235</v>
      </c>
    </row>
    <row r="9" spans="2:6" ht="45" x14ac:dyDescent="0.3">
      <c r="B9" s="23"/>
      <c r="C9" s="21" t="s">
        <v>304</v>
      </c>
      <c r="D9" s="21" t="s">
        <v>223</v>
      </c>
      <c r="E9" s="21" t="s">
        <v>236</v>
      </c>
      <c r="F9" s="21" t="s">
        <v>237</v>
      </c>
    </row>
    <row r="10" spans="2:6" ht="15" x14ac:dyDescent="0.3">
      <c r="B10" s="23"/>
      <c r="C10" s="21" t="s">
        <v>304</v>
      </c>
      <c r="D10" s="21" t="s">
        <v>223</v>
      </c>
      <c r="E10" s="21" t="s">
        <v>238</v>
      </c>
      <c r="F10" s="21"/>
    </row>
    <row r="11" spans="2:6" ht="50.4" customHeight="1" x14ac:dyDescent="0.3">
      <c r="B11" s="23"/>
      <c r="C11" s="21" t="s">
        <v>304</v>
      </c>
      <c r="D11" s="21" t="s">
        <v>223</v>
      </c>
      <c r="E11" s="21" t="s">
        <v>239</v>
      </c>
      <c r="F11" s="21" t="s">
        <v>240</v>
      </c>
    </row>
    <row r="12" spans="2:6" ht="30" x14ac:dyDescent="0.3">
      <c r="B12" s="23"/>
      <c r="C12" s="21" t="s">
        <v>304</v>
      </c>
      <c r="D12" s="21" t="s">
        <v>223</v>
      </c>
      <c r="E12" s="21" t="s">
        <v>241</v>
      </c>
      <c r="F12" s="21" t="s">
        <v>242</v>
      </c>
    </row>
    <row r="13" spans="2:6" ht="15" hidden="1" x14ac:dyDescent="0.3">
      <c r="B13" s="23"/>
      <c r="C13" s="21"/>
      <c r="D13" s="21" t="s">
        <v>223</v>
      </c>
      <c r="E13" s="21" t="s">
        <v>243</v>
      </c>
      <c r="F13" s="21" t="s">
        <v>244</v>
      </c>
    </row>
    <row r="14" spans="2:6" ht="15" x14ac:dyDescent="0.3">
      <c r="B14" s="23"/>
      <c r="C14" s="21" t="s">
        <v>304</v>
      </c>
      <c r="D14" s="21" t="s">
        <v>225</v>
      </c>
      <c r="E14" s="21" t="s">
        <v>245</v>
      </c>
      <c r="F14" s="21"/>
    </row>
    <row r="15" spans="2:6" ht="15" x14ac:dyDescent="0.3">
      <c r="B15" s="23"/>
      <c r="C15" s="21" t="s">
        <v>304</v>
      </c>
      <c r="D15" s="21" t="s">
        <v>225</v>
      </c>
      <c r="E15" s="21" t="s">
        <v>246</v>
      </c>
      <c r="F15" s="21"/>
    </row>
    <row r="16" spans="2:6" ht="15" x14ac:dyDescent="0.3">
      <c r="B16" s="23"/>
      <c r="C16" s="21" t="s">
        <v>304</v>
      </c>
      <c r="D16" s="21" t="s">
        <v>225</v>
      </c>
      <c r="E16" s="21" t="s">
        <v>247</v>
      </c>
      <c r="F16" s="21"/>
    </row>
    <row r="17" spans="2:6" ht="15" x14ac:dyDescent="0.3">
      <c r="B17" s="23"/>
      <c r="C17" s="21" t="s">
        <v>304</v>
      </c>
      <c r="D17" s="21" t="s">
        <v>223</v>
      </c>
      <c r="E17" s="21" t="s">
        <v>248</v>
      </c>
      <c r="F17" s="21"/>
    </row>
    <row r="18" spans="2:6" ht="15" x14ac:dyDescent="0.3">
      <c r="B18" s="23"/>
      <c r="C18" s="21" t="s">
        <v>304</v>
      </c>
      <c r="D18" s="21" t="s">
        <v>223</v>
      </c>
      <c r="E18" s="21" t="s">
        <v>249</v>
      </c>
      <c r="F18" s="21"/>
    </row>
    <row r="19" spans="2:6" ht="15" x14ac:dyDescent="0.3">
      <c r="B19" s="23"/>
      <c r="C19" s="21" t="s">
        <v>304</v>
      </c>
      <c r="D19" s="21" t="s">
        <v>223</v>
      </c>
      <c r="E19" s="21" t="s">
        <v>250</v>
      </c>
      <c r="F19" s="21"/>
    </row>
    <row r="20" spans="2:6" ht="15" x14ac:dyDescent="0.3">
      <c r="B20" s="23"/>
      <c r="C20" s="21" t="s">
        <v>304</v>
      </c>
      <c r="D20" s="21" t="s">
        <v>225</v>
      </c>
      <c r="E20" s="21" t="s">
        <v>251</v>
      </c>
      <c r="F20" s="21"/>
    </row>
    <row r="21" spans="2:6" ht="15" hidden="1" x14ac:dyDescent="0.3">
      <c r="B21" s="23"/>
      <c r="D21" s="21"/>
      <c r="E21" s="21" t="s">
        <v>252</v>
      </c>
      <c r="F21" s="21"/>
    </row>
    <row r="22" spans="2:6" ht="15" x14ac:dyDescent="0.3">
      <c r="B22" s="23"/>
      <c r="C22" s="21" t="s">
        <v>304</v>
      </c>
      <c r="D22" s="21" t="s">
        <v>225</v>
      </c>
      <c r="E22" s="21" t="s">
        <v>253</v>
      </c>
      <c r="F22" s="21"/>
    </row>
    <row r="23" spans="2:6" ht="15" x14ac:dyDescent="0.3">
      <c r="B23" s="23"/>
      <c r="C23" s="21" t="s">
        <v>304</v>
      </c>
      <c r="D23" s="21" t="s">
        <v>225</v>
      </c>
      <c r="E23" s="21" t="s">
        <v>254</v>
      </c>
      <c r="F23" s="21"/>
    </row>
    <row r="24" spans="2:6" ht="30" x14ac:dyDescent="0.3">
      <c r="B24" s="23"/>
      <c r="C24" s="21" t="s">
        <v>304</v>
      </c>
      <c r="D24" s="21" t="s">
        <v>225</v>
      </c>
      <c r="E24" s="21" t="s">
        <v>255</v>
      </c>
      <c r="F24" s="21"/>
    </row>
    <row r="25" spans="2:6" ht="15" x14ac:dyDescent="0.3">
      <c r="B25" s="23"/>
      <c r="C25" s="21" t="s">
        <v>304</v>
      </c>
      <c r="D25" s="21" t="s">
        <v>225</v>
      </c>
      <c r="E25" s="21" t="s">
        <v>256</v>
      </c>
      <c r="F25" s="21"/>
    </row>
    <row r="26" spans="2:6" ht="15" hidden="1" x14ac:dyDescent="0.3">
      <c r="B26" s="23"/>
      <c r="D26" s="21"/>
      <c r="E26" s="21" t="s">
        <v>257</v>
      </c>
      <c r="F26" s="21" t="s">
        <v>258</v>
      </c>
    </row>
    <row r="27" spans="2:6" ht="30" hidden="1" x14ac:dyDescent="0.3">
      <c r="B27" s="23"/>
      <c r="D27" s="21"/>
      <c r="E27" s="21" t="s">
        <v>259</v>
      </c>
      <c r="F27" s="21" t="s">
        <v>260</v>
      </c>
    </row>
    <row r="28" spans="2:6" ht="30" hidden="1" x14ac:dyDescent="0.3">
      <c r="B28" s="23"/>
      <c r="D28" s="21"/>
      <c r="E28" s="21" t="s">
        <v>261</v>
      </c>
      <c r="F28" s="21" t="s">
        <v>262</v>
      </c>
    </row>
    <row r="29" spans="2:6" ht="60" x14ac:dyDescent="0.3">
      <c r="B29" s="23"/>
      <c r="C29" s="21" t="s">
        <v>304</v>
      </c>
      <c r="D29" s="21" t="s">
        <v>225</v>
      </c>
      <c r="E29" s="21" t="s">
        <v>263</v>
      </c>
      <c r="F29" s="21" t="s">
        <v>264</v>
      </c>
    </row>
    <row r="30" spans="2:6" ht="60" x14ac:dyDescent="0.3">
      <c r="B30" s="23"/>
      <c r="C30" s="21" t="s">
        <v>304</v>
      </c>
      <c r="D30" s="21" t="s">
        <v>225</v>
      </c>
      <c r="E30" s="21" t="s">
        <v>265</v>
      </c>
      <c r="F30" s="21" t="s">
        <v>266</v>
      </c>
    </row>
    <row r="31" spans="2:6" ht="75" x14ac:dyDescent="0.3">
      <c r="B31" s="23"/>
      <c r="C31" s="21" t="s">
        <v>304</v>
      </c>
      <c r="D31" s="21" t="s">
        <v>225</v>
      </c>
      <c r="E31" s="21" t="s">
        <v>267</v>
      </c>
      <c r="F31" s="21" t="s">
        <v>268</v>
      </c>
    </row>
    <row r="32" spans="2:6" ht="15" x14ac:dyDescent="0.3">
      <c r="B32" s="23"/>
      <c r="C32" s="21" t="s">
        <v>304</v>
      </c>
      <c r="D32" s="21" t="s">
        <v>225</v>
      </c>
      <c r="E32" s="21" t="s">
        <v>269</v>
      </c>
      <c r="F32" s="21"/>
    </row>
    <row r="33" spans="2:6" ht="15" hidden="1" x14ac:dyDescent="0.3">
      <c r="B33" s="23"/>
      <c r="D33" s="21"/>
      <c r="E33" s="21" t="s">
        <v>270</v>
      </c>
      <c r="F33" s="21" t="s">
        <v>271</v>
      </c>
    </row>
    <row r="34" spans="2:6" ht="15" x14ac:dyDescent="0.3">
      <c r="B34" s="23"/>
      <c r="C34" s="21" t="s">
        <v>304</v>
      </c>
      <c r="D34" s="21" t="s">
        <v>223</v>
      </c>
      <c r="E34" s="21" t="s">
        <v>272</v>
      </c>
      <c r="F34" s="21"/>
    </row>
    <row r="35" spans="2:6" ht="15" x14ac:dyDescent="0.3">
      <c r="B35" s="23"/>
      <c r="C35" s="21" t="s">
        <v>304</v>
      </c>
      <c r="D35" s="21" t="s">
        <v>223</v>
      </c>
      <c r="E35" s="21" t="s">
        <v>273</v>
      </c>
      <c r="F35" s="21"/>
    </row>
    <row r="36" spans="2:6" ht="30" x14ac:dyDescent="0.3">
      <c r="B36" s="23"/>
      <c r="C36" s="21" t="s">
        <v>304</v>
      </c>
      <c r="D36" s="21" t="s">
        <v>223</v>
      </c>
      <c r="E36" s="21" t="s">
        <v>274</v>
      </c>
      <c r="F36" s="21" t="s">
        <v>275</v>
      </c>
    </row>
    <row r="37" spans="2:6" ht="15" x14ac:dyDescent="0.3">
      <c r="B37" s="23"/>
      <c r="C37" s="21" t="s">
        <v>304</v>
      </c>
      <c r="D37" s="21" t="s">
        <v>223</v>
      </c>
      <c r="E37" s="21" t="s">
        <v>276</v>
      </c>
      <c r="F37" s="21"/>
    </row>
    <row r="38" spans="2:6" ht="15" x14ac:dyDescent="0.3">
      <c r="B38" s="23"/>
      <c r="C38" s="21" t="s">
        <v>304</v>
      </c>
      <c r="D38" s="21" t="s">
        <v>223</v>
      </c>
      <c r="E38" s="21" t="s">
        <v>277</v>
      </c>
      <c r="F38" s="21"/>
    </row>
    <row r="39" spans="2:6" ht="15" x14ac:dyDescent="0.3">
      <c r="B39" s="23"/>
      <c r="C39" s="21" t="s">
        <v>304</v>
      </c>
      <c r="D39" s="21" t="s">
        <v>223</v>
      </c>
      <c r="E39" s="21" t="s">
        <v>278</v>
      </c>
      <c r="F39" s="21"/>
    </row>
    <row r="40" spans="2:6" ht="15" x14ac:dyDescent="0.3">
      <c r="B40" s="23"/>
      <c r="C40" s="21" t="s">
        <v>304</v>
      </c>
      <c r="D40" s="21" t="s">
        <v>223</v>
      </c>
      <c r="E40" s="21" t="s">
        <v>279</v>
      </c>
      <c r="F40" s="21"/>
    </row>
    <row r="41" spans="2:6" ht="15" x14ac:dyDescent="0.3">
      <c r="B41" s="23"/>
      <c r="C41" s="21" t="s">
        <v>304</v>
      </c>
      <c r="D41" s="21" t="s">
        <v>223</v>
      </c>
      <c r="E41" s="21" t="s">
        <v>280</v>
      </c>
      <c r="F41" s="21"/>
    </row>
    <row r="42" spans="2:6" ht="15" x14ac:dyDescent="0.3">
      <c r="B42" s="23"/>
      <c r="C42" s="21" t="s">
        <v>304</v>
      </c>
      <c r="D42" s="21" t="s">
        <v>223</v>
      </c>
      <c r="E42" s="21" t="s">
        <v>281</v>
      </c>
      <c r="F42" s="21"/>
    </row>
    <row r="43" spans="2:6" ht="15" hidden="1" x14ac:dyDescent="0.3">
      <c r="D43" s="21"/>
      <c r="E43" s="21" t="s">
        <v>282</v>
      </c>
      <c r="F43" s="21"/>
    </row>
    <row r="44" spans="2:6" ht="15" hidden="1" x14ac:dyDescent="0.3">
      <c r="D44" s="21"/>
      <c r="E44" s="21" t="s">
        <v>283</v>
      </c>
      <c r="F44" s="21"/>
    </row>
    <row r="45" spans="2:6" ht="30" hidden="1" x14ac:dyDescent="0.3">
      <c r="D45" s="21"/>
      <c r="E45" s="21" t="s">
        <v>284</v>
      </c>
      <c r="F45" s="21" t="s">
        <v>285</v>
      </c>
    </row>
    <row r="46" spans="2:6" ht="15" hidden="1" x14ac:dyDescent="0.3">
      <c r="D46" s="21"/>
      <c r="E46" s="21" t="s">
        <v>286</v>
      </c>
      <c r="F46" s="21"/>
    </row>
    <row r="47" spans="2:6" ht="15" hidden="1" x14ac:dyDescent="0.3">
      <c r="D47" s="21"/>
      <c r="E47" s="21" t="s">
        <v>287</v>
      </c>
      <c r="F47" s="21"/>
    </row>
    <row r="48" spans="2:6" ht="30" hidden="1" x14ac:dyDescent="0.3">
      <c r="D48" s="21"/>
      <c r="E48" s="21" t="s">
        <v>288</v>
      </c>
      <c r="F48" s="21" t="s">
        <v>289</v>
      </c>
    </row>
    <row r="49" spans="4:6" ht="15" hidden="1" x14ac:dyDescent="0.3">
      <c r="D49" s="21"/>
      <c r="E49" s="21" t="s">
        <v>290</v>
      </c>
      <c r="F49" s="21"/>
    </row>
    <row r="50" spans="4:6" ht="15" hidden="1" x14ac:dyDescent="0.3">
      <c r="D50" s="21"/>
      <c r="E50" s="21" t="s">
        <v>291</v>
      </c>
      <c r="F50" s="21"/>
    </row>
    <row r="51" spans="4:6" ht="30" hidden="1" x14ac:dyDescent="0.3">
      <c r="D51" s="21"/>
      <c r="E51" s="21" t="s">
        <v>292</v>
      </c>
      <c r="F51" s="21" t="s">
        <v>293</v>
      </c>
    </row>
    <row r="52" spans="4:6" ht="15" hidden="1" x14ac:dyDescent="0.3">
      <c r="D52" s="21"/>
      <c r="E52" s="21" t="s">
        <v>294</v>
      </c>
      <c r="F52" s="21"/>
    </row>
    <row r="53" spans="4:6" ht="45" hidden="1" x14ac:dyDescent="0.3">
      <c r="D53" s="21"/>
      <c r="E53" s="21" t="s">
        <v>295</v>
      </c>
      <c r="F53" s="21" t="s">
        <v>296</v>
      </c>
    </row>
    <row r="54" spans="4:6" ht="15" hidden="1" x14ac:dyDescent="0.3">
      <c r="D54" s="21"/>
      <c r="E54" s="21" t="s">
        <v>297</v>
      </c>
      <c r="F54" s="21" t="s">
        <v>298</v>
      </c>
    </row>
    <row r="55" spans="4:6" ht="30" hidden="1" x14ac:dyDescent="0.3">
      <c r="D55" s="21"/>
      <c r="E55" s="21" t="s">
        <v>299</v>
      </c>
      <c r="F55" s="21" t="s">
        <v>300</v>
      </c>
    </row>
    <row r="56" spans="4:6" ht="15" hidden="1" x14ac:dyDescent="0.3">
      <c r="D56" s="21"/>
      <c r="E56" s="21" t="s">
        <v>301</v>
      </c>
      <c r="F56" s="21"/>
    </row>
    <row r="57" spans="4:6" ht="15" hidden="1" x14ac:dyDescent="0.3">
      <c r="D57" s="21"/>
      <c r="E57" s="21" t="s">
        <v>302</v>
      </c>
      <c r="F57" s="21"/>
    </row>
    <row r="58" spans="4:6" ht="15" hidden="1" x14ac:dyDescent="0.3">
      <c r="D58" s="21"/>
      <c r="E58" s="21" t="s">
        <v>303</v>
      </c>
      <c r="F58" s="21"/>
    </row>
  </sheetData>
  <autoFilter ref="C1:F58">
    <filterColumn colId="0">
      <customFilters>
        <customFilter operator="notEqual" val=" "/>
      </custom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168"/>
  <sheetViews>
    <sheetView zoomScale="80" zoomScaleNormal="80" workbookViewId="0">
      <pane ySplit="1" topLeftCell="A52" activePane="bottomLeft" state="frozen"/>
      <selection pane="bottomLeft" activeCell="I86" sqref="I86:I106"/>
    </sheetView>
  </sheetViews>
  <sheetFormatPr defaultRowHeight="13.8" x14ac:dyDescent="0.3"/>
  <cols>
    <col min="1" max="1" width="6.44140625" style="24" customWidth="1"/>
    <col min="2" max="2" width="10.109375" style="24" customWidth="1"/>
    <col min="3" max="3" width="22.6640625" style="24" customWidth="1"/>
    <col min="4" max="4" width="20.77734375" style="24" customWidth="1"/>
    <col min="5" max="5" width="26.109375" style="24" customWidth="1"/>
    <col min="6" max="6" width="20.77734375" style="24" customWidth="1"/>
    <col min="7" max="7" width="6.77734375" style="24" customWidth="1"/>
    <col min="8" max="8" width="17.77734375" style="24" customWidth="1"/>
    <col min="9" max="9" width="92.109375" style="48" customWidth="1"/>
    <col min="10" max="10" width="12.77734375" style="24" customWidth="1"/>
    <col min="11" max="11" width="21.6640625" style="24" customWidth="1"/>
    <col min="12" max="12" width="10.33203125" style="24" customWidth="1"/>
    <col min="13" max="13" width="11.44140625" style="24" customWidth="1"/>
    <col min="14" max="17" width="9.6640625" style="24" customWidth="1"/>
    <col min="18" max="18" width="15.33203125" style="24" customWidth="1"/>
    <col min="19" max="19" width="48.77734375" style="24" customWidth="1"/>
    <col min="20" max="20" width="11.109375" style="24" customWidth="1"/>
    <col min="21" max="16384" width="8.88671875" style="24"/>
  </cols>
  <sheetData>
    <row r="1" spans="1:20" x14ac:dyDescent="0.3">
      <c r="A1" s="37" t="s">
        <v>307</v>
      </c>
      <c r="B1" s="37" t="s">
        <v>308</v>
      </c>
      <c r="C1" s="37" t="s">
        <v>130</v>
      </c>
      <c r="D1" s="37" t="s">
        <v>324</v>
      </c>
      <c r="E1" s="45" t="s">
        <v>508</v>
      </c>
      <c r="F1" s="37" t="s">
        <v>411</v>
      </c>
      <c r="G1" s="37" t="s">
        <v>2</v>
      </c>
      <c r="H1" s="37" t="s">
        <v>306</v>
      </c>
      <c r="I1" s="37" t="s">
        <v>172</v>
      </c>
      <c r="J1" s="38" t="s">
        <v>384</v>
      </c>
      <c r="K1" s="37" t="s">
        <v>0</v>
      </c>
      <c r="L1" s="37" t="s">
        <v>309</v>
      </c>
      <c r="M1" s="37" t="s">
        <v>6</v>
      </c>
      <c r="N1" s="39" t="s">
        <v>310</v>
      </c>
      <c r="O1" s="39" t="s">
        <v>311</v>
      </c>
      <c r="P1" s="39" t="s">
        <v>313</v>
      </c>
      <c r="Q1" s="40" t="s">
        <v>524</v>
      </c>
      <c r="R1" s="37" t="s">
        <v>8</v>
      </c>
      <c r="S1" s="37" t="s">
        <v>9</v>
      </c>
      <c r="T1" s="37" t="s">
        <v>417</v>
      </c>
    </row>
    <row r="2" spans="1:20" hidden="1" x14ac:dyDescent="0.3">
      <c r="A2" s="24" t="s">
        <v>183</v>
      </c>
      <c r="B2" s="24" t="s">
        <v>321</v>
      </c>
      <c r="C2" s="24" t="s">
        <v>526</v>
      </c>
      <c r="D2" s="24" t="s">
        <v>463</v>
      </c>
      <c r="E2" s="24" t="s">
        <v>494</v>
      </c>
      <c r="F2" s="24" t="s">
        <v>223</v>
      </c>
      <c r="G2" s="25"/>
      <c r="H2" s="24" t="s">
        <v>323</v>
      </c>
      <c r="I2" s="48" t="s">
        <v>546</v>
      </c>
      <c r="J2" s="24" t="s">
        <v>545</v>
      </c>
      <c r="K2" s="24" t="s">
        <v>534</v>
      </c>
      <c r="L2" s="24">
        <v>60</v>
      </c>
      <c r="M2" s="24">
        <v>416</v>
      </c>
      <c r="R2" s="24" t="s">
        <v>24</v>
      </c>
    </row>
    <row r="3" spans="1:20" hidden="1" x14ac:dyDescent="0.3">
      <c r="A3" s="24" t="s">
        <v>183</v>
      </c>
      <c r="B3" s="24" t="s">
        <v>328</v>
      </c>
      <c r="C3" s="24" t="s">
        <v>361</v>
      </c>
      <c r="D3" s="24" t="s">
        <v>343</v>
      </c>
      <c r="E3" s="24" t="s">
        <v>511</v>
      </c>
      <c r="F3" s="24" t="s">
        <v>412</v>
      </c>
      <c r="G3" s="25">
        <v>4</v>
      </c>
      <c r="H3" s="24" t="s">
        <v>329</v>
      </c>
      <c r="I3" s="24" t="s">
        <v>362</v>
      </c>
      <c r="J3" s="30">
        <v>42795</v>
      </c>
      <c r="K3" s="8" t="s">
        <v>363</v>
      </c>
      <c r="L3" s="8">
        <v>10</v>
      </c>
      <c r="M3" s="29">
        <v>0</v>
      </c>
      <c r="N3" s="24">
        <v>0</v>
      </c>
      <c r="O3" s="24">
        <v>0</v>
      </c>
      <c r="P3" s="24">
        <v>0</v>
      </c>
      <c r="R3" s="24" t="s">
        <v>24</v>
      </c>
      <c r="S3" s="24" t="s">
        <v>364</v>
      </c>
    </row>
    <row r="4" spans="1:20" hidden="1" x14ac:dyDescent="0.3">
      <c r="A4" s="24" t="s">
        <v>183</v>
      </c>
      <c r="B4" s="24" t="s">
        <v>328</v>
      </c>
      <c r="C4" s="24" t="s">
        <v>361</v>
      </c>
      <c r="D4" s="24" t="s">
        <v>343</v>
      </c>
      <c r="E4" s="24" t="s">
        <v>511</v>
      </c>
      <c r="F4" s="24" t="s">
        <v>412</v>
      </c>
      <c r="G4" s="25">
        <v>11</v>
      </c>
      <c r="H4" s="24" t="s">
        <v>329</v>
      </c>
      <c r="I4" s="24" t="s">
        <v>386</v>
      </c>
      <c r="J4" s="30" t="s">
        <v>441</v>
      </c>
      <c r="K4" s="8" t="s">
        <v>373</v>
      </c>
      <c r="L4" s="8">
        <v>100</v>
      </c>
      <c r="M4" s="29">
        <v>0</v>
      </c>
      <c r="N4" s="24">
        <v>0</v>
      </c>
      <c r="O4" s="24">
        <v>0</v>
      </c>
      <c r="P4" s="24">
        <v>0</v>
      </c>
      <c r="R4" s="24" t="s">
        <v>24</v>
      </c>
      <c r="S4" s="24" t="s">
        <v>466</v>
      </c>
    </row>
    <row r="5" spans="1:20" hidden="1" x14ac:dyDescent="0.3">
      <c r="A5" s="24" t="s">
        <v>183</v>
      </c>
      <c r="B5" s="24" t="s">
        <v>328</v>
      </c>
      <c r="C5" s="24" t="s">
        <v>312</v>
      </c>
      <c r="D5" s="24" t="s">
        <v>488</v>
      </c>
      <c r="E5" s="24" t="s">
        <v>511</v>
      </c>
      <c r="F5" s="24" t="s">
        <v>223</v>
      </c>
      <c r="G5" s="25">
        <v>25</v>
      </c>
      <c r="H5" s="24" t="s">
        <v>314</v>
      </c>
      <c r="I5" s="26" t="s">
        <v>317</v>
      </c>
      <c r="J5" s="30">
        <v>42917</v>
      </c>
      <c r="K5" s="26" t="s">
        <v>10</v>
      </c>
      <c r="L5" s="26">
        <v>10</v>
      </c>
      <c r="M5" s="26">
        <v>30</v>
      </c>
      <c r="N5" s="24">
        <v>60</v>
      </c>
      <c r="Q5" s="24" t="s">
        <v>183</v>
      </c>
      <c r="R5" s="26" t="s">
        <v>492</v>
      </c>
      <c r="S5" s="26"/>
    </row>
    <row r="6" spans="1:20" hidden="1" x14ac:dyDescent="0.3">
      <c r="A6" s="24" t="s">
        <v>340</v>
      </c>
      <c r="B6" s="24" t="s">
        <v>328</v>
      </c>
      <c r="C6" s="24" t="s">
        <v>312</v>
      </c>
      <c r="D6" s="24" t="s">
        <v>488</v>
      </c>
      <c r="E6" s="24" t="s">
        <v>511</v>
      </c>
      <c r="F6" s="24" t="s">
        <v>223</v>
      </c>
      <c r="G6" s="25">
        <v>26</v>
      </c>
      <c r="H6" s="24" t="s">
        <v>314</v>
      </c>
      <c r="I6" s="26" t="s">
        <v>317</v>
      </c>
      <c r="J6" s="30">
        <v>42917</v>
      </c>
      <c r="K6" s="26" t="s">
        <v>10</v>
      </c>
      <c r="L6" s="26">
        <v>10</v>
      </c>
      <c r="M6" s="26">
        <v>30</v>
      </c>
      <c r="N6" s="24">
        <v>60</v>
      </c>
      <c r="Q6" s="24" t="s">
        <v>183</v>
      </c>
      <c r="R6" s="26" t="s">
        <v>492</v>
      </c>
      <c r="S6" s="26"/>
    </row>
    <row r="7" spans="1:20" hidden="1" x14ac:dyDescent="0.3">
      <c r="A7" s="24" t="s">
        <v>428</v>
      </c>
      <c r="B7" s="24" t="s">
        <v>328</v>
      </c>
      <c r="C7" s="24" t="s">
        <v>312</v>
      </c>
      <c r="D7" s="24" t="s">
        <v>488</v>
      </c>
      <c r="E7" s="24" t="s">
        <v>511</v>
      </c>
      <c r="F7" s="24" t="s">
        <v>223</v>
      </c>
      <c r="G7" s="25">
        <v>27</v>
      </c>
      <c r="H7" s="24" t="s">
        <v>314</v>
      </c>
      <c r="I7" s="26" t="s">
        <v>317</v>
      </c>
      <c r="J7" s="30">
        <v>42917</v>
      </c>
      <c r="K7" s="26" t="s">
        <v>10</v>
      </c>
      <c r="L7" s="26">
        <v>10</v>
      </c>
      <c r="M7" s="26">
        <v>30</v>
      </c>
      <c r="N7" s="24">
        <v>60</v>
      </c>
      <c r="Q7" s="24" t="s">
        <v>183</v>
      </c>
      <c r="R7" s="26" t="s">
        <v>24</v>
      </c>
      <c r="S7" s="26"/>
    </row>
    <row r="8" spans="1:20" hidden="1" x14ac:dyDescent="0.3">
      <c r="A8" s="24" t="s">
        <v>183</v>
      </c>
      <c r="B8" s="24" t="s">
        <v>328</v>
      </c>
      <c r="C8" s="24" t="s">
        <v>312</v>
      </c>
      <c r="D8" s="24" t="s">
        <v>345</v>
      </c>
      <c r="E8" s="24" t="s">
        <v>511</v>
      </c>
      <c r="F8" s="24" t="s">
        <v>412</v>
      </c>
      <c r="G8" s="25">
        <v>56</v>
      </c>
      <c r="H8" s="24" t="s">
        <v>314</v>
      </c>
      <c r="I8" s="26" t="s">
        <v>168</v>
      </c>
      <c r="J8" s="30">
        <v>42979</v>
      </c>
      <c r="K8" s="26" t="s">
        <v>36</v>
      </c>
      <c r="L8" s="26">
        <v>10</v>
      </c>
      <c r="M8" s="26">
        <v>0</v>
      </c>
      <c r="N8" s="24">
        <v>0</v>
      </c>
      <c r="Q8" s="24" t="s">
        <v>183</v>
      </c>
      <c r="R8" s="26" t="s">
        <v>24</v>
      </c>
      <c r="S8" s="26"/>
      <c r="T8" s="32">
        <v>0.1</v>
      </c>
    </row>
    <row r="9" spans="1:20" hidden="1" x14ac:dyDescent="0.3">
      <c r="A9" s="24" t="s">
        <v>340</v>
      </c>
      <c r="B9" s="24" t="s">
        <v>328</v>
      </c>
      <c r="C9" s="24" t="s">
        <v>341</v>
      </c>
      <c r="D9" s="24" t="s">
        <v>454</v>
      </c>
      <c r="E9" s="24" t="s">
        <v>511</v>
      </c>
      <c r="F9" s="24" t="s">
        <v>412</v>
      </c>
      <c r="G9" s="25">
        <v>4</v>
      </c>
      <c r="H9" s="24" t="s">
        <v>342</v>
      </c>
      <c r="I9" s="24" t="s">
        <v>185</v>
      </c>
      <c r="J9" s="30">
        <v>42795</v>
      </c>
      <c r="K9" s="24" t="s">
        <v>176</v>
      </c>
      <c r="L9" s="24">
        <v>24</v>
      </c>
      <c r="M9" s="24">
        <v>0</v>
      </c>
      <c r="N9" s="24">
        <v>0</v>
      </c>
      <c r="O9" s="24">
        <v>0</v>
      </c>
      <c r="P9" s="24">
        <v>0</v>
      </c>
      <c r="Q9" s="24" t="s">
        <v>183</v>
      </c>
      <c r="R9" s="24" t="s">
        <v>24</v>
      </c>
    </row>
    <row r="10" spans="1:20" hidden="1" x14ac:dyDescent="0.3">
      <c r="A10" s="24" t="s">
        <v>183</v>
      </c>
      <c r="B10" s="24" t="s">
        <v>321</v>
      </c>
      <c r="C10" s="24" t="s">
        <v>322</v>
      </c>
      <c r="D10" s="24" t="s">
        <v>454</v>
      </c>
      <c r="E10" s="24" t="s">
        <v>511</v>
      </c>
      <c r="F10" s="24" t="s">
        <v>412</v>
      </c>
      <c r="G10" s="25"/>
      <c r="H10" s="26" t="s">
        <v>323</v>
      </c>
      <c r="I10" s="52" t="s">
        <v>556</v>
      </c>
      <c r="J10" s="24" t="s">
        <v>509</v>
      </c>
      <c r="K10" s="26" t="s">
        <v>529</v>
      </c>
      <c r="L10" s="26">
        <v>40</v>
      </c>
      <c r="M10" s="26">
        <v>0</v>
      </c>
      <c r="N10" s="24">
        <v>0</v>
      </c>
      <c r="O10" s="24">
        <v>0</v>
      </c>
      <c r="P10" s="24">
        <v>0</v>
      </c>
      <c r="Q10" s="24" t="s">
        <v>183</v>
      </c>
      <c r="R10" s="26" t="s">
        <v>24</v>
      </c>
      <c r="S10" s="26"/>
    </row>
    <row r="11" spans="1:20" hidden="1" x14ac:dyDescent="0.3">
      <c r="A11" s="24" t="s">
        <v>183</v>
      </c>
      <c r="B11" s="24" t="s">
        <v>321</v>
      </c>
      <c r="C11" s="24" t="s">
        <v>527</v>
      </c>
      <c r="D11" s="24" t="s">
        <v>454</v>
      </c>
      <c r="E11" s="24" t="s">
        <v>511</v>
      </c>
      <c r="F11" s="24" t="s">
        <v>412</v>
      </c>
      <c r="G11" s="25"/>
      <c r="I11" s="48" t="s">
        <v>547</v>
      </c>
      <c r="J11" s="24" t="s">
        <v>548</v>
      </c>
      <c r="K11" s="24" t="s">
        <v>549</v>
      </c>
      <c r="L11" s="24" t="s">
        <v>550</v>
      </c>
      <c r="R11" s="24" t="s">
        <v>24</v>
      </c>
    </row>
    <row r="12" spans="1:20" hidden="1" x14ac:dyDescent="0.3">
      <c r="A12" s="24" t="s">
        <v>183</v>
      </c>
      <c r="B12" s="24" t="s">
        <v>321</v>
      </c>
      <c r="C12" s="24" t="s">
        <v>528</v>
      </c>
      <c r="D12" s="24" t="s">
        <v>454</v>
      </c>
      <c r="E12" s="24" t="s">
        <v>511</v>
      </c>
      <c r="F12" s="24" t="s">
        <v>412</v>
      </c>
      <c r="G12" s="25"/>
      <c r="I12" s="48" t="s">
        <v>547</v>
      </c>
      <c r="J12" s="24" t="s">
        <v>554</v>
      </c>
      <c r="K12" s="24" t="s">
        <v>555</v>
      </c>
      <c r="L12" s="24" t="s">
        <v>550</v>
      </c>
      <c r="M12" s="24">
        <v>0</v>
      </c>
      <c r="N12" s="24">
        <v>0</v>
      </c>
      <c r="O12" s="24">
        <v>0</v>
      </c>
      <c r="R12" s="24" t="s">
        <v>24</v>
      </c>
    </row>
    <row r="13" spans="1:20" hidden="1" x14ac:dyDescent="0.3">
      <c r="A13" s="24" t="s">
        <v>183</v>
      </c>
      <c r="B13" s="24" t="s">
        <v>320</v>
      </c>
      <c r="C13" s="24" t="s">
        <v>131</v>
      </c>
      <c r="D13" s="24" t="s">
        <v>463</v>
      </c>
      <c r="E13" s="24" t="s">
        <v>494</v>
      </c>
      <c r="F13" s="24" t="s">
        <v>223</v>
      </c>
      <c r="G13" s="25">
        <v>1</v>
      </c>
      <c r="H13" s="24" t="s">
        <v>424</v>
      </c>
      <c r="I13" s="48" t="s">
        <v>132</v>
      </c>
      <c r="J13" s="30">
        <v>42795</v>
      </c>
      <c r="K13" s="26" t="s">
        <v>427</v>
      </c>
      <c r="L13" s="26">
        <v>10</v>
      </c>
      <c r="M13" s="26">
        <f>85*15/60</f>
        <v>21.25</v>
      </c>
      <c r="N13" s="26">
        <f>90*15/60</f>
        <v>22.5</v>
      </c>
      <c r="O13" s="26">
        <f>5*15/60</f>
        <v>1.25</v>
      </c>
      <c r="P13" s="24">
        <f>N13-O13</f>
        <v>21.25</v>
      </c>
      <c r="Q13" s="24" t="s">
        <v>183</v>
      </c>
      <c r="R13" s="26" t="s">
        <v>24</v>
      </c>
      <c r="S13" s="24" t="s">
        <v>134</v>
      </c>
    </row>
    <row r="14" spans="1:20" hidden="1" x14ac:dyDescent="0.3">
      <c r="A14" s="24" t="s">
        <v>183</v>
      </c>
      <c r="B14" s="24" t="s">
        <v>320</v>
      </c>
      <c r="C14" s="24" t="s">
        <v>131</v>
      </c>
      <c r="D14" s="24" t="s">
        <v>463</v>
      </c>
      <c r="E14" s="24" t="s">
        <v>494</v>
      </c>
      <c r="F14" s="24" t="s">
        <v>223</v>
      </c>
      <c r="G14" s="25">
        <v>8</v>
      </c>
      <c r="H14" s="24" t="s">
        <v>424</v>
      </c>
      <c r="I14" s="51" t="s">
        <v>507</v>
      </c>
      <c r="J14" s="30">
        <v>42948</v>
      </c>
      <c r="K14" s="26" t="s">
        <v>145</v>
      </c>
      <c r="L14" s="26">
        <v>40</v>
      </c>
      <c r="M14" s="26">
        <f>1.5*52*6</f>
        <v>468</v>
      </c>
      <c r="N14" s="26">
        <f>4*52*6</f>
        <v>1248</v>
      </c>
      <c r="O14" s="26">
        <f>2.5*52*6</f>
        <v>780</v>
      </c>
      <c r="P14" s="24">
        <f>N14-O14</f>
        <v>468</v>
      </c>
      <c r="Q14" s="24" t="s">
        <v>523</v>
      </c>
      <c r="R14" s="26" t="s">
        <v>24</v>
      </c>
      <c r="S14" s="24" t="s">
        <v>506</v>
      </c>
    </row>
    <row r="15" spans="1:20" hidden="1" x14ac:dyDescent="0.3">
      <c r="A15" s="24" t="s">
        <v>183</v>
      </c>
      <c r="B15" s="24" t="s">
        <v>320</v>
      </c>
      <c r="C15" s="24" t="s">
        <v>338</v>
      </c>
      <c r="D15" s="24" t="s">
        <v>463</v>
      </c>
      <c r="E15" s="24" t="s">
        <v>494</v>
      </c>
      <c r="F15" s="24" t="s">
        <v>223</v>
      </c>
      <c r="G15" s="25">
        <v>1</v>
      </c>
      <c r="H15" s="24" t="s">
        <v>326</v>
      </c>
      <c r="I15" s="48" t="s">
        <v>169</v>
      </c>
      <c r="J15" s="30">
        <v>42795</v>
      </c>
      <c r="K15" s="24" t="s">
        <v>339</v>
      </c>
      <c r="L15" s="24">
        <v>24</v>
      </c>
      <c r="M15" s="28">
        <f>5*52*1.5</f>
        <v>390</v>
      </c>
      <c r="N15" s="28">
        <f>5*52*1.5</f>
        <v>390</v>
      </c>
      <c r="O15" s="24">
        <v>0</v>
      </c>
      <c r="P15" s="24">
        <f>N15-O15</f>
        <v>390</v>
      </c>
      <c r="Q15" s="24" t="s">
        <v>183</v>
      </c>
      <c r="R15" s="24" t="s">
        <v>24</v>
      </c>
    </row>
    <row r="16" spans="1:20" hidden="1" x14ac:dyDescent="0.3">
      <c r="A16" s="24" t="s">
        <v>183</v>
      </c>
      <c r="B16" s="24" t="s">
        <v>328</v>
      </c>
      <c r="C16" s="24" t="s">
        <v>361</v>
      </c>
      <c r="D16" s="24" t="s">
        <v>463</v>
      </c>
      <c r="E16" s="24" t="s">
        <v>494</v>
      </c>
      <c r="F16" s="24" t="s">
        <v>412</v>
      </c>
      <c r="G16" s="25">
        <v>27</v>
      </c>
      <c r="H16" s="24" t="s">
        <v>329</v>
      </c>
      <c r="I16" s="24" t="s">
        <v>473</v>
      </c>
      <c r="J16" s="30">
        <v>42887</v>
      </c>
      <c r="K16" s="24" t="s">
        <v>447</v>
      </c>
      <c r="L16" s="24">
        <v>36</v>
      </c>
      <c r="M16" s="24">
        <v>0</v>
      </c>
      <c r="N16" s="24">
        <v>0</v>
      </c>
      <c r="O16" s="24">
        <v>0</v>
      </c>
      <c r="P16" s="24">
        <v>0</v>
      </c>
      <c r="R16" s="24" t="s">
        <v>24</v>
      </c>
      <c r="S16" s="36" t="s">
        <v>474</v>
      </c>
    </row>
    <row r="17" spans="1:20" hidden="1" x14ac:dyDescent="0.3">
      <c r="A17" s="24" t="s">
        <v>183</v>
      </c>
      <c r="B17" s="24" t="s">
        <v>328</v>
      </c>
      <c r="C17" s="24" t="s">
        <v>361</v>
      </c>
      <c r="D17" s="24" t="s">
        <v>463</v>
      </c>
      <c r="E17" s="24" t="s">
        <v>494</v>
      </c>
      <c r="F17" s="24" t="s">
        <v>223</v>
      </c>
      <c r="G17" s="25">
        <v>25</v>
      </c>
      <c r="H17" s="24" t="s">
        <v>329</v>
      </c>
      <c r="I17" s="24" t="s">
        <v>468</v>
      </c>
      <c r="J17" s="30">
        <v>42887</v>
      </c>
      <c r="K17" s="24" t="s">
        <v>469</v>
      </c>
      <c r="Q17" s="24" t="s">
        <v>183</v>
      </c>
      <c r="R17" s="24" t="s">
        <v>492</v>
      </c>
      <c r="S17" s="24" t="s">
        <v>470</v>
      </c>
    </row>
    <row r="18" spans="1:20" hidden="1" x14ac:dyDescent="0.3">
      <c r="A18" s="24" t="s">
        <v>183</v>
      </c>
      <c r="B18" s="24" t="s">
        <v>328</v>
      </c>
      <c r="C18" s="24" t="s">
        <v>361</v>
      </c>
      <c r="D18" s="24" t="s">
        <v>463</v>
      </c>
      <c r="E18" s="24" t="s">
        <v>494</v>
      </c>
      <c r="F18" s="24" t="s">
        <v>223</v>
      </c>
      <c r="G18" s="25"/>
      <c r="H18" s="24" t="s">
        <v>329</v>
      </c>
      <c r="I18" s="24" t="s">
        <v>475</v>
      </c>
      <c r="J18" s="30">
        <v>42887</v>
      </c>
      <c r="K18" s="24" t="s">
        <v>447</v>
      </c>
      <c r="Q18" s="24" t="s">
        <v>183</v>
      </c>
      <c r="R18" s="24" t="s">
        <v>492</v>
      </c>
      <c r="S18" s="24" t="s">
        <v>476</v>
      </c>
    </row>
    <row r="19" spans="1:20" hidden="1" x14ac:dyDescent="0.3">
      <c r="A19" s="24" t="s">
        <v>183</v>
      </c>
      <c r="B19" s="24" t="s">
        <v>328</v>
      </c>
      <c r="C19" s="24" t="s">
        <v>361</v>
      </c>
      <c r="D19" s="24" t="s">
        <v>463</v>
      </c>
      <c r="E19" s="24" t="s">
        <v>494</v>
      </c>
      <c r="F19" s="24" t="s">
        <v>223</v>
      </c>
      <c r="G19" s="25">
        <v>25</v>
      </c>
      <c r="I19" s="48" t="s">
        <v>451</v>
      </c>
      <c r="J19" s="30">
        <v>42917</v>
      </c>
      <c r="K19" s="24" t="s">
        <v>452</v>
      </c>
      <c r="L19" s="24">
        <v>10</v>
      </c>
      <c r="M19" s="24">
        <v>60</v>
      </c>
      <c r="Q19" s="24" t="s">
        <v>523</v>
      </c>
      <c r="R19" s="24" t="s">
        <v>24</v>
      </c>
      <c r="S19" s="24" t="s">
        <v>453</v>
      </c>
      <c r="T19" s="33">
        <v>1</v>
      </c>
    </row>
    <row r="20" spans="1:20" hidden="1" x14ac:dyDescent="0.3">
      <c r="A20" s="24" t="s">
        <v>183</v>
      </c>
      <c r="B20" s="24" t="s">
        <v>328</v>
      </c>
      <c r="C20" s="24" t="s">
        <v>361</v>
      </c>
      <c r="D20" s="24" t="s">
        <v>463</v>
      </c>
      <c r="E20" s="24" t="s">
        <v>494</v>
      </c>
      <c r="F20" s="24" t="s">
        <v>223</v>
      </c>
      <c r="G20" s="25">
        <v>8</v>
      </c>
      <c r="H20" s="24" t="s">
        <v>329</v>
      </c>
      <c r="I20" s="48" t="s">
        <v>385</v>
      </c>
      <c r="J20" s="30">
        <v>42979</v>
      </c>
      <c r="K20" s="8" t="s">
        <v>369</v>
      </c>
      <c r="L20" s="8">
        <v>75</v>
      </c>
      <c r="M20" s="24">
        <v>40</v>
      </c>
      <c r="N20" s="24">
        <v>40</v>
      </c>
      <c r="Q20" s="24">
        <v>4</v>
      </c>
      <c r="R20" s="24" t="s">
        <v>492</v>
      </c>
      <c r="S20" s="24" t="s">
        <v>440</v>
      </c>
    </row>
    <row r="21" spans="1:20" hidden="1" x14ac:dyDescent="0.3">
      <c r="A21" s="24" t="s">
        <v>183</v>
      </c>
      <c r="B21" s="24" t="s">
        <v>328</v>
      </c>
      <c r="C21" s="24" t="s">
        <v>361</v>
      </c>
      <c r="D21" s="24" t="s">
        <v>463</v>
      </c>
      <c r="E21" s="24" t="s">
        <v>494</v>
      </c>
      <c r="F21" s="24" t="s">
        <v>223</v>
      </c>
      <c r="G21" s="25">
        <v>26</v>
      </c>
      <c r="H21" s="24" t="s">
        <v>329</v>
      </c>
      <c r="I21" s="24" t="s">
        <v>471</v>
      </c>
      <c r="J21" s="30">
        <v>42979</v>
      </c>
      <c r="K21" s="24" t="s">
        <v>379</v>
      </c>
      <c r="Q21" s="24" t="s">
        <v>183</v>
      </c>
      <c r="R21" s="24" t="s">
        <v>492</v>
      </c>
      <c r="S21" s="24" t="s">
        <v>472</v>
      </c>
    </row>
    <row r="22" spans="1:20" hidden="1" x14ac:dyDescent="0.3">
      <c r="A22" s="24" t="s">
        <v>183</v>
      </c>
      <c r="B22" s="24" t="s">
        <v>321</v>
      </c>
      <c r="C22" s="24" t="s">
        <v>322</v>
      </c>
      <c r="D22" s="24" t="s">
        <v>463</v>
      </c>
      <c r="E22" s="24" t="s">
        <v>494</v>
      </c>
      <c r="F22" s="24" t="s">
        <v>223</v>
      </c>
      <c r="G22" s="25">
        <v>1</v>
      </c>
      <c r="H22" s="24" t="s">
        <v>323</v>
      </c>
      <c r="I22" s="48" t="s">
        <v>156</v>
      </c>
      <c r="J22" s="30">
        <v>42826</v>
      </c>
      <c r="K22" s="24" t="s">
        <v>348</v>
      </c>
      <c r="L22" s="26">
        <v>40</v>
      </c>
      <c r="M22" s="26">
        <f>(38)*22*12/60</f>
        <v>167.2</v>
      </c>
      <c r="N22" s="26">
        <f>(40)*22*12/60</f>
        <v>176</v>
      </c>
      <c r="O22" s="26">
        <f>(2)*22*12/60</f>
        <v>8.8000000000000007</v>
      </c>
      <c r="P22" s="24">
        <f>N22-O22</f>
        <v>167.2</v>
      </c>
      <c r="Q22" s="24" t="s">
        <v>183</v>
      </c>
      <c r="R22" s="24" t="s">
        <v>24</v>
      </c>
    </row>
    <row r="23" spans="1:20" hidden="1" x14ac:dyDescent="0.3">
      <c r="A23" s="24" t="s">
        <v>183</v>
      </c>
      <c r="B23" s="24" t="s">
        <v>321</v>
      </c>
      <c r="C23" s="24" t="s">
        <v>322</v>
      </c>
      <c r="D23" s="24" t="s">
        <v>463</v>
      </c>
      <c r="E23" s="24" t="s">
        <v>494</v>
      </c>
      <c r="F23" s="24" t="s">
        <v>223</v>
      </c>
      <c r="G23" s="25"/>
      <c r="H23" s="24" t="s">
        <v>323</v>
      </c>
      <c r="I23" s="48" t="s">
        <v>557</v>
      </c>
      <c r="J23" s="30">
        <v>43070</v>
      </c>
      <c r="K23" s="24" t="s">
        <v>499</v>
      </c>
      <c r="L23" s="26"/>
      <c r="M23" s="26">
        <f>(30)*22*12/60</f>
        <v>132</v>
      </c>
      <c r="N23" s="26">
        <f>(30)*22*12/60</f>
        <v>132</v>
      </c>
      <c r="O23" s="26">
        <v>0.2</v>
      </c>
      <c r="P23" s="24">
        <f>N23-O23</f>
        <v>131.80000000000001</v>
      </c>
      <c r="Q23" s="24" t="s">
        <v>183</v>
      </c>
      <c r="R23" s="24" t="s">
        <v>24</v>
      </c>
    </row>
    <row r="24" spans="1:20" hidden="1" x14ac:dyDescent="0.3">
      <c r="A24" s="24" t="s">
        <v>183</v>
      </c>
      <c r="B24" s="24" t="s">
        <v>321</v>
      </c>
      <c r="C24" s="24" t="s">
        <v>322</v>
      </c>
      <c r="D24" s="24" t="s">
        <v>463</v>
      </c>
      <c r="E24" s="24" t="s">
        <v>494</v>
      </c>
      <c r="F24" s="24" t="s">
        <v>223</v>
      </c>
      <c r="G24" s="25"/>
      <c r="H24" s="24" t="s">
        <v>323</v>
      </c>
      <c r="I24" s="48" t="s">
        <v>559</v>
      </c>
      <c r="J24" s="30">
        <v>43070</v>
      </c>
      <c r="K24" s="24" t="s">
        <v>499</v>
      </c>
      <c r="L24" s="26"/>
      <c r="M24" s="26">
        <f>(85)*22*12/60</f>
        <v>374</v>
      </c>
      <c r="N24" s="26">
        <f>(90)*22*12/60</f>
        <v>396</v>
      </c>
      <c r="O24" s="26">
        <f>(5)*22*12/60</f>
        <v>22</v>
      </c>
      <c r="P24" s="24">
        <f>N24-O24</f>
        <v>374</v>
      </c>
      <c r="Q24" s="24" t="s">
        <v>183</v>
      </c>
      <c r="R24" s="24" t="s">
        <v>24</v>
      </c>
    </row>
    <row r="25" spans="1:20" hidden="1" x14ac:dyDescent="0.3">
      <c r="A25" s="24" t="s">
        <v>183</v>
      </c>
      <c r="B25" s="24" t="s">
        <v>321</v>
      </c>
      <c r="C25" s="24" t="s">
        <v>322</v>
      </c>
      <c r="D25" s="24" t="s">
        <v>463</v>
      </c>
      <c r="E25" s="24" t="s">
        <v>494</v>
      </c>
      <c r="F25" s="24" t="s">
        <v>223</v>
      </c>
      <c r="G25" s="25"/>
      <c r="H25" s="24" t="s">
        <v>323</v>
      </c>
      <c r="I25" s="48" t="s">
        <v>560</v>
      </c>
      <c r="J25" s="30">
        <v>43070</v>
      </c>
      <c r="K25" s="24" t="s">
        <v>499</v>
      </c>
      <c r="L25" s="26"/>
      <c r="M25" s="26">
        <f>(30)*22*12/60</f>
        <v>132</v>
      </c>
      <c r="N25" s="26">
        <f>(30)*22*12/60</f>
        <v>132</v>
      </c>
      <c r="O25" s="26">
        <v>0.23</v>
      </c>
      <c r="P25" s="24">
        <f>N25-O25</f>
        <v>131.77000000000001</v>
      </c>
      <c r="Q25" s="24" t="s">
        <v>183</v>
      </c>
      <c r="R25" s="24" t="s">
        <v>24</v>
      </c>
    </row>
    <row r="26" spans="1:20" ht="13.8" hidden="1" customHeight="1" x14ac:dyDescent="0.2">
      <c r="A26" s="24" t="s">
        <v>340</v>
      </c>
      <c r="B26" s="24" t="s">
        <v>328</v>
      </c>
      <c r="C26" s="24" t="s">
        <v>312</v>
      </c>
      <c r="D26" s="24" t="s">
        <v>343</v>
      </c>
      <c r="E26" s="24" t="s">
        <v>494</v>
      </c>
      <c r="F26" s="24" t="s">
        <v>223</v>
      </c>
      <c r="G26" s="25">
        <v>15</v>
      </c>
      <c r="H26" s="24" t="s">
        <v>314</v>
      </c>
      <c r="I26" s="44" t="s">
        <v>431</v>
      </c>
      <c r="J26" s="30">
        <v>42856</v>
      </c>
      <c r="K26" s="26" t="s">
        <v>418</v>
      </c>
      <c r="L26" s="26">
        <v>30</v>
      </c>
      <c r="M26" s="26"/>
      <c r="N26" s="24">
        <f>(3.5 * 98 / 60 )*252</f>
        <v>1440.6000000000001</v>
      </c>
      <c r="O26" s="24">
        <f>(1 * 98 / 60 )*252</f>
        <v>411.59999999999997</v>
      </c>
      <c r="P26" s="24">
        <f>N26-O26</f>
        <v>1029.0000000000002</v>
      </c>
      <c r="Q26" s="24" t="s">
        <v>183</v>
      </c>
      <c r="R26" s="26" t="s">
        <v>24</v>
      </c>
      <c r="S26" s="26" t="s">
        <v>479</v>
      </c>
      <c r="T26" s="32">
        <v>1</v>
      </c>
    </row>
    <row r="27" spans="1:20" ht="13.8" hidden="1" customHeight="1" x14ac:dyDescent="0.3">
      <c r="A27" s="24" t="s">
        <v>428</v>
      </c>
      <c r="B27" s="24" t="s">
        <v>328</v>
      </c>
      <c r="C27" s="24" t="s">
        <v>312</v>
      </c>
      <c r="D27" s="24" t="s">
        <v>463</v>
      </c>
      <c r="E27" s="24" t="s">
        <v>494</v>
      </c>
      <c r="F27" s="24" t="s">
        <v>223</v>
      </c>
      <c r="G27" s="25">
        <v>21</v>
      </c>
      <c r="H27" s="24" t="s">
        <v>314</v>
      </c>
      <c r="I27" s="26" t="s">
        <v>47</v>
      </c>
      <c r="J27" s="30">
        <v>42917</v>
      </c>
      <c r="K27" s="26" t="s">
        <v>48</v>
      </c>
      <c r="L27" s="26">
        <v>16</v>
      </c>
      <c r="M27" s="26">
        <f>4*12*20/60</f>
        <v>16</v>
      </c>
      <c r="N27" s="24">
        <v>18</v>
      </c>
      <c r="Q27" s="24">
        <v>2</v>
      </c>
      <c r="R27" s="26" t="s">
        <v>24</v>
      </c>
      <c r="S27" s="26" t="s">
        <v>49</v>
      </c>
      <c r="T27" s="32">
        <v>0.9</v>
      </c>
    </row>
    <row r="28" spans="1:20" hidden="1" x14ac:dyDescent="0.3">
      <c r="A28" s="24" t="s">
        <v>183</v>
      </c>
      <c r="B28" s="24" t="s">
        <v>328</v>
      </c>
      <c r="C28" s="24" t="s">
        <v>312</v>
      </c>
      <c r="D28" s="24" t="s">
        <v>343</v>
      </c>
      <c r="E28" s="24" t="s">
        <v>494</v>
      </c>
      <c r="F28" s="24" t="s">
        <v>223</v>
      </c>
      <c r="G28" s="25">
        <v>9</v>
      </c>
      <c r="H28" s="24" t="s">
        <v>314</v>
      </c>
      <c r="I28" s="26" t="s">
        <v>74</v>
      </c>
      <c r="J28" s="30">
        <v>42826</v>
      </c>
      <c r="K28" s="26" t="s">
        <v>25</v>
      </c>
      <c r="L28" s="26">
        <v>16</v>
      </c>
      <c r="M28" s="26">
        <f>1*3</f>
        <v>3</v>
      </c>
      <c r="N28" s="26">
        <f>1*3</f>
        <v>3</v>
      </c>
      <c r="O28" s="24">
        <v>0</v>
      </c>
      <c r="P28" s="24">
        <f>N28-O28</f>
        <v>3</v>
      </c>
      <c r="Q28" s="24" t="s">
        <v>183</v>
      </c>
      <c r="R28" s="26" t="s">
        <v>24</v>
      </c>
      <c r="S28" s="26" t="s">
        <v>75</v>
      </c>
      <c r="T28" s="32">
        <v>1</v>
      </c>
    </row>
    <row r="29" spans="1:20" hidden="1" x14ac:dyDescent="0.3">
      <c r="A29" s="24" t="s">
        <v>340</v>
      </c>
      <c r="B29" s="24" t="s">
        <v>328</v>
      </c>
      <c r="C29" s="24" t="s">
        <v>341</v>
      </c>
      <c r="D29" s="24" t="s">
        <v>463</v>
      </c>
      <c r="E29" s="24" t="s">
        <v>494</v>
      </c>
      <c r="F29" s="24" t="s">
        <v>223</v>
      </c>
      <c r="G29" s="25">
        <v>1</v>
      </c>
      <c r="H29" s="24" t="s">
        <v>342</v>
      </c>
      <c r="I29" s="48" t="s">
        <v>173</v>
      </c>
      <c r="J29" s="30">
        <v>42826</v>
      </c>
      <c r="K29" s="24" t="s">
        <v>176</v>
      </c>
      <c r="L29" s="24">
        <v>40</v>
      </c>
      <c r="M29" s="24">
        <f>5*22*12</f>
        <v>1320</v>
      </c>
      <c r="N29" s="24">
        <f>6.5*22*12</f>
        <v>1716</v>
      </c>
      <c r="O29" s="24">
        <f>1.5*22*12</f>
        <v>396</v>
      </c>
      <c r="P29" s="24">
        <f>N29-O29</f>
        <v>1320</v>
      </c>
      <c r="Q29" s="24" t="s">
        <v>183</v>
      </c>
      <c r="R29" s="24" t="s">
        <v>24</v>
      </c>
    </row>
    <row r="30" spans="1:20" ht="55.2" hidden="1" x14ac:dyDescent="0.3">
      <c r="A30" s="24" t="s">
        <v>340</v>
      </c>
      <c r="B30" s="24" t="s">
        <v>328</v>
      </c>
      <c r="C30" s="24" t="s">
        <v>341</v>
      </c>
      <c r="D30" s="24" t="s">
        <v>454</v>
      </c>
      <c r="E30" s="24" t="s">
        <v>494</v>
      </c>
      <c r="F30" s="24" t="s">
        <v>223</v>
      </c>
      <c r="G30" s="25">
        <v>3</v>
      </c>
      <c r="H30" s="24" t="s">
        <v>342</v>
      </c>
      <c r="I30" s="24" t="s">
        <v>179</v>
      </c>
      <c r="J30" s="30">
        <v>42856</v>
      </c>
      <c r="K30" s="24" t="s">
        <v>176</v>
      </c>
      <c r="L30" s="24">
        <v>40</v>
      </c>
      <c r="M30" s="24">
        <v>0</v>
      </c>
      <c r="N30" s="24">
        <v>0</v>
      </c>
      <c r="O30" s="24">
        <v>0</v>
      </c>
      <c r="P30" s="24">
        <v>0</v>
      </c>
      <c r="Q30" s="24">
        <v>1</v>
      </c>
      <c r="R30" s="24" t="s">
        <v>24</v>
      </c>
      <c r="S30" s="24" t="s">
        <v>389</v>
      </c>
    </row>
    <row r="31" spans="1:20" hidden="1" x14ac:dyDescent="0.3">
      <c r="A31" s="24" t="s">
        <v>183</v>
      </c>
      <c r="B31" s="24" t="s">
        <v>321</v>
      </c>
      <c r="C31" s="24" t="s">
        <v>322</v>
      </c>
      <c r="D31" s="24" t="s">
        <v>463</v>
      </c>
      <c r="E31" s="24" t="s">
        <v>494</v>
      </c>
      <c r="F31" s="24" t="s">
        <v>223</v>
      </c>
      <c r="G31" s="25"/>
      <c r="H31" s="24" t="s">
        <v>323</v>
      </c>
      <c r="I31" s="48" t="s">
        <v>530</v>
      </c>
      <c r="J31" s="24" t="s">
        <v>509</v>
      </c>
      <c r="K31" s="24" t="s">
        <v>529</v>
      </c>
      <c r="L31" s="24">
        <v>10</v>
      </c>
      <c r="M31" s="24">
        <v>24</v>
      </c>
      <c r="N31" s="24">
        <v>0</v>
      </c>
      <c r="O31" s="24">
        <v>0</v>
      </c>
      <c r="P31" s="24">
        <v>0</v>
      </c>
      <c r="Q31" s="24" t="s">
        <v>183</v>
      </c>
      <c r="R31" s="24" t="s">
        <v>24</v>
      </c>
    </row>
    <row r="32" spans="1:20" ht="14.4" x14ac:dyDescent="0.3">
      <c r="A32" s="24" t="s">
        <v>183</v>
      </c>
      <c r="B32" s="24" t="s">
        <v>413</v>
      </c>
      <c r="C32" s="24" t="s">
        <v>413</v>
      </c>
      <c r="D32" s="24" t="s">
        <v>344</v>
      </c>
      <c r="E32" s="24" t="s">
        <v>495</v>
      </c>
      <c r="F32" s="24" t="s">
        <v>223</v>
      </c>
      <c r="G32" s="25">
        <v>16</v>
      </c>
      <c r="H32" s="24" t="s">
        <v>314</v>
      </c>
      <c r="I32" s="46" t="s">
        <v>29</v>
      </c>
      <c r="J32" s="30">
        <v>42917</v>
      </c>
      <c r="K32" s="26" t="s">
        <v>42</v>
      </c>
      <c r="L32" s="26">
        <f>30*8</f>
        <v>240</v>
      </c>
      <c r="M32" s="27">
        <f>150*12</f>
        <v>1800</v>
      </c>
      <c r="N32" s="24">
        <v>21</v>
      </c>
      <c r="Q32" s="24" t="s">
        <v>183</v>
      </c>
      <c r="R32" s="26" t="s">
        <v>24</v>
      </c>
      <c r="S32" s="26" t="s">
        <v>319</v>
      </c>
    </row>
    <row r="33" spans="1:20" ht="14.4" x14ac:dyDescent="0.3">
      <c r="A33" s="24" t="s">
        <v>183</v>
      </c>
      <c r="B33" s="24" t="s">
        <v>320</v>
      </c>
      <c r="C33" s="24" t="s">
        <v>131</v>
      </c>
      <c r="D33" s="24" t="s">
        <v>344</v>
      </c>
      <c r="E33" s="24" t="s">
        <v>495</v>
      </c>
      <c r="F33" s="24" t="s">
        <v>223</v>
      </c>
      <c r="G33" s="25">
        <v>7</v>
      </c>
      <c r="H33" s="24" t="s">
        <v>424</v>
      </c>
      <c r="I33" s="47" t="s">
        <v>513</v>
      </c>
      <c r="J33" s="30">
        <v>42856</v>
      </c>
      <c r="K33" s="26" t="s">
        <v>145</v>
      </c>
      <c r="L33" s="26">
        <v>16</v>
      </c>
      <c r="M33" s="26">
        <f>(((8*180)/3)/60)*12</f>
        <v>96</v>
      </c>
      <c r="N33" s="26">
        <f>(((8*180)/3)/60)*12</f>
        <v>96</v>
      </c>
      <c r="O33" s="24">
        <v>0</v>
      </c>
      <c r="P33" s="24">
        <f>N33-O33</f>
        <v>96</v>
      </c>
      <c r="Q33" s="24" t="s">
        <v>183</v>
      </c>
      <c r="R33" s="47" t="s">
        <v>24</v>
      </c>
      <c r="S33" s="24" t="s">
        <v>514</v>
      </c>
    </row>
    <row r="34" spans="1:20" ht="14.4" x14ac:dyDescent="0.3">
      <c r="A34" s="24" t="s">
        <v>183</v>
      </c>
      <c r="B34" s="24" t="s">
        <v>321</v>
      </c>
      <c r="C34" s="24" t="s">
        <v>149</v>
      </c>
      <c r="D34" s="24" t="s">
        <v>344</v>
      </c>
      <c r="E34" s="24" t="s">
        <v>495</v>
      </c>
      <c r="F34" s="24" t="s">
        <v>223</v>
      </c>
      <c r="G34" s="25">
        <v>52</v>
      </c>
      <c r="H34" s="24" t="s">
        <v>426</v>
      </c>
      <c r="I34" s="53" t="s">
        <v>519</v>
      </c>
      <c r="J34" s="30">
        <v>42887</v>
      </c>
      <c r="K34" s="24" t="s">
        <v>347</v>
      </c>
      <c r="L34" s="24">
        <v>80</v>
      </c>
      <c r="M34" s="24">
        <v>120</v>
      </c>
      <c r="N34" s="24">
        <v>0</v>
      </c>
      <c r="O34" s="24">
        <v>0</v>
      </c>
      <c r="P34" s="24">
        <v>0</v>
      </c>
      <c r="Q34" s="24" t="s">
        <v>183</v>
      </c>
      <c r="R34" s="24" t="s">
        <v>24</v>
      </c>
      <c r="S34" s="24" t="s">
        <v>423</v>
      </c>
    </row>
    <row r="35" spans="1:20" ht="14.4" hidden="1" x14ac:dyDescent="0.3">
      <c r="A35" s="24" t="s">
        <v>428</v>
      </c>
      <c r="B35" s="24" t="s">
        <v>328</v>
      </c>
      <c r="C35" s="24" t="s">
        <v>312</v>
      </c>
      <c r="D35" s="24" t="s">
        <v>344</v>
      </c>
      <c r="E35" s="24" t="s">
        <v>562</v>
      </c>
      <c r="F35" s="24" t="s">
        <v>223</v>
      </c>
      <c r="G35" s="25">
        <v>18</v>
      </c>
      <c r="H35" s="24" t="s">
        <v>314</v>
      </c>
      <c r="I35" s="26" t="s">
        <v>393</v>
      </c>
      <c r="J35" s="30">
        <v>42917</v>
      </c>
      <c r="K35" s="26" t="s">
        <v>48</v>
      </c>
      <c r="L35" s="26">
        <v>60</v>
      </c>
      <c r="M35" s="26">
        <v>720</v>
      </c>
      <c r="N35" s="24">
        <v>720</v>
      </c>
      <c r="Q35" s="24">
        <v>1</v>
      </c>
      <c r="R35" s="26" t="s">
        <v>492</v>
      </c>
      <c r="S35" s="26" t="s">
        <v>35</v>
      </c>
      <c r="T35" s="32">
        <v>0.5</v>
      </c>
    </row>
    <row r="36" spans="1:20" hidden="1" x14ac:dyDescent="0.3">
      <c r="A36" s="24" t="s">
        <v>183</v>
      </c>
      <c r="B36" s="24" t="s">
        <v>328</v>
      </c>
      <c r="C36" s="24" t="s">
        <v>361</v>
      </c>
      <c r="D36" s="24" t="s">
        <v>344</v>
      </c>
      <c r="E36" s="24" t="s">
        <v>562</v>
      </c>
      <c r="F36" s="24" t="s">
        <v>223</v>
      </c>
      <c r="G36" s="25">
        <v>1</v>
      </c>
      <c r="H36" s="24" t="s">
        <v>329</v>
      </c>
      <c r="I36" s="47" t="s">
        <v>106</v>
      </c>
      <c r="J36" s="30">
        <v>42795</v>
      </c>
      <c r="K36" s="8" t="s">
        <v>372</v>
      </c>
      <c r="L36" s="8">
        <v>60</v>
      </c>
      <c r="M36" s="24">
        <v>540</v>
      </c>
      <c r="N36" s="24">
        <v>570</v>
      </c>
      <c r="O36" s="24">
        <v>30</v>
      </c>
      <c r="P36" s="24">
        <v>540</v>
      </c>
      <c r="Q36" s="24" t="s">
        <v>183</v>
      </c>
      <c r="R36" s="24" t="s">
        <v>209</v>
      </c>
      <c r="S36" s="24" t="s">
        <v>332</v>
      </c>
    </row>
    <row r="37" spans="1:20" x14ac:dyDescent="0.3">
      <c r="A37" s="24" t="s">
        <v>183</v>
      </c>
      <c r="B37" s="24" t="s">
        <v>320</v>
      </c>
      <c r="C37" s="24" t="s">
        <v>325</v>
      </c>
      <c r="D37" s="24" t="s">
        <v>344</v>
      </c>
      <c r="E37" s="24" t="s">
        <v>495</v>
      </c>
      <c r="F37" s="24" t="s">
        <v>223</v>
      </c>
      <c r="G37" s="25">
        <v>2</v>
      </c>
      <c r="H37" s="24" t="s">
        <v>326</v>
      </c>
      <c r="I37" s="47" t="s">
        <v>358</v>
      </c>
      <c r="J37" s="30">
        <v>42917</v>
      </c>
      <c r="K37" s="24" t="s">
        <v>356</v>
      </c>
      <c r="L37" s="24">
        <v>40</v>
      </c>
      <c r="M37" s="24">
        <f>10*52</f>
        <v>520</v>
      </c>
      <c r="N37" s="24">
        <f>10*52</f>
        <v>520</v>
      </c>
      <c r="Q37" s="24" t="s">
        <v>183</v>
      </c>
      <c r="R37" s="24" t="s">
        <v>24</v>
      </c>
    </row>
    <row r="38" spans="1:20" hidden="1" x14ac:dyDescent="0.3">
      <c r="A38" s="24" t="s">
        <v>428</v>
      </c>
      <c r="B38" s="24" t="s">
        <v>328</v>
      </c>
      <c r="C38" s="24" t="s">
        <v>312</v>
      </c>
      <c r="D38" s="24" t="s">
        <v>344</v>
      </c>
      <c r="E38" s="24" t="s">
        <v>562</v>
      </c>
      <c r="F38" s="24" t="s">
        <v>223</v>
      </c>
      <c r="G38" s="25">
        <v>23</v>
      </c>
      <c r="H38" s="24" t="s">
        <v>314</v>
      </c>
      <c r="I38" s="26" t="s">
        <v>406</v>
      </c>
      <c r="J38" s="30">
        <v>42948</v>
      </c>
      <c r="K38" s="26" t="s">
        <v>45</v>
      </c>
      <c r="L38" s="26">
        <v>24</v>
      </c>
      <c r="M38" s="26">
        <v>96</v>
      </c>
      <c r="N38" s="24">
        <v>120</v>
      </c>
      <c r="Q38" s="24" t="s">
        <v>183</v>
      </c>
      <c r="R38" s="26" t="s">
        <v>24</v>
      </c>
      <c r="S38" s="26" t="s">
        <v>46</v>
      </c>
      <c r="T38" s="33">
        <v>0.2</v>
      </c>
    </row>
    <row r="39" spans="1:20" hidden="1" x14ac:dyDescent="0.3">
      <c r="A39" s="24" t="s">
        <v>340</v>
      </c>
      <c r="B39" s="24" t="s">
        <v>328</v>
      </c>
      <c r="C39" s="24" t="s">
        <v>312</v>
      </c>
      <c r="D39" s="24" t="s">
        <v>344</v>
      </c>
      <c r="E39" s="24" t="s">
        <v>562</v>
      </c>
      <c r="F39" s="24" t="s">
        <v>223</v>
      </c>
      <c r="G39" s="25">
        <v>22</v>
      </c>
      <c r="H39" s="24" t="s">
        <v>314</v>
      </c>
      <c r="I39" s="26" t="s">
        <v>405</v>
      </c>
      <c r="J39" s="30">
        <v>42917</v>
      </c>
      <c r="K39" s="26" t="s">
        <v>45</v>
      </c>
      <c r="L39" s="26">
        <v>24</v>
      </c>
      <c r="M39" s="26">
        <v>96</v>
      </c>
      <c r="N39" s="24">
        <v>120</v>
      </c>
      <c r="Q39" s="24" t="s">
        <v>183</v>
      </c>
      <c r="R39" s="26" t="s">
        <v>24</v>
      </c>
      <c r="S39" s="26" t="s">
        <v>46</v>
      </c>
      <c r="T39" s="33">
        <v>0.2</v>
      </c>
    </row>
    <row r="40" spans="1:20" hidden="1" x14ac:dyDescent="0.3">
      <c r="A40" s="24" t="s">
        <v>340</v>
      </c>
      <c r="B40" s="24" t="s">
        <v>328</v>
      </c>
      <c r="C40" s="24" t="s">
        <v>312</v>
      </c>
      <c r="D40" s="24" t="s">
        <v>344</v>
      </c>
      <c r="E40" s="24" t="s">
        <v>562</v>
      </c>
      <c r="F40" s="24" t="s">
        <v>223</v>
      </c>
      <c r="G40" s="25">
        <v>10</v>
      </c>
      <c r="H40" s="24" t="s">
        <v>314</v>
      </c>
      <c r="I40" s="26" t="s">
        <v>429</v>
      </c>
      <c r="J40" s="30">
        <v>42887</v>
      </c>
      <c r="K40" s="26" t="s">
        <v>10</v>
      </c>
      <c r="L40" s="26">
        <v>10</v>
      </c>
      <c r="M40" s="26">
        <v>40</v>
      </c>
      <c r="N40" s="24">
        <v>40</v>
      </c>
      <c r="Q40" s="24" t="s">
        <v>183</v>
      </c>
      <c r="R40" s="24" t="s">
        <v>24</v>
      </c>
      <c r="S40" s="26" t="s">
        <v>480</v>
      </c>
      <c r="T40" s="32">
        <v>1</v>
      </c>
    </row>
    <row r="41" spans="1:20" hidden="1" x14ac:dyDescent="0.3">
      <c r="A41" s="24" t="s">
        <v>428</v>
      </c>
      <c r="B41" s="24" t="s">
        <v>328</v>
      </c>
      <c r="C41" s="24" t="s">
        <v>312</v>
      </c>
      <c r="D41" s="24" t="s">
        <v>344</v>
      </c>
      <c r="E41" s="24" t="s">
        <v>562</v>
      </c>
      <c r="F41" s="24" t="s">
        <v>223</v>
      </c>
      <c r="G41" s="25">
        <v>11</v>
      </c>
      <c r="H41" s="24" t="s">
        <v>314</v>
      </c>
      <c r="I41" s="26" t="s">
        <v>430</v>
      </c>
      <c r="J41" s="30">
        <v>42887</v>
      </c>
      <c r="K41" s="26" t="s">
        <v>10</v>
      </c>
      <c r="L41" s="26">
        <v>10</v>
      </c>
      <c r="M41" s="26">
        <v>40</v>
      </c>
      <c r="N41" s="24">
        <v>40</v>
      </c>
      <c r="Q41" s="24" t="s">
        <v>183</v>
      </c>
      <c r="R41" s="24" t="s">
        <v>24</v>
      </c>
      <c r="S41" s="26" t="s">
        <v>480</v>
      </c>
      <c r="T41" s="32">
        <v>1</v>
      </c>
    </row>
    <row r="42" spans="1:20" hidden="1" x14ac:dyDescent="0.3">
      <c r="A42" s="24" t="s">
        <v>183</v>
      </c>
      <c r="B42" s="24" t="s">
        <v>328</v>
      </c>
      <c r="C42" s="24" t="s">
        <v>312</v>
      </c>
      <c r="D42" s="24" t="s">
        <v>344</v>
      </c>
      <c r="E42" s="24" t="s">
        <v>562</v>
      </c>
      <c r="F42" s="24" t="s">
        <v>223</v>
      </c>
      <c r="G42" s="25">
        <v>12</v>
      </c>
      <c r="H42" s="24" t="s">
        <v>314</v>
      </c>
      <c r="I42" s="26" t="s">
        <v>420</v>
      </c>
      <c r="J42" s="30">
        <v>42856</v>
      </c>
      <c r="K42" s="26" t="s">
        <v>10</v>
      </c>
      <c r="L42" s="26">
        <v>20</v>
      </c>
      <c r="M42" s="26">
        <v>40</v>
      </c>
      <c r="N42" s="24">
        <v>40</v>
      </c>
      <c r="Q42" s="24" t="s">
        <v>183</v>
      </c>
      <c r="R42" s="26" t="s">
        <v>24</v>
      </c>
      <c r="S42" s="26" t="s">
        <v>477</v>
      </c>
      <c r="T42" s="32">
        <v>1</v>
      </c>
    </row>
    <row r="43" spans="1:20" hidden="1" x14ac:dyDescent="0.3">
      <c r="A43" s="24" t="s">
        <v>183</v>
      </c>
      <c r="B43" s="24" t="s">
        <v>321</v>
      </c>
      <c r="C43" s="24" t="s">
        <v>322</v>
      </c>
      <c r="D43" s="24" t="s">
        <v>344</v>
      </c>
      <c r="E43" s="24" t="s">
        <v>562</v>
      </c>
      <c r="F43" s="24" t="s">
        <v>223</v>
      </c>
      <c r="G43" s="25">
        <v>3</v>
      </c>
      <c r="H43" s="24" t="s">
        <v>323</v>
      </c>
      <c r="I43" s="48" t="s">
        <v>158</v>
      </c>
      <c r="J43" s="30">
        <v>42917</v>
      </c>
      <c r="K43" s="24" t="s">
        <v>351</v>
      </c>
      <c r="L43" s="26">
        <v>20</v>
      </c>
      <c r="M43" s="26">
        <f>6*12</f>
        <v>72</v>
      </c>
      <c r="N43" s="24">
        <v>72</v>
      </c>
      <c r="Q43" s="24">
        <v>1</v>
      </c>
      <c r="R43" s="24" t="s">
        <v>24</v>
      </c>
      <c r="S43" s="24" t="s">
        <v>188</v>
      </c>
    </row>
    <row r="44" spans="1:20" hidden="1" x14ac:dyDescent="0.3">
      <c r="B44" s="24" t="s">
        <v>321</v>
      </c>
      <c r="C44" s="24" t="s">
        <v>322</v>
      </c>
      <c r="D44" s="24" t="s">
        <v>344</v>
      </c>
      <c r="E44" s="24" t="s">
        <v>562</v>
      </c>
      <c r="F44" s="24" t="s">
        <v>223</v>
      </c>
      <c r="G44" s="25"/>
      <c r="H44" s="24" t="s">
        <v>323</v>
      </c>
      <c r="I44" s="48" t="s">
        <v>558</v>
      </c>
      <c r="J44" s="30">
        <v>43070</v>
      </c>
      <c r="K44" s="24" t="s">
        <v>499</v>
      </c>
      <c r="L44" s="26"/>
      <c r="M44" s="26">
        <v>0</v>
      </c>
      <c r="N44" s="24">
        <v>0</v>
      </c>
      <c r="O44" s="24">
        <v>0</v>
      </c>
      <c r="P44" s="24">
        <v>0</v>
      </c>
      <c r="Q44" s="24">
        <v>0</v>
      </c>
      <c r="R44" s="24" t="s">
        <v>24</v>
      </c>
    </row>
    <row r="45" spans="1:20" ht="41.4" hidden="1" x14ac:dyDescent="0.3">
      <c r="A45" s="24" t="s">
        <v>340</v>
      </c>
      <c r="B45" s="24" t="s">
        <v>328</v>
      </c>
      <c r="C45" s="24" t="s">
        <v>312</v>
      </c>
      <c r="D45" s="24" t="s">
        <v>344</v>
      </c>
      <c r="E45" s="24" t="s">
        <v>562</v>
      </c>
      <c r="F45" s="24" t="s">
        <v>223</v>
      </c>
      <c r="G45" s="25">
        <v>4</v>
      </c>
      <c r="H45" s="24" t="s">
        <v>314</v>
      </c>
      <c r="I45" s="26" t="s">
        <v>55</v>
      </c>
      <c r="J45" s="30">
        <v>42795</v>
      </c>
      <c r="K45" s="26" t="s">
        <v>419</v>
      </c>
      <c r="L45" s="26">
        <v>40</v>
      </c>
      <c r="M45" s="26">
        <v>41.66</v>
      </c>
      <c r="N45" s="26">
        <v>41.66</v>
      </c>
      <c r="O45" s="24">
        <v>0</v>
      </c>
      <c r="P45" s="24">
        <f>N45-O45</f>
        <v>41.66</v>
      </c>
      <c r="Q45" s="24" t="s">
        <v>183</v>
      </c>
      <c r="R45" s="26" t="s">
        <v>24</v>
      </c>
      <c r="S45" s="52" t="s">
        <v>56</v>
      </c>
      <c r="T45" s="32">
        <v>1</v>
      </c>
    </row>
    <row r="46" spans="1:20" hidden="1" x14ac:dyDescent="0.3">
      <c r="A46" s="24" t="s">
        <v>428</v>
      </c>
      <c r="B46" s="24" t="s">
        <v>328</v>
      </c>
      <c r="C46" s="24" t="s">
        <v>312</v>
      </c>
      <c r="D46" s="24" t="s">
        <v>344</v>
      </c>
      <c r="E46" s="24" t="s">
        <v>562</v>
      </c>
      <c r="F46" s="24" t="s">
        <v>223</v>
      </c>
      <c r="G46" s="25">
        <v>5</v>
      </c>
      <c r="H46" s="24" t="s">
        <v>314</v>
      </c>
      <c r="I46" s="26" t="s">
        <v>57</v>
      </c>
      <c r="J46" s="30">
        <v>42826</v>
      </c>
      <c r="K46" s="26" t="s">
        <v>419</v>
      </c>
      <c r="L46" s="26">
        <v>24</v>
      </c>
      <c r="M46" s="26">
        <v>41.66</v>
      </c>
      <c r="N46" s="26">
        <v>41.66</v>
      </c>
      <c r="O46" s="24">
        <v>0</v>
      </c>
      <c r="P46" s="24">
        <f>N46-O46</f>
        <v>41.66</v>
      </c>
      <c r="Q46" s="24" t="s">
        <v>183</v>
      </c>
      <c r="R46" s="26" t="s">
        <v>24</v>
      </c>
      <c r="S46" s="26" t="s">
        <v>58</v>
      </c>
      <c r="T46" s="32">
        <v>1</v>
      </c>
    </row>
    <row r="47" spans="1:20" hidden="1" x14ac:dyDescent="0.3">
      <c r="A47" s="24" t="s">
        <v>183</v>
      </c>
      <c r="B47" s="24" t="s">
        <v>328</v>
      </c>
      <c r="C47" s="24" t="s">
        <v>312</v>
      </c>
      <c r="D47" s="24" t="s">
        <v>344</v>
      </c>
      <c r="E47" s="24" t="s">
        <v>562</v>
      </c>
      <c r="F47" s="24" t="s">
        <v>223</v>
      </c>
      <c r="G47" s="25">
        <v>20</v>
      </c>
      <c r="H47" s="24" t="s">
        <v>314</v>
      </c>
      <c r="I47" s="26" t="s">
        <v>59</v>
      </c>
      <c r="J47" s="30">
        <v>42917</v>
      </c>
      <c r="K47" s="26" t="s">
        <v>419</v>
      </c>
      <c r="L47" s="26">
        <v>24</v>
      </c>
      <c r="M47" s="26">
        <v>42</v>
      </c>
      <c r="N47" s="24">
        <v>42</v>
      </c>
      <c r="Q47" s="24">
        <v>20</v>
      </c>
      <c r="R47" s="26" t="s">
        <v>24</v>
      </c>
      <c r="S47" s="26" t="s">
        <v>58</v>
      </c>
      <c r="T47" s="32">
        <v>0.5</v>
      </c>
    </row>
    <row r="48" spans="1:20" hidden="1" x14ac:dyDescent="0.3">
      <c r="A48" s="24" t="s">
        <v>183</v>
      </c>
      <c r="B48" s="24" t="s">
        <v>328</v>
      </c>
      <c r="C48" s="24" t="s">
        <v>312</v>
      </c>
      <c r="D48" s="24" t="s">
        <v>344</v>
      </c>
      <c r="E48" s="24" t="s">
        <v>562</v>
      </c>
      <c r="F48" s="24" t="s">
        <v>223</v>
      </c>
      <c r="G48" s="25">
        <v>44</v>
      </c>
      <c r="H48" s="24" t="s">
        <v>314</v>
      </c>
      <c r="I48" s="26" t="s">
        <v>315</v>
      </c>
      <c r="J48" s="30">
        <v>42979</v>
      </c>
      <c r="K48" s="26" t="s">
        <v>10</v>
      </c>
      <c r="L48" s="26">
        <v>20</v>
      </c>
      <c r="M48" s="26">
        <f>(0.25*5*52)</f>
        <v>65</v>
      </c>
      <c r="N48" s="24">
        <v>65</v>
      </c>
      <c r="Q48" s="24" t="s">
        <v>183</v>
      </c>
      <c r="R48" s="26" t="s">
        <v>24</v>
      </c>
      <c r="S48" s="26"/>
      <c r="T48" s="32">
        <v>0</v>
      </c>
    </row>
    <row r="49" spans="1:20" x14ac:dyDescent="0.3">
      <c r="A49" s="24" t="s">
        <v>183</v>
      </c>
      <c r="B49" s="24" t="s">
        <v>320</v>
      </c>
      <c r="C49" s="24" t="s">
        <v>325</v>
      </c>
      <c r="D49" s="24" t="s">
        <v>344</v>
      </c>
      <c r="E49" s="24" t="s">
        <v>495</v>
      </c>
      <c r="F49" s="24" t="s">
        <v>223</v>
      </c>
      <c r="G49" s="25">
        <v>1</v>
      </c>
      <c r="H49" s="24" t="s">
        <v>326</v>
      </c>
      <c r="I49" s="48" t="s">
        <v>327</v>
      </c>
      <c r="J49" s="30">
        <v>42705</v>
      </c>
      <c r="K49" s="24" t="s">
        <v>354</v>
      </c>
      <c r="L49" s="24">
        <v>300</v>
      </c>
      <c r="M49" s="24">
        <f>4*52*2</f>
        <v>416</v>
      </c>
      <c r="N49" s="24">
        <f>4*52*2</f>
        <v>416</v>
      </c>
      <c r="O49" s="24">
        <v>0</v>
      </c>
      <c r="P49" s="24">
        <f>N49-O49</f>
        <v>416</v>
      </c>
      <c r="Q49" s="24" t="s">
        <v>183</v>
      </c>
      <c r="R49" s="24" t="s">
        <v>24</v>
      </c>
    </row>
    <row r="50" spans="1:20" x14ac:dyDescent="0.3">
      <c r="A50" s="24" t="s">
        <v>183</v>
      </c>
      <c r="B50" s="24" t="s">
        <v>320</v>
      </c>
      <c r="C50" s="24" t="s">
        <v>325</v>
      </c>
      <c r="D50" s="24" t="s">
        <v>344</v>
      </c>
      <c r="E50" s="24" t="s">
        <v>495</v>
      </c>
      <c r="F50" s="24" t="s">
        <v>223</v>
      </c>
      <c r="G50" s="25">
        <v>3</v>
      </c>
      <c r="H50" s="24" t="s">
        <v>326</v>
      </c>
      <c r="I50" s="48" t="s">
        <v>359</v>
      </c>
      <c r="J50" s="30">
        <v>42917</v>
      </c>
      <c r="K50" s="24" t="s">
        <v>360</v>
      </c>
      <c r="L50" s="41">
        <v>60</v>
      </c>
      <c r="M50" s="24">
        <v>12</v>
      </c>
      <c r="N50" s="24">
        <v>12</v>
      </c>
      <c r="O50" s="24">
        <v>0</v>
      </c>
      <c r="P50" s="24">
        <v>12</v>
      </c>
      <c r="Q50" s="24">
        <v>1</v>
      </c>
      <c r="R50" s="24" t="s">
        <v>24</v>
      </c>
    </row>
    <row r="51" spans="1:20" x14ac:dyDescent="0.3">
      <c r="A51" s="24" t="s">
        <v>183</v>
      </c>
      <c r="B51" s="24" t="s">
        <v>321</v>
      </c>
      <c r="C51" s="24" t="s">
        <v>149</v>
      </c>
      <c r="D51" s="24" t="s">
        <v>344</v>
      </c>
      <c r="E51" s="24" t="s">
        <v>495</v>
      </c>
      <c r="F51" s="24" t="s">
        <v>223</v>
      </c>
      <c r="G51" s="25">
        <v>3</v>
      </c>
      <c r="H51" s="24" t="s">
        <v>425</v>
      </c>
      <c r="I51" s="53" t="s">
        <v>153</v>
      </c>
      <c r="J51" s="30">
        <v>42917</v>
      </c>
      <c r="K51" s="24" t="s">
        <v>154</v>
      </c>
      <c r="L51" s="26">
        <v>80</v>
      </c>
      <c r="M51" s="26">
        <f>5*52</f>
        <v>260</v>
      </c>
      <c r="N51" s="24">
        <v>260</v>
      </c>
      <c r="Q51" s="24" t="s">
        <v>183</v>
      </c>
      <c r="R51" s="24" t="s">
        <v>24</v>
      </c>
    </row>
    <row r="52" spans="1:20" ht="14.4" x14ac:dyDescent="0.3">
      <c r="A52" s="24" t="s">
        <v>183</v>
      </c>
      <c r="B52" s="24" t="s">
        <v>328</v>
      </c>
      <c r="C52" s="24" t="s">
        <v>361</v>
      </c>
      <c r="D52" s="24" t="s">
        <v>343</v>
      </c>
      <c r="E52" s="24" t="s">
        <v>495</v>
      </c>
      <c r="F52" s="24" t="s">
        <v>223</v>
      </c>
      <c r="G52" s="25">
        <v>21</v>
      </c>
      <c r="H52" s="24" t="s">
        <v>329</v>
      </c>
      <c r="I52" s="48" t="s">
        <v>126</v>
      </c>
      <c r="J52" s="30">
        <v>42887</v>
      </c>
      <c r="K52" s="8" t="s">
        <v>381</v>
      </c>
      <c r="L52" s="8">
        <v>20</v>
      </c>
      <c r="M52" s="24">
        <v>50</v>
      </c>
      <c r="N52" s="24">
        <v>50</v>
      </c>
      <c r="Q52" s="24">
        <v>3</v>
      </c>
      <c r="R52" s="24" t="s">
        <v>24</v>
      </c>
      <c r="S52" s="24" t="s">
        <v>450</v>
      </c>
      <c r="T52" s="33">
        <v>1</v>
      </c>
    </row>
    <row r="53" spans="1:20" x14ac:dyDescent="0.3">
      <c r="A53" s="24" t="s">
        <v>340</v>
      </c>
      <c r="B53" s="24" t="s">
        <v>328</v>
      </c>
      <c r="C53" s="24" t="s">
        <v>312</v>
      </c>
      <c r="D53" s="24" t="s">
        <v>344</v>
      </c>
      <c r="E53" s="24" t="s">
        <v>495</v>
      </c>
      <c r="F53" s="24" t="s">
        <v>223</v>
      </c>
      <c r="G53" s="25">
        <v>8</v>
      </c>
      <c r="H53" s="24" t="s">
        <v>314</v>
      </c>
      <c r="I53" s="26" t="s">
        <v>78</v>
      </c>
      <c r="J53" s="30">
        <v>42826</v>
      </c>
      <c r="K53" s="26" t="s">
        <v>42</v>
      </c>
      <c r="L53" s="26">
        <v>16</v>
      </c>
      <c r="M53" s="26">
        <f>(4*52)</f>
        <v>208</v>
      </c>
      <c r="N53" s="24">
        <v>208</v>
      </c>
      <c r="O53" s="24">
        <v>0</v>
      </c>
      <c r="P53" s="24">
        <f>N53-O53</f>
        <v>208</v>
      </c>
      <c r="Q53" s="24">
        <v>4</v>
      </c>
      <c r="R53" s="26" t="s">
        <v>24</v>
      </c>
      <c r="S53" s="26" t="s">
        <v>79</v>
      </c>
      <c r="T53" s="32">
        <v>1</v>
      </c>
    </row>
    <row r="54" spans="1:20" x14ac:dyDescent="0.3">
      <c r="A54" s="24" t="s">
        <v>183</v>
      </c>
      <c r="B54" s="24" t="s">
        <v>328</v>
      </c>
      <c r="C54" s="24" t="s">
        <v>312</v>
      </c>
      <c r="D54" s="24" t="s">
        <v>344</v>
      </c>
      <c r="E54" s="24" t="s">
        <v>495</v>
      </c>
      <c r="F54" s="24" t="s">
        <v>223</v>
      </c>
      <c r="G54" s="25">
        <v>7</v>
      </c>
      <c r="H54" s="24" t="s">
        <v>314</v>
      </c>
      <c r="I54" s="26" t="s">
        <v>76</v>
      </c>
      <c r="J54" s="30">
        <v>42826</v>
      </c>
      <c r="K54" s="26" t="s">
        <v>42</v>
      </c>
      <c r="L54" s="26">
        <v>16</v>
      </c>
      <c r="M54" s="26">
        <f>(0.5*22*12)</f>
        <v>132</v>
      </c>
      <c r="N54" s="24">
        <v>132</v>
      </c>
      <c r="O54" s="24">
        <v>0</v>
      </c>
      <c r="P54" s="24">
        <f>N54-O54</f>
        <v>132</v>
      </c>
      <c r="Q54" s="24" t="s">
        <v>183</v>
      </c>
      <c r="R54" s="26" t="s">
        <v>24</v>
      </c>
      <c r="S54" s="26" t="s">
        <v>77</v>
      </c>
      <c r="T54" s="32">
        <v>1</v>
      </c>
    </row>
    <row r="55" spans="1:20" x14ac:dyDescent="0.3">
      <c r="A55" s="24" t="s">
        <v>183</v>
      </c>
      <c r="B55" s="24" t="s">
        <v>328</v>
      </c>
      <c r="C55" s="24" t="s">
        <v>312</v>
      </c>
      <c r="D55" s="24" t="s">
        <v>344</v>
      </c>
      <c r="E55" s="24" t="s">
        <v>495</v>
      </c>
      <c r="F55" s="24" t="s">
        <v>223</v>
      </c>
      <c r="G55" s="25">
        <v>6</v>
      </c>
      <c r="H55" s="24" t="s">
        <v>314</v>
      </c>
      <c r="I55" s="46" t="s">
        <v>70</v>
      </c>
      <c r="J55" s="30">
        <v>42826</v>
      </c>
      <c r="K55" s="26" t="s">
        <v>31</v>
      </c>
      <c r="L55" s="26">
        <v>16</v>
      </c>
      <c r="M55" s="26">
        <f>15*365/60</f>
        <v>91.25</v>
      </c>
      <c r="N55" s="24">
        <f>90*365/60</f>
        <v>547.5</v>
      </c>
      <c r="O55" s="24">
        <f>75*365/60</f>
        <v>456.25</v>
      </c>
      <c r="P55" s="24">
        <f>N55-O55</f>
        <v>91.25</v>
      </c>
      <c r="Q55" s="24" t="s">
        <v>183</v>
      </c>
      <c r="R55" s="26" t="s">
        <v>24</v>
      </c>
      <c r="S55" s="26" t="s">
        <v>71</v>
      </c>
      <c r="T55" s="32">
        <v>1</v>
      </c>
    </row>
    <row r="56" spans="1:20" x14ac:dyDescent="0.3">
      <c r="A56" s="24" t="s">
        <v>340</v>
      </c>
      <c r="B56" s="24" t="s">
        <v>328</v>
      </c>
      <c r="C56" s="24" t="s">
        <v>312</v>
      </c>
      <c r="D56" s="24" t="s">
        <v>344</v>
      </c>
      <c r="E56" s="24" t="s">
        <v>495</v>
      </c>
      <c r="F56" s="24" t="s">
        <v>223</v>
      </c>
      <c r="G56" s="25">
        <v>48</v>
      </c>
      <c r="H56" s="24" t="s">
        <v>314</v>
      </c>
      <c r="I56" s="26" t="s">
        <v>561</v>
      </c>
      <c r="J56" s="24" t="s">
        <v>510</v>
      </c>
      <c r="K56" s="26" t="s">
        <v>42</v>
      </c>
      <c r="L56" s="26">
        <v>40</v>
      </c>
      <c r="M56" s="26">
        <v>150</v>
      </c>
      <c r="N56" s="26"/>
      <c r="Q56" s="24">
        <v>5</v>
      </c>
      <c r="R56" s="26" t="s">
        <v>24</v>
      </c>
      <c r="S56" s="26" t="s">
        <v>65</v>
      </c>
    </row>
    <row r="57" spans="1:20" x14ac:dyDescent="0.3">
      <c r="A57" s="24" t="s">
        <v>183</v>
      </c>
      <c r="B57" s="24" t="s">
        <v>321</v>
      </c>
      <c r="C57" s="24" t="s">
        <v>526</v>
      </c>
      <c r="D57" s="24" t="s">
        <v>344</v>
      </c>
      <c r="E57" s="24" t="s">
        <v>495</v>
      </c>
      <c r="F57" s="24" t="s">
        <v>223</v>
      </c>
      <c r="G57" s="25"/>
      <c r="H57" s="24" t="s">
        <v>323</v>
      </c>
      <c r="I57" s="48" t="s">
        <v>544</v>
      </c>
      <c r="J57" s="24" t="s">
        <v>545</v>
      </c>
      <c r="K57" s="24" t="s">
        <v>534</v>
      </c>
      <c r="L57" s="24">
        <v>10</v>
      </c>
      <c r="M57" s="24">
        <v>78</v>
      </c>
      <c r="R57" s="24" t="s">
        <v>24</v>
      </c>
    </row>
    <row r="58" spans="1:20" x14ac:dyDescent="0.3">
      <c r="A58" s="24" t="s">
        <v>183</v>
      </c>
      <c r="B58" s="24" t="s">
        <v>321</v>
      </c>
      <c r="C58" s="24" t="s">
        <v>526</v>
      </c>
      <c r="D58" s="24" t="s">
        <v>344</v>
      </c>
      <c r="E58" s="24" t="s">
        <v>495</v>
      </c>
      <c r="F58" s="24" t="s">
        <v>223</v>
      </c>
      <c r="G58" s="25"/>
      <c r="H58" s="24" t="s">
        <v>323</v>
      </c>
      <c r="I58" s="48" t="s">
        <v>532</v>
      </c>
      <c r="J58" s="24" t="s">
        <v>533</v>
      </c>
      <c r="K58" s="24" t="s">
        <v>534</v>
      </c>
      <c r="L58" s="24" t="s">
        <v>535</v>
      </c>
      <c r="M58" s="24">
        <f>15*12*4*12/24</f>
        <v>360</v>
      </c>
      <c r="Q58" s="24">
        <v>48</v>
      </c>
      <c r="R58" s="24" t="s">
        <v>492</v>
      </c>
    </row>
    <row r="59" spans="1:20" x14ac:dyDescent="0.3">
      <c r="A59" s="24" t="s">
        <v>183</v>
      </c>
      <c r="B59" s="24" t="s">
        <v>321</v>
      </c>
      <c r="C59" s="24" t="s">
        <v>527</v>
      </c>
      <c r="D59" s="24" t="s">
        <v>344</v>
      </c>
      <c r="E59" s="24" t="s">
        <v>495</v>
      </c>
      <c r="F59" s="24" t="s">
        <v>223</v>
      </c>
      <c r="G59" s="25"/>
      <c r="I59" s="48" t="s">
        <v>551</v>
      </c>
      <c r="J59" s="24" t="s">
        <v>552</v>
      </c>
      <c r="K59" s="24" t="s">
        <v>549</v>
      </c>
      <c r="L59" s="24" t="s">
        <v>553</v>
      </c>
      <c r="M59" s="24">
        <v>260</v>
      </c>
      <c r="R59" s="24" t="s">
        <v>24</v>
      </c>
    </row>
    <row r="60" spans="1:20" x14ac:dyDescent="0.3">
      <c r="A60" s="24" t="s">
        <v>183</v>
      </c>
      <c r="B60" s="24" t="s">
        <v>321</v>
      </c>
      <c r="C60" s="24" t="s">
        <v>528</v>
      </c>
      <c r="D60" s="24" t="s">
        <v>344</v>
      </c>
      <c r="E60" s="24" t="s">
        <v>495</v>
      </c>
      <c r="F60" s="24" t="s">
        <v>223</v>
      </c>
      <c r="G60" s="25"/>
      <c r="I60" s="48" t="s">
        <v>551</v>
      </c>
      <c r="J60" s="24" t="s">
        <v>552</v>
      </c>
      <c r="K60" s="24" t="s">
        <v>555</v>
      </c>
      <c r="L60" s="24" t="s">
        <v>553</v>
      </c>
      <c r="M60" s="24">
        <v>260</v>
      </c>
      <c r="R60" s="24" t="s">
        <v>24</v>
      </c>
    </row>
    <row r="61" spans="1:20" hidden="1" x14ac:dyDescent="0.3">
      <c r="A61" s="24" t="s">
        <v>183</v>
      </c>
      <c r="B61" s="24" t="s">
        <v>320</v>
      </c>
      <c r="C61" s="24" t="s">
        <v>131</v>
      </c>
      <c r="D61" s="24" t="s">
        <v>455</v>
      </c>
      <c r="E61" s="24" t="s">
        <v>497</v>
      </c>
      <c r="F61" s="24" t="s">
        <v>223</v>
      </c>
      <c r="G61" s="25">
        <v>2</v>
      </c>
      <c r="H61" s="24" t="s">
        <v>424</v>
      </c>
      <c r="I61" s="48" t="s">
        <v>135</v>
      </c>
      <c r="J61" s="30">
        <v>42795</v>
      </c>
      <c r="K61" s="26" t="s">
        <v>136</v>
      </c>
      <c r="L61" s="26">
        <v>8</v>
      </c>
      <c r="M61" s="26">
        <v>60</v>
      </c>
      <c r="N61" s="24">
        <v>70</v>
      </c>
      <c r="O61" s="24">
        <v>10</v>
      </c>
      <c r="P61" s="24">
        <f>N61-O61</f>
        <v>60</v>
      </c>
      <c r="Q61" s="24">
        <v>1</v>
      </c>
      <c r="R61" s="26" t="s">
        <v>24</v>
      </c>
      <c r="S61" s="24" t="s">
        <v>391</v>
      </c>
    </row>
    <row r="62" spans="1:20" hidden="1" x14ac:dyDescent="0.3">
      <c r="A62" s="24" t="s">
        <v>183</v>
      </c>
      <c r="B62" s="24" t="s">
        <v>320</v>
      </c>
      <c r="C62" s="24" t="s">
        <v>131</v>
      </c>
      <c r="D62" s="24" t="s">
        <v>455</v>
      </c>
      <c r="E62" s="24" t="s">
        <v>497</v>
      </c>
      <c r="F62" s="24" t="s">
        <v>223</v>
      </c>
      <c r="G62" s="25">
        <v>3</v>
      </c>
      <c r="H62" s="24" t="s">
        <v>424</v>
      </c>
      <c r="I62" s="48" t="s">
        <v>137</v>
      </c>
      <c r="J62" s="30">
        <v>42826</v>
      </c>
      <c r="K62" s="26" t="s">
        <v>427</v>
      </c>
      <c r="L62" s="26">
        <v>10</v>
      </c>
      <c r="M62" s="26">
        <v>60</v>
      </c>
      <c r="N62" s="24">
        <f>9*12</f>
        <v>108</v>
      </c>
      <c r="O62" s="24">
        <f>4*12</f>
        <v>48</v>
      </c>
      <c r="P62" s="24">
        <f>N62-O62</f>
        <v>60</v>
      </c>
      <c r="Q62" s="24" t="s">
        <v>183</v>
      </c>
      <c r="R62" s="26" t="s">
        <v>24</v>
      </c>
      <c r="S62" s="24" t="s">
        <v>134</v>
      </c>
    </row>
    <row r="63" spans="1:20" ht="13.8" hidden="1" customHeight="1" x14ac:dyDescent="0.3">
      <c r="A63" s="24" t="s">
        <v>183</v>
      </c>
      <c r="B63" s="24" t="s">
        <v>320</v>
      </c>
      <c r="C63" s="24" t="s">
        <v>131</v>
      </c>
      <c r="D63" s="24" t="s">
        <v>455</v>
      </c>
      <c r="E63" s="24" t="s">
        <v>497</v>
      </c>
      <c r="F63" s="24" t="s">
        <v>223</v>
      </c>
      <c r="G63" s="25">
        <v>5</v>
      </c>
      <c r="H63" s="24" t="s">
        <v>424</v>
      </c>
      <c r="I63" s="48" t="s">
        <v>141</v>
      </c>
      <c r="J63" s="30">
        <v>42826</v>
      </c>
      <c r="K63" s="26" t="s">
        <v>427</v>
      </c>
      <c r="L63" s="26">
        <v>4</v>
      </c>
      <c r="M63" s="26">
        <v>10</v>
      </c>
      <c r="N63" s="24">
        <v>10</v>
      </c>
      <c r="O63" s="24">
        <v>0</v>
      </c>
      <c r="P63" s="24">
        <f>N63-O63</f>
        <v>10</v>
      </c>
      <c r="Q63" s="24">
        <v>1</v>
      </c>
      <c r="R63" s="26" t="s">
        <v>24</v>
      </c>
      <c r="S63" s="24" t="s">
        <v>142</v>
      </c>
    </row>
    <row r="64" spans="1:20" hidden="1" x14ac:dyDescent="0.3">
      <c r="A64" s="24" t="s">
        <v>183</v>
      </c>
      <c r="B64" s="24" t="s">
        <v>320</v>
      </c>
      <c r="C64" s="24" t="s">
        <v>131</v>
      </c>
      <c r="D64" s="24" t="s">
        <v>455</v>
      </c>
      <c r="E64" s="24" t="s">
        <v>497</v>
      </c>
      <c r="F64" s="24" t="s">
        <v>223</v>
      </c>
      <c r="G64" s="25">
        <v>6</v>
      </c>
      <c r="H64" s="24" t="s">
        <v>424</v>
      </c>
      <c r="I64" s="48" t="s">
        <v>143</v>
      </c>
      <c r="J64" s="30">
        <v>42856</v>
      </c>
      <c r="K64" s="26" t="s">
        <v>145</v>
      </c>
      <c r="L64" s="26">
        <v>80</v>
      </c>
      <c r="M64" s="26">
        <v>180</v>
      </c>
      <c r="N64" s="26">
        <v>180</v>
      </c>
      <c r="O64" s="24">
        <v>0</v>
      </c>
      <c r="P64" s="24">
        <f>N64-O64</f>
        <v>180</v>
      </c>
      <c r="Q64" s="24">
        <v>1</v>
      </c>
      <c r="R64" s="24" t="s">
        <v>492</v>
      </c>
      <c r="S64" s="24" t="s">
        <v>146</v>
      </c>
    </row>
    <row r="65" spans="1:20" ht="14.4" hidden="1" x14ac:dyDescent="0.3">
      <c r="A65" s="24" t="s">
        <v>183</v>
      </c>
      <c r="B65" s="24" t="s">
        <v>328</v>
      </c>
      <c r="C65" s="24" t="s">
        <v>361</v>
      </c>
      <c r="D65" s="24" t="s">
        <v>343</v>
      </c>
      <c r="E65" s="24" t="s">
        <v>497</v>
      </c>
      <c r="F65" s="24" t="s">
        <v>223</v>
      </c>
      <c r="G65" s="25">
        <v>10</v>
      </c>
      <c r="H65" s="24" t="s">
        <v>329</v>
      </c>
      <c r="I65" s="48" t="s">
        <v>371</v>
      </c>
      <c r="J65" s="24" t="s">
        <v>368</v>
      </c>
      <c r="K65" s="8" t="s">
        <v>464</v>
      </c>
      <c r="L65" s="8">
        <v>20</v>
      </c>
      <c r="M65" s="24">
        <v>60</v>
      </c>
      <c r="N65" s="24">
        <v>60</v>
      </c>
      <c r="R65" s="24" t="s">
        <v>24</v>
      </c>
      <c r="S65" s="24" t="s">
        <v>465</v>
      </c>
    </row>
    <row r="66" spans="1:20" ht="14.4" hidden="1" x14ac:dyDescent="0.3">
      <c r="A66" s="24" t="s">
        <v>183</v>
      </c>
      <c r="B66" s="24" t="s">
        <v>328</v>
      </c>
      <c r="C66" s="24" t="s">
        <v>361</v>
      </c>
      <c r="D66" s="24" t="s">
        <v>343</v>
      </c>
      <c r="E66" s="24" t="s">
        <v>497</v>
      </c>
      <c r="F66" s="24" t="s">
        <v>223</v>
      </c>
      <c r="G66" s="25">
        <v>22</v>
      </c>
      <c r="H66" s="24" t="s">
        <v>329</v>
      </c>
      <c r="I66" s="48" t="s">
        <v>129</v>
      </c>
      <c r="J66" s="30">
        <v>42795</v>
      </c>
      <c r="K66" s="8" t="s">
        <v>376</v>
      </c>
      <c r="L66" s="8">
        <v>10</v>
      </c>
      <c r="M66" s="24">
        <v>72</v>
      </c>
      <c r="N66" s="24">
        <v>72</v>
      </c>
      <c r="O66" s="24">
        <v>0</v>
      </c>
      <c r="P66" s="24">
        <v>72</v>
      </c>
      <c r="Q66" s="24">
        <v>20</v>
      </c>
      <c r="R66" s="24" t="s">
        <v>24</v>
      </c>
      <c r="S66" s="24" t="s">
        <v>337</v>
      </c>
    </row>
    <row r="67" spans="1:20" ht="14.4" hidden="1" x14ac:dyDescent="0.3">
      <c r="A67" s="24" t="s">
        <v>183</v>
      </c>
      <c r="B67" s="24" t="s">
        <v>328</v>
      </c>
      <c r="C67" s="24" t="s">
        <v>361</v>
      </c>
      <c r="D67" s="24" t="s">
        <v>343</v>
      </c>
      <c r="E67" s="24" t="s">
        <v>497</v>
      </c>
      <c r="F67" s="24" t="s">
        <v>223</v>
      </c>
      <c r="G67" s="25">
        <v>15</v>
      </c>
      <c r="H67" s="24" t="s">
        <v>329</v>
      </c>
      <c r="I67" s="48" t="s">
        <v>442</v>
      </c>
      <c r="J67" s="30">
        <v>42887</v>
      </c>
      <c r="K67" s="8" t="s">
        <v>379</v>
      </c>
      <c r="L67" s="8">
        <v>10</v>
      </c>
      <c r="M67" s="24">
        <v>60</v>
      </c>
      <c r="N67" s="24">
        <v>60</v>
      </c>
      <c r="Q67" s="24">
        <v>4</v>
      </c>
      <c r="R67" s="24" t="s">
        <v>24</v>
      </c>
      <c r="S67" s="24" t="s">
        <v>443</v>
      </c>
      <c r="T67" s="33">
        <v>1</v>
      </c>
    </row>
    <row r="68" spans="1:20" ht="14.4" hidden="1" x14ac:dyDescent="0.3">
      <c r="B68" s="24" t="s">
        <v>328</v>
      </c>
      <c r="C68" s="24" t="s">
        <v>361</v>
      </c>
      <c r="D68" s="24" t="s">
        <v>343</v>
      </c>
      <c r="E68" s="24" t="s">
        <v>497</v>
      </c>
      <c r="F68" s="24" t="s">
        <v>223</v>
      </c>
      <c r="G68" s="25">
        <v>17</v>
      </c>
      <c r="H68" s="24" t="s">
        <v>329</v>
      </c>
      <c r="I68" s="48" t="s">
        <v>446</v>
      </c>
      <c r="J68" s="30">
        <v>42887</v>
      </c>
      <c r="K68" s="26" t="s">
        <v>447</v>
      </c>
      <c r="L68" s="8">
        <v>10</v>
      </c>
      <c r="M68" s="24">
        <v>60</v>
      </c>
      <c r="N68" s="24">
        <v>60</v>
      </c>
      <c r="Q68" s="24">
        <v>4</v>
      </c>
      <c r="R68" s="24" t="s">
        <v>24</v>
      </c>
      <c r="S68" s="24" t="s">
        <v>448</v>
      </c>
      <c r="T68" s="33">
        <v>1</v>
      </c>
    </row>
    <row r="69" spans="1:20" ht="14.4" hidden="1" x14ac:dyDescent="0.3">
      <c r="A69" s="24" t="s">
        <v>183</v>
      </c>
      <c r="B69" s="24" t="s">
        <v>328</v>
      </c>
      <c r="C69" s="24" t="s">
        <v>361</v>
      </c>
      <c r="D69" s="24" t="s">
        <v>455</v>
      </c>
      <c r="E69" s="24" t="s">
        <v>497</v>
      </c>
      <c r="F69" s="24" t="s">
        <v>223</v>
      </c>
      <c r="G69" s="25">
        <v>16</v>
      </c>
      <c r="H69" s="24" t="s">
        <v>329</v>
      </c>
      <c r="I69" s="48" t="s">
        <v>444</v>
      </c>
      <c r="J69" s="30">
        <v>42917</v>
      </c>
      <c r="K69" s="8" t="s">
        <v>445</v>
      </c>
      <c r="L69" s="8">
        <v>10</v>
      </c>
      <c r="M69" s="24">
        <v>60</v>
      </c>
      <c r="N69" s="24">
        <v>60</v>
      </c>
      <c r="Q69" s="24">
        <v>4</v>
      </c>
      <c r="R69" s="24" t="s">
        <v>24</v>
      </c>
      <c r="S69" s="24" t="s">
        <v>467</v>
      </c>
    </row>
    <row r="70" spans="1:20" hidden="1" x14ac:dyDescent="0.3">
      <c r="A70" s="24" t="s">
        <v>183</v>
      </c>
      <c r="B70" s="24" t="s">
        <v>321</v>
      </c>
      <c r="C70" s="24" t="s">
        <v>322</v>
      </c>
      <c r="D70" s="24" t="s">
        <v>455</v>
      </c>
      <c r="E70" s="24" t="s">
        <v>497</v>
      </c>
      <c r="F70" s="24" t="s">
        <v>412</v>
      </c>
      <c r="G70" s="25">
        <v>2</v>
      </c>
      <c r="H70" s="24" t="s">
        <v>323</v>
      </c>
      <c r="I70" s="24" t="s">
        <v>157</v>
      </c>
      <c r="J70" s="30">
        <v>42826</v>
      </c>
      <c r="K70" s="24" t="s">
        <v>349</v>
      </c>
      <c r="L70" s="26">
        <v>40</v>
      </c>
      <c r="M70" s="26">
        <v>0</v>
      </c>
      <c r="N70" s="24">
        <v>0</v>
      </c>
      <c r="O70" s="24">
        <v>0</v>
      </c>
      <c r="P70" s="24">
        <v>0</v>
      </c>
      <c r="Q70" s="24">
        <v>1</v>
      </c>
      <c r="R70" s="24" t="s">
        <v>24</v>
      </c>
      <c r="S70" s="24" t="s">
        <v>350</v>
      </c>
    </row>
    <row r="71" spans="1:20" hidden="1" x14ac:dyDescent="0.3">
      <c r="A71" s="24" t="s">
        <v>183</v>
      </c>
      <c r="B71" s="24" t="s">
        <v>321</v>
      </c>
      <c r="C71" s="24" t="s">
        <v>322</v>
      </c>
      <c r="D71" s="24" t="s">
        <v>455</v>
      </c>
      <c r="E71" s="24" t="s">
        <v>497</v>
      </c>
      <c r="F71" s="24" t="s">
        <v>223</v>
      </c>
      <c r="G71" s="25">
        <v>5</v>
      </c>
      <c r="H71" s="24" t="s">
        <v>323</v>
      </c>
      <c r="I71" s="48" t="s">
        <v>160</v>
      </c>
      <c r="J71" s="30">
        <v>42856</v>
      </c>
      <c r="K71" s="24" t="s">
        <v>352</v>
      </c>
      <c r="L71" s="26">
        <v>24</v>
      </c>
      <c r="M71" s="26">
        <v>60</v>
      </c>
      <c r="N71" s="24">
        <f>5*1*12</f>
        <v>60</v>
      </c>
      <c r="Q71" s="24">
        <v>5</v>
      </c>
      <c r="R71" s="24" t="s">
        <v>492</v>
      </c>
      <c r="S71" s="24" t="s">
        <v>353</v>
      </c>
    </row>
    <row r="72" spans="1:20" hidden="1" x14ac:dyDescent="0.3">
      <c r="A72" s="24" t="s">
        <v>183</v>
      </c>
      <c r="B72" s="24" t="s">
        <v>321</v>
      </c>
      <c r="C72" s="24" t="s">
        <v>322</v>
      </c>
      <c r="D72" s="24" t="s">
        <v>455</v>
      </c>
      <c r="E72" s="24" t="s">
        <v>497</v>
      </c>
      <c r="F72" s="24" t="s">
        <v>223</v>
      </c>
      <c r="G72" s="25">
        <v>4</v>
      </c>
      <c r="H72" s="24" t="s">
        <v>323</v>
      </c>
      <c r="I72" s="48" t="s">
        <v>159</v>
      </c>
      <c r="J72" s="30">
        <v>42917</v>
      </c>
      <c r="K72" s="24" t="s">
        <v>351</v>
      </c>
      <c r="L72" s="26">
        <v>80</v>
      </c>
      <c r="M72" s="26">
        <v>75</v>
      </c>
      <c r="N72" s="24">
        <v>75</v>
      </c>
      <c r="Q72" s="24">
        <v>2</v>
      </c>
      <c r="R72" s="24" t="s">
        <v>24</v>
      </c>
      <c r="S72" s="26" t="s">
        <v>190</v>
      </c>
    </row>
    <row r="73" spans="1:20" ht="28.8" hidden="1" x14ac:dyDescent="0.3">
      <c r="A73" s="24" t="s">
        <v>183</v>
      </c>
      <c r="B73" s="24" t="s">
        <v>321</v>
      </c>
      <c r="C73" s="24" t="s">
        <v>322</v>
      </c>
      <c r="D73" s="24" t="s">
        <v>344</v>
      </c>
      <c r="E73" s="24" t="s">
        <v>497</v>
      </c>
      <c r="F73" s="24" t="s">
        <v>223</v>
      </c>
      <c r="G73" s="25"/>
      <c r="H73" s="24" t="s">
        <v>323</v>
      </c>
      <c r="I73" s="49" t="s">
        <v>500</v>
      </c>
      <c r="J73" s="24" t="s">
        <v>481</v>
      </c>
      <c r="K73" s="24" t="s">
        <v>501</v>
      </c>
      <c r="L73" s="24">
        <v>40</v>
      </c>
      <c r="M73" s="26"/>
      <c r="R73" s="24" t="s">
        <v>24</v>
      </c>
      <c r="S73" s="24" t="s">
        <v>503</v>
      </c>
    </row>
    <row r="74" spans="1:20" ht="14.4" hidden="1" x14ac:dyDescent="0.3">
      <c r="A74" s="24" t="s">
        <v>183</v>
      </c>
      <c r="B74" s="24" t="s">
        <v>328</v>
      </c>
      <c r="C74" s="24" t="s">
        <v>361</v>
      </c>
      <c r="D74" s="24" t="s">
        <v>343</v>
      </c>
      <c r="E74" s="24" t="s">
        <v>497</v>
      </c>
      <c r="F74" s="24" t="s">
        <v>223</v>
      </c>
      <c r="G74" s="25">
        <v>14</v>
      </c>
      <c r="H74" s="24" t="s">
        <v>329</v>
      </c>
      <c r="I74" s="48" t="s">
        <v>113</v>
      </c>
      <c r="J74" s="30">
        <v>42795</v>
      </c>
      <c r="K74" s="8" t="s">
        <v>376</v>
      </c>
      <c r="L74" s="8">
        <v>5</v>
      </c>
      <c r="M74" s="24">
        <v>60</v>
      </c>
      <c r="N74" s="24">
        <v>60</v>
      </c>
      <c r="O74" s="24">
        <v>0</v>
      </c>
      <c r="P74" s="24">
        <v>60</v>
      </c>
      <c r="Q74" s="24">
        <v>2</v>
      </c>
      <c r="R74" s="24" t="s">
        <v>209</v>
      </c>
      <c r="S74" s="24" t="s">
        <v>333</v>
      </c>
    </row>
    <row r="75" spans="1:20" hidden="1" x14ac:dyDescent="0.3">
      <c r="A75" s="24" t="s">
        <v>183</v>
      </c>
      <c r="B75" s="24" t="s">
        <v>320</v>
      </c>
      <c r="C75" s="24" t="s">
        <v>325</v>
      </c>
      <c r="D75" s="24" t="s">
        <v>344</v>
      </c>
      <c r="E75" s="24" t="s">
        <v>496</v>
      </c>
      <c r="F75" s="24" t="s">
        <v>223</v>
      </c>
      <c r="G75" s="25">
        <v>1</v>
      </c>
      <c r="H75" s="24" t="s">
        <v>326</v>
      </c>
      <c r="I75" s="48" t="s">
        <v>355</v>
      </c>
      <c r="J75" s="30">
        <v>42917</v>
      </c>
      <c r="K75" s="24" t="s">
        <v>356</v>
      </c>
      <c r="L75" s="24">
        <v>40</v>
      </c>
      <c r="M75" s="24">
        <f>6*52</f>
        <v>312</v>
      </c>
      <c r="N75" s="24">
        <f>6*52</f>
        <v>312</v>
      </c>
      <c r="Q75" s="24" t="s">
        <v>183</v>
      </c>
      <c r="R75" s="24" t="s">
        <v>24</v>
      </c>
      <c r="S75" s="24" t="s">
        <v>357</v>
      </c>
    </row>
    <row r="76" spans="1:20" ht="41.4" hidden="1" x14ac:dyDescent="0.3">
      <c r="A76" s="24" t="s">
        <v>183</v>
      </c>
      <c r="B76" s="24" t="s">
        <v>321</v>
      </c>
      <c r="C76" s="24" t="s">
        <v>322</v>
      </c>
      <c r="D76" s="24" t="s">
        <v>344</v>
      </c>
      <c r="E76" s="24" t="s">
        <v>496</v>
      </c>
      <c r="F76" s="24" t="s">
        <v>223</v>
      </c>
      <c r="G76" s="25">
        <v>7</v>
      </c>
      <c r="H76" s="24" t="s">
        <v>323</v>
      </c>
      <c r="I76" s="50" t="s">
        <v>504</v>
      </c>
      <c r="J76" s="30">
        <v>42917</v>
      </c>
      <c r="K76" s="24" t="s">
        <v>501</v>
      </c>
      <c r="L76" s="26">
        <v>80</v>
      </c>
      <c r="M76" s="26">
        <v>50</v>
      </c>
      <c r="N76" s="24">
        <v>50</v>
      </c>
      <c r="O76" s="24">
        <v>0</v>
      </c>
      <c r="Q76" s="24" t="s">
        <v>183</v>
      </c>
      <c r="R76" s="24" t="s">
        <v>24</v>
      </c>
      <c r="S76" s="24" t="s">
        <v>505</v>
      </c>
      <c r="T76" s="33">
        <v>1</v>
      </c>
    </row>
    <row r="77" spans="1:20" ht="73.2" hidden="1" customHeight="1" x14ac:dyDescent="0.3">
      <c r="A77" s="24" t="s">
        <v>340</v>
      </c>
      <c r="B77" s="24" t="s">
        <v>328</v>
      </c>
      <c r="C77" s="24" t="s">
        <v>312</v>
      </c>
      <c r="D77" s="24" t="s">
        <v>344</v>
      </c>
      <c r="E77" s="24" t="s">
        <v>496</v>
      </c>
      <c r="F77" s="24" t="s">
        <v>223</v>
      </c>
      <c r="G77" s="25">
        <v>1</v>
      </c>
      <c r="H77" s="24" t="s">
        <v>314</v>
      </c>
      <c r="I77" s="46" t="s">
        <v>22</v>
      </c>
      <c r="J77" s="30">
        <v>42795</v>
      </c>
      <c r="K77" s="26" t="s">
        <v>25</v>
      </c>
      <c r="L77" s="26">
        <v>10</v>
      </c>
      <c r="M77" s="26">
        <f>(((8*180)/3)/60)*12</f>
        <v>96</v>
      </c>
      <c r="N77" s="26">
        <f>(((10*180)/3)/60)*12</f>
        <v>120</v>
      </c>
      <c r="O77" s="26">
        <f>(((2*180)/3)/60)*12</f>
        <v>24</v>
      </c>
      <c r="P77" s="24">
        <f>N77-O77</f>
        <v>96</v>
      </c>
      <c r="Q77" s="24" t="s">
        <v>183</v>
      </c>
      <c r="R77" s="26" t="s">
        <v>24</v>
      </c>
      <c r="S77" s="43" t="s">
        <v>318</v>
      </c>
      <c r="T77" s="32">
        <v>1</v>
      </c>
    </row>
    <row r="78" spans="1:20" hidden="1" x14ac:dyDescent="0.3">
      <c r="A78" s="24" t="s">
        <v>428</v>
      </c>
      <c r="B78" s="24" t="s">
        <v>328</v>
      </c>
      <c r="C78" s="24" t="s">
        <v>312</v>
      </c>
      <c r="D78" s="24" t="s">
        <v>344</v>
      </c>
      <c r="E78" s="24" t="s">
        <v>496</v>
      </c>
      <c r="F78" s="24" t="s">
        <v>223</v>
      </c>
      <c r="G78" s="25">
        <v>2</v>
      </c>
      <c r="H78" s="24" t="s">
        <v>314</v>
      </c>
      <c r="I78" s="46" t="s">
        <v>27</v>
      </c>
      <c r="J78" s="30">
        <v>42795</v>
      </c>
      <c r="K78" s="26" t="s">
        <v>25</v>
      </c>
      <c r="L78" s="26">
        <v>10</v>
      </c>
      <c r="M78" s="26">
        <f>(((8*180)/3)/60)*12</f>
        <v>96</v>
      </c>
      <c r="N78" s="26">
        <f>(((10*180)/3)/60)*12</f>
        <v>120</v>
      </c>
      <c r="O78" s="26">
        <f>(((2*180)/3)/60)*12</f>
        <v>24</v>
      </c>
      <c r="P78" s="24">
        <f>N78-O78</f>
        <v>96</v>
      </c>
      <c r="Q78" s="24" t="s">
        <v>183</v>
      </c>
      <c r="R78" s="26" t="s">
        <v>24</v>
      </c>
      <c r="S78" s="43" t="s">
        <v>318</v>
      </c>
      <c r="T78" s="32">
        <v>1</v>
      </c>
    </row>
    <row r="79" spans="1:20" hidden="1" x14ac:dyDescent="0.3">
      <c r="A79" s="24" t="s">
        <v>183</v>
      </c>
      <c r="B79" s="24" t="s">
        <v>328</v>
      </c>
      <c r="C79" s="24" t="s">
        <v>312</v>
      </c>
      <c r="D79" s="24" t="s">
        <v>344</v>
      </c>
      <c r="E79" s="24" t="s">
        <v>496</v>
      </c>
      <c r="F79" s="24" t="s">
        <v>223</v>
      </c>
      <c r="G79" s="25">
        <v>3</v>
      </c>
      <c r="H79" s="24" t="s">
        <v>314</v>
      </c>
      <c r="I79" s="46" t="s">
        <v>28</v>
      </c>
      <c r="J79" s="30">
        <v>42795</v>
      </c>
      <c r="K79" s="26" t="s">
        <v>25</v>
      </c>
      <c r="L79" s="26">
        <v>10</v>
      </c>
      <c r="M79" s="26">
        <f>(((8*180)/3)/60)*12</f>
        <v>96</v>
      </c>
      <c r="N79" s="26">
        <f>(((10*180)/3)/60)*12</f>
        <v>120</v>
      </c>
      <c r="O79" s="26">
        <f>(((2*180)/3)/60)*12</f>
        <v>24</v>
      </c>
      <c r="P79" s="24">
        <f>N79-O79</f>
        <v>96</v>
      </c>
      <c r="Q79" s="24" t="s">
        <v>183</v>
      </c>
      <c r="R79" s="26" t="s">
        <v>24</v>
      </c>
      <c r="S79" s="43" t="s">
        <v>318</v>
      </c>
      <c r="T79" s="32">
        <v>1</v>
      </c>
    </row>
    <row r="80" spans="1:20" hidden="1" x14ac:dyDescent="0.3">
      <c r="A80" s="24" t="s">
        <v>183</v>
      </c>
      <c r="B80" s="24" t="s">
        <v>328</v>
      </c>
      <c r="C80" s="24" t="s">
        <v>312</v>
      </c>
      <c r="D80" s="24" t="s">
        <v>344</v>
      </c>
      <c r="E80" s="24" t="s">
        <v>496</v>
      </c>
      <c r="F80" s="24" t="s">
        <v>223</v>
      </c>
      <c r="G80" s="25">
        <v>50</v>
      </c>
      <c r="H80" s="24" t="s">
        <v>314</v>
      </c>
      <c r="I80" s="26" t="s">
        <v>484</v>
      </c>
      <c r="J80" s="30">
        <v>42917</v>
      </c>
      <c r="K80" s="26" t="s">
        <v>61</v>
      </c>
      <c r="L80" s="26">
        <v>16</v>
      </c>
      <c r="M80" s="26">
        <v>48</v>
      </c>
      <c r="N80" s="24">
        <f>4*12</f>
        <v>48</v>
      </c>
      <c r="O80" s="24">
        <v>12</v>
      </c>
      <c r="P80" s="24">
        <f>N80-O80</f>
        <v>36</v>
      </c>
      <c r="Q80" s="24" t="s">
        <v>183</v>
      </c>
      <c r="R80" s="26" t="s">
        <v>24</v>
      </c>
      <c r="S80" s="26" t="s">
        <v>485</v>
      </c>
      <c r="T80" s="33">
        <v>0.75</v>
      </c>
    </row>
    <row r="81" spans="1:20" hidden="1" x14ac:dyDescent="0.3">
      <c r="A81" s="24" t="s">
        <v>428</v>
      </c>
      <c r="B81" s="24" t="s">
        <v>328</v>
      </c>
      <c r="C81" s="24" t="s">
        <v>312</v>
      </c>
      <c r="D81" s="24" t="s">
        <v>344</v>
      </c>
      <c r="E81" s="24" t="s">
        <v>496</v>
      </c>
      <c r="F81" s="24" t="s">
        <v>412</v>
      </c>
      <c r="G81" s="25"/>
      <c r="H81" s="24" t="s">
        <v>314</v>
      </c>
      <c r="I81" s="26" t="s">
        <v>493</v>
      </c>
      <c r="J81" s="24" t="s">
        <v>481</v>
      </c>
      <c r="K81" s="26" t="s">
        <v>48</v>
      </c>
      <c r="L81" s="26">
        <v>24</v>
      </c>
      <c r="M81" s="26"/>
      <c r="R81" s="26" t="s">
        <v>24</v>
      </c>
      <c r="S81" s="26"/>
      <c r="T81" s="33"/>
    </row>
    <row r="82" spans="1:20" hidden="1" x14ac:dyDescent="0.3">
      <c r="A82" s="24" t="s">
        <v>340</v>
      </c>
      <c r="B82" s="24" t="s">
        <v>328</v>
      </c>
      <c r="C82" s="24" t="s">
        <v>312</v>
      </c>
      <c r="D82" s="24" t="s">
        <v>344</v>
      </c>
      <c r="E82" s="24" t="s">
        <v>496</v>
      </c>
      <c r="F82" s="24" t="s">
        <v>412</v>
      </c>
      <c r="G82" s="25"/>
      <c r="H82" s="24" t="s">
        <v>314</v>
      </c>
      <c r="I82" s="26" t="s">
        <v>522</v>
      </c>
      <c r="J82" s="30">
        <v>42948</v>
      </c>
      <c r="K82" s="26" t="s">
        <v>61</v>
      </c>
      <c r="L82" s="26">
        <v>16</v>
      </c>
      <c r="M82" s="26">
        <v>0</v>
      </c>
      <c r="Q82" s="24" t="s">
        <v>183</v>
      </c>
      <c r="R82" s="26" t="s">
        <v>24</v>
      </c>
      <c r="S82" s="26"/>
      <c r="T82" s="33"/>
    </row>
    <row r="83" spans="1:20" x14ac:dyDescent="0.3">
      <c r="G83" s="25"/>
    </row>
    <row r="84" spans="1:20" x14ac:dyDescent="0.3">
      <c r="G84" s="25"/>
    </row>
    <row r="85" spans="1:20" x14ac:dyDescent="0.3">
      <c r="G85" s="25"/>
    </row>
    <row r="86" spans="1:20" x14ac:dyDescent="0.3">
      <c r="G86" s="25"/>
    </row>
    <row r="87" spans="1:20" x14ac:dyDescent="0.3">
      <c r="G87" s="25"/>
    </row>
    <row r="88" spans="1:20" x14ac:dyDescent="0.3">
      <c r="G88" s="25"/>
    </row>
    <row r="89" spans="1:20" x14ac:dyDescent="0.3">
      <c r="G89" s="25"/>
    </row>
    <row r="90" spans="1:20" x14ac:dyDescent="0.3">
      <c r="G90" s="25"/>
    </row>
    <row r="91" spans="1:20" x14ac:dyDescent="0.3">
      <c r="G91" s="25"/>
    </row>
    <row r="92" spans="1:20" x14ac:dyDescent="0.3">
      <c r="G92" s="25"/>
    </row>
    <row r="93" spans="1:20" x14ac:dyDescent="0.3">
      <c r="G93" s="25"/>
    </row>
    <row r="94" spans="1:20" x14ac:dyDescent="0.3">
      <c r="G94" s="25"/>
    </row>
    <row r="95" spans="1:20" x14ac:dyDescent="0.3">
      <c r="G95" s="25"/>
    </row>
    <row r="96" spans="1:20" x14ac:dyDescent="0.3">
      <c r="G96" s="25"/>
    </row>
    <row r="97" spans="1:21" s="48" customFormat="1" x14ac:dyDescent="0.3">
      <c r="A97" s="24"/>
      <c r="B97" s="24"/>
      <c r="C97" s="24"/>
      <c r="D97" s="24"/>
      <c r="E97" s="24"/>
      <c r="F97" s="24"/>
      <c r="G97" s="25"/>
      <c r="H97" s="24"/>
      <c r="J97" s="24"/>
      <c r="K97" s="24"/>
      <c r="L97" s="24"/>
      <c r="M97" s="24"/>
      <c r="N97" s="24"/>
      <c r="O97" s="24"/>
      <c r="P97" s="24"/>
      <c r="Q97" s="24"/>
      <c r="R97" s="24"/>
      <c r="S97" s="24"/>
      <c r="T97" s="24"/>
      <c r="U97" s="24"/>
    </row>
    <row r="98" spans="1:21" s="48" customFormat="1" x14ac:dyDescent="0.3">
      <c r="A98" s="24"/>
      <c r="B98" s="24"/>
      <c r="C98" s="24"/>
      <c r="D98" s="24"/>
      <c r="E98" s="24"/>
      <c r="F98" s="24"/>
      <c r="G98" s="25"/>
      <c r="H98" s="24"/>
      <c r="J98" s="24"/>
      <c r="K98" s="24"/>
      <c r="L98" s="24"/>
      <c r="M98" s="24"/>
      <c r="N98" s="24"/>
      <c r="O98" s="24"/>
      <c r="P98" s="24"/>
      <c r="Q98" s="24"/>
      <c r="R98" s="24"/>
      <c r="S98" s="24"/>
      <c r="T98" s="24"/>
      <c r="U98" s="24"/>
    </row>
    <row r="99" spans="1:21" s="48" customFormat="1" x14ac:dyDescent="0.3">
      <c r="A99" s="24"/>
      <c r="B99" s="24"/>
      <c r="C99" s="24"/>
      <c r="D99" s="24"/>
      <c r="E99" s="24"/>
      <c r="F99" s="24"/>
      <c r="G99" s="25"/>
      <c r="H99" s="24"/>
      <c r="J99" s="24"/>
      <c r="K99" s="24"/>
      <c r="L99" s="24"/>
      <c r="M99" s="24"/>
      <c r="N99" s="24"/>
      <c r="O99" s="24"/>
      <c r="P99" s="24"/>
      <c r="Q99" s="24"/>
      <c r="R99" s="24"/>
      <c r="S99" s="24"/>
      <c r="T99" s="24"/>
      <c r="U99" s="24"/>
    </row>
    <row r="100" spans="1:21" s="48" customFormat="1" x14ac:dyDescent="0.3">
      <c r="A100" s="24"/>
      <c r="B100" s="24"/>
      <c r="C100" s="24"/>
      <c r="D100" s="24"/>
      <c r="E100" s="24"/>
      <c r="F100" s="24"/>
      <c r="G100" s="25"/>
      <c r="H100" s="24"/>
      <c r="J100" s="24"/>
      <c r="K100" s="24"/>
      <c r="L100" s="24"/>
      <c r="M100" s="24"/>
      <c r="N100" s="24"/>
      <c r="O100" s="24"/>
      <c r="P100" s="24"/>
      <c r="Q100" s="24"/>
      <c r="R100" s="24"/>
      <c r="S100" s="24"/>
      <c r="T100" s="24"/>
      <c r="U100" s="24"/>
    </row>
    <row r="101" spans="1:21" s="48" customFormat="1" x14ac:dyDescent="0.3">
      <c r="A101" s="24"/>
      <c r="B101" s="24"/>
      <c r="C101" s="24"/>
      <c r="D101" s="24"/>
      <c r="E101" s="24"/>
      <c r="F101" s="24"/>
      <c r="G101" s="25"/>
      <c r="H101" s="24"/>
      <c r="J101" s="24"/>
      <c r="K101" s="24"/>
      <c r="L101" s="24"/>
      <c r="M101" s="24"/>
      <c r="N101" s="24"/>
      <c r="O101" s="24"/>
      <c r="P101" s="24"/>
      <c r="Q101" s="24"/>
      <c r="R101" s="24"/>
      <c r="S101" s="24"/>
      <c r="T101" s="24"/>
      <c r="U101" s="24"/>
    </row>
    <row r="102" spans="1:21" s="48" customFormat="1" x14ac:dyDescent="0.3">
      <c r="A102" s="24"/>
      <c r="B102" s="24"/>
      <c r="C102" s="24"/>
      <c r="D102" s="24"/>
      <c r="E102" s="24"/>
      <c r="F102" s="24"/>
      <c r="G102" s="25"/>
      <c r="H102" s="24"/>
      <c r="J102" s="24"/>
      <c r="K102" s="24"/>
      <c r="L102" s="24"/>
      <c r="M102" s="24"/>
      <c r="N102" s="24"/>
      <c r="O102" s="24"/>
      <c r="P102" s="24"/>
      <c r="Q102" s="24"/>
      <c r="R102" s="24"/>
      <c r="S102" s="24"/>
      <c r="T102" s="24"/>
      <c r="U102" s="24"/>
    </row>
    <row r="103" spans="1:21" s="48" customFormat="1" x14ac:dyDescent="0.3">
      <c r="A103" s="24"/>
      <c r="B103" s="24"/>
      <c r="C103" s="24"/>
      <c r="D103" s="24"/>
      <c r="E103" s="24"/>
      <c r="F103" s="24"/>
      <c r="G103" s="25"/>
      <c r="H103" s="24"/>
      <c r="J103" s="24"/>
      <c r="K103" s="24"/>
      <c r="L103" s="24"/>
      <c r="M103" s="24"/>
      <c r="N103" s="24"/>
      <c r="O103" s="24"/>
      <c r="P103" s="24"/>
      <c r="Q103" s="24"/>
      <c r="R103" s="24"/>
      <c r="S103" s="24"/>
      <c r="T103" s="24"/>
      <c r="U103" s="24"/>
    </row>
    <row r="104" spans="1:21" s="48" customFormat="1" x14ac:dyDescent="0.3">
      <c r="A104" s="24"/>
      <c r="B104" s="24"/>
      <c r="C104" s="24"/>
      <c r="D104" s="24"/>
      <c r="E104" s="24"/>
      <c r="F104" s="24"/>
      <c r="G104" s="25"/>
      <c r="H104" s="24"/>
      <c r="J104" s="24"/>
      <c r="K104" s="24"/>
      <c r="L104" s="24"/>
      <c r="M104" s="24"/>
      <c r="N104" s="24"/>
      <c r="O104" s="24"/>
      <c r="P104" s="24"/>
      <c r="Q104" s="24"/>
      <c r="R104" s="24"/>
      <c r="S104" s="24"/>
      <c r="T104" s="24"/>
      <c r="U104" s="24"/>
    </row>
    <row r="105" spans="1:21" s="48" customFormat="1" x14ac:dyDescent="0.3">
      <c r="A105" s="24"/>
      <c r="B105" s="24"/>
      <c r="C105" s="24"/>
      <c r="D105" s="24"/>
      <c r="E105" s="24"/>
      <c r="F105" s="24"/>
      <c r="G105" s="25"/>
      <c r="H105" s="24"/>
      <c r="J105" s="24"/>
      <c r="K105" s="24"/>
      <c r="L105" s="24"/>
      <c r="M105" s="24"/>
      <c r="N105" s="24"/>
      <c r="O105" s="24"/>
      <c r="P105" s="24"/>
      <c r="Q105" s="24"/>
      <c r="R105" s="24"/>
      <c r="S105" s="24"/>
      <c r="T105" s="24"/>
      <c r="U105" s="24"/>
    </row>
    <row r="106" spans="1:21" s="48" customFormat="1" x14ac:dyDescent="0.3">
      <c r="A106" s="24"/>
      <c r="B106" s="24"/>
      <c r="C106" s="24"/>
      <c r="D106" s="24"/>
      <c r="E106" s="24"/>
      <c r="F106" s="24"/>
      <c r="G106" s="25"/>
      <c r="H106" s="24"/>
      <c r="J106" s="24"/>
      <c r="K106" s="24"/>
      <c r="L106" s="24"/>
      <c r="M106" s="24"/>
      <c r="N106" s="24"/>
      <c r="O106" s="24"/>
      <c r="P106" s="24"/>
      <c r="Q106" s="24"/>
      <c r="R106" s="24"/>
      <c r="S106" s="24"/>
      <c r="T106" s="24"/>
      <c r="U106" s="24"/>
    </row>
    <row r="107" spans="1:21" s="48" customFormat="1" x14ac:dyDescent="0.3">
      <c r="A107" s="24"/>
      <c r="B107" s="24"/>
      <c r="C107" s="24"/>
      <c r="D107" s="24"/>
      <c r="E107" s="24"/>
      <c r="F107" s="24"/>
      <c r="G107" s="25"/>
      <c r="H107" s="24"/>
      <c r="J107" s="24"/>
      <c r="K107" s="24"/>
      <c r="L107" s="24"/>
      <c r="M107" s="24"/>
      <c r="N107" s="24"/>
      <c r="O107" s="24"/>
      <c r="P107" s="24"/>
      <c r="Q107" s="24"/>
      <c r="R107" s="24"/>
      <c r="S107" s="24"/>
      <c r="T107" s="24"/>
      <c r="U107" s="24"/>
    </row>
    <row r="108" spans="1:21" s="48" customFormat="1" x14ac:dyDescent="0.3">
      <c r="A108" s="24"/>
      <c r="B108" s="24"/>
      <c r="C108" s="24"/>
      <c r="D108" s="24"/>
      <c r="E108" s="24"/>
      <c r="F108" s="24"/>
      <c r="G108" s="25"/>
      <c r="H108" s="24"/>
      <c r="J108" s="24"/>
      <c r="K108" s="24"/>
      <c r="L108" s="24"/>
      <c r="M108" s="24"/>
      <c r="N108" s="24"/>
      <c r="O108" s="24"/>
      <c r="P108" s="24"/>
      <c r="Q108" s="24"/>
      <c r="R108" s="24"/>
      <c r="S108" s="24"/>
      <c r="T108" s="24"/>
      <c r="U108" s="24"/>
    </row>
    <row r="109" spans="1:21" s="48" customFormat="1" x14ac:dyDescent="0.3">
      <c r="A109" s="24"/>
      <c r="B109" s="24"/>
      <c r="C109" s="24"/>
      <c r="D109" s="24"/>
      <c r="E109" s="24"/>
      <c r="F109" s="24"/>
      <c r="G109" s="25"/>
      <c r="H109" s="24"/>
      <c r="J109" s="24"/>
      <c r="K109" s="24"/>
      <c r="L109" s="24"/>
      <c r="M109" s="24"/>
      <c r="N109" s="24"/>
      <c r="O109" s="24"/>
      <c r="P109" s="24"/>
      <c r="Q109" s="24"/>
      <c r="R109" s="24"/>
      <c r="S109" s="24"/>
      <c r="T109" s="24"/>
      <c r="U109" s="24"/>
    </row>
    <row r="110" spans="1:21" s="48" customFormat="1" x14ac:dyDescent="0.3">
      <c r="A110" s="24"/>
      <c r="B110" s="24"/>
      <c r="C110" s="24"/>
      <c r="D110" s="24"/>
      <c r="E110" s="24"/>
      <c r="F110" s="24"/>
      <c r="G110" s="25"/>
      <c r="H110" s="24"/>
      <c r="J110" s="24"/>
      <c r="K110" s="24"/>
      <c r="L110" s="24"/>
      <c r="M110" s="24"/>
      <c r="N110" s="24"/>
      <c r="O110" s="24"/>
      <c r="P110" s="24"/>
      <c r="Q110" s="24"/>
      <c r="R110" s="24"/>
      <c r="S110" s="24"/>
      <c r="T110" s="24"/>
      <c r="U110" s="24"/>
    </row>
    <row r="111" spans="1:21" s="48" customFormat="1" x14ac:dyDescent="0.3">
      <c r="A111" s="24"/>
      <c r="B111" s="24"/>
      <c r="C111" s="24"/>
      <c r="D111" s="24"/>
      <c r="E111" s="24"/>
      <c r="F111" s="24"/>
      <c r="G111" s="25"/>
      <c r="H111" s="24"/>
      <c r="J111" s="24"/>
      <c r="K111" s="24"/>
      <c r="L111" s="24"/>
      <c r="M111" s="24"/>
      <c r="N111" s="24"/>
      <c r="O111" s="24"/>
      <c r="P111" s="24"/>
      <c r="Q111" s="24"/>
      <c r="R111" s="24"/>
      <c r="S111" s="24"/>
      <c r="T111" s="24"/>
      <c r="U111" s="24"/>
    </row>
    <row r="112" spans="1:21" s="48" customFormat="1" x14ac:dyDescent="0.3">
      <c r="A112" s="24"/>
      <c r="B112" s="24"/>
      <c r="C112" s="24"/>
      <c r="D112" s="24"/>
      <c r="E112" s="24"/>
      <c r="F112" s="24"/>
      <c r="G112" s="25"/>
      <c r="H112" s="24"/>
      <c r="J112" s="24"/>
      <c r="K112" s="24"/>
      <c r="L112" s="24"/>
      <c r="M112" s="24"/>
      <c r="N112" s="24"/>
      <c r="O112" s="24"/>
      <c r="P112" s="24"/>
      <c r="Q112" s="24"/>
      <c r="R112" s="24"/>
      <c r="S112" s="24"/>
      <c r="T112" s="24"/>
      <c r="U112" s="24"/>
    </row>
    <row r="113" spans="7:7" x14ac:dyDescent="0.3">
      <c r="G113" s="25"/>
    </row>
    <row r="114" spans="7:7" x14ac:dyDescent="0.3">
      <c r="G114" s="25"/>
    </row>
    <row r="115" spans="7:7" x14ac:dyDescent="0.3">
      <c r="G115" s="25"/>
    </row>
    <row r="116" spans="7:7" x14ac:dyDescent="0.3">
      <c r="G116" s="25"/>
    </row>
    <row r="117" spans="7:7" x14ac:dyDescent="0.3">
      <c r="G117" s="25"/>
    </row>
    <row r="118" spans="7:7" x14ac:dyDescent="0.3">
      <c r="G118" s="25"/>
    </row>
    <row r="119" spans="7:7" x14ac:dyDescent="0.3">
      <c r="G119" s="25"/>
    </row>
    <row r="120" spans="7:7" x14ac:dyDescent="0.3">
      <c r="G120" s="25"/>
    </row>
    <row r="121" spans="7:7" x14ac:dyDescent="0.3">
      <c r="G121" s="25"/>
    </row>
    <row r="122" spans="7:7" x14ac:dyDescent="0.3">
      <c r="G122" s="25"/>
    </row>
    <row r="123" spans="7:7" x14ac:dyDescent="0.3">
      <c r="G123" s="25"/>
    </row>
    <row r="124" spans="7:7" x14ac:dyDescent="0.3">
      <c r="G124" s="25"/>
    </row>
    <row r="125" spans="7:7" x14ac:dyDescent="0.3">
      <c r="G125" s="25"/>
    </row>
    <row r="126" spans="7:7" x14ac:dyDescent="0.3">
      <c r="G126" s="25"/>
    </row>
    <row r="127" spans="7:7" x14ac:dyDescent="0.3">
      <c r="G127" s="25"/>
    </row>
    <row r="128" spans="7:7" x14ac:dyDescent="0.3">
      <c r="G128" s="25"/>
    </row>
    <row r="129" spans="7:7" x14ac:dyDescent="0.3">
      <c r="G129" s="25"/>
    </row>
    <row r="130" spans="7:7" x14ac:dyDescent="0.3">
      <c r="G130" s="25"/>
    </row>
    <row r="131" spans="7:7" x14ac:dyDescent="0.3">
      <c r="G131" s="25"/>
    </row>
    <row r="132" spans="7:7" x14ac:dyDescent="0.3">
      <c r="G132" s="25"/>
    </row>
    <row r="133" spans="7:7" x14ac:dyDescent="0.3">
      <c r="G133" s="25"/>
    </row>
    <row r="134" spans="7:7" x14ac:dyDescent="0.3">
      <c r="G134" s="25"/>
    </row>
    <row r="135" spans="7:7" x14ac:dyDescent="0.3">
      <c r="G135" s="25"/>
    </row>
    <row r="136" spans="7:7" x14ac:dyDescent="0.3">
      <c r="G136" s="25"/>
    </row>
    <row r="137" spans="7:7" x14ac:dyDescent="0.3">
      <c r="G137" s="25"/>
    </row>
    <row r="138" spans="7:7" x14ac:dyDescent="0.3">
      <c r="G138" s="25"/>
    </row>
    <row r="139" spans="7:7" x14ac:dyDescent="0.3">
      <c r="G139" s="25"/>
    </row>
    <row r="140" spans="7:7" x14ac:dyDescent="0.3">
      <c r="G140" s="25"/>
    </row>
    <row r="141" spans="7:7" x14ac:dyDescent="0.3">
      <c r="G141" s="25"/>
    </row>
    <row r="142" spans="7:7" x14ac:dyDescent="0.3">
      <c r="G142" s="25"/>
    </row>
    <row r="143" spans="7:7" x14ac:dyDescent="0.3">
      <c r="G143" s="25"/>
    </row>
    <row r="144" spans="7:7" x14ac:dyDescent="0.3">
      <c r="G144" s="25"/>
    </row>
    <row r="145" spans="7:7" x14ac:dyDescent="0.3">
      <c r="G145" s="25"/>
    </row>
    <row r="146" spans="7:7" x14ac:dyDescent="0.3">
      <c r="G146" s="25"/>
    </row>
    <row r="147" spans="7:7" x14ac:dyDescent="0.3">
      <c r="G147" s="25"/>
    </row>
    <row r="148" spans="7:7" x14ac:dyDescent="0.3">
      <c r="G148" s="25"/>
    </row>
    <row r="149" spans="7:7" x14ac:dyDescent="0.3">
      <c r="G149" s="25"/>
    </row>
    <row r="150" spans="7:7" x14ac:dyDescent="0.3">
      <c r="G150" s="25"/>
    </row>
    <row r="151" spans="7:7" x14ac:dyDescent="0.3">
      <c r="G151" s="25"/>
    </row>
    <row r="152" spans="7:7" x14ac:dyDescent="0.3">
      <c r="G152" s="25"/>
    </row>
    <row r="153" spans="7:7" x14ac:dyDescent="0.3">
      <c r="G153" s="25"/>
    </row>
    <row r="154" spans="7:7" x14ac:dyDescent="0.3">
      <c r="G154" s="25"/>
    </row>
    <row r="155" spans="7:7" x14ac:dyDescent="0.3">
      <c r="G155" s="25"/>
    </row>
    <row r="156" spans="7:7" x14ac:dyDescent="0.3">
      <c r="G156" s="25"/>
    </row>
    <row r="157" spans="7:7" x14ac:dyDescent="0.3">
      <c r="G157" s="25"/>
    </row>
    <row r="158" spans="7:7" x14ac:dyDescent="0.3">
      <c r="G158" s="25"/>
    </row>
    <row r="159" spans="7:7" x14ac:dyDescent="0.3">
      <c r="G159" s="25"/>
    </row>
    <row r="160" spans="7:7" x14ac:dyDescent="0.3">
      <c r="G160" s="25"/>
    </row>
    <row r="161" spans="7:7" x14ac:dyDescent="0.3">
      <c r="G161" s="25"/>
    </row>
    <row r="162" spans="7:7" x14ac:dyDescent="0.3">
      <c r="G162" s="25"/>
    </row>
    <row r="163" spans="7:7" x14ac:dyDescent="0.3">
      <c r="G163" s="25"/>
    </row>
    <row r="164" spans="7:7" x14ac:dyDescent="0.3">
      <c r="G164" s="25"/>
    </row>
    <row r="165" spans="7:7" x14ac:dyDescent="0.3">
      <c r="G165" s="25"/>
    </row>
    <row r="166" spans="7:7" x14ac:dyDescent="0.3">
      <c r="G166" s="25"/>
    </row>
    <row r="167" spans="7:7" x14ac:dyDescent="0.3">
      <c r="G167" s="25"/>
    </row>
    <row r="168" spans="7:7" x14ac:dyDescent="0.3">
      <c r="G168" s="25"/>
    </row>
  </sheetData>
  <autoFilter ref="A1:U82">
    <filterColumn colId="4">
      <filters>
        <filter val="SMART ANALYTICS-Manual"/>
      </filters>
    </filterColumn>
  </autoFilter>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F7F6AFD6B72C43A95D578C9B2CBC1F" ma:contentTypeVersion="4" ma:contentTypeDescription="Create a new document." ma:contentTypeScope="" ma:versionID="602ebdfa5af0a6b5ba3005a6e98b3afe">
  <xsd:schema xmlns:xsd="http://www.w3.org/2001/XMLSchema" xmlns:xs="http://www.w3.org/2001/XMLSchema" xmlns:p="http://schemas.microsoft.com/office/2006/metadata/properties" xmlns:ns1="http://schemas.microsoft.com/sharepoint/v3" xmlns:ns2="4c0be8e3-f2fa-4aaa-8d3b-eae9a67fd9ea" targetNamespace="http://schemas.microsoft.com/office/2006/metadata/properties" ma:root="true" ma:fieldsID="203635d394a7793d66abbe4ea8bc595d" ns1:_="" ns2:_="">
    <xsd:import namespace="http://schemas.microsoft.com/sharepoint/v3"/>
    <xsd:import namespace="4c0be8e3-f2fa-4aaa-8d3b-eae9a67fd9ea"/>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description="" ma:hidden="true" ma:internalName="_ip_UnifiedCompliancePolicyProperties">
      <xsd:simpleType>
        <xsd:restriction base="dms:Note"/>
      </xsd:simpleType>
    </xsd:element>
    <xsd:element name="_ip_UnifiedCompliancePolicyUIAction" ma:index="11"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0be8e3-f2fa-4aaa-8d3b-eae9a67fd9e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966D5F-810A-44DB-96CF-098A4A9A54E2}">
  <ds:schemaRefs>
    <ds:schemaRef ds:uri="http://schemas.openxmlformats.org/package/2006/metadata/core-properties"/>
    <ds:schemaRef ds:uri="http://purl.org/dc/elements/1.1/"/>
    <ds:schemaRef ds:uri="http://schemas.microsoft.com/office/2006/documentManagement/types"/>
    <ds:schemaRef ds:uri="http://purl.org/dc/terms/"/>
    <ds:schemaRef ds:uri="http://schemas.microsoft.com/sharepoint/v3"/>
    <ds:schemaRef ds:uri="http://purl.org/dc/dcmitype/"/>
    <ds:schemaRef ds:uri="http://schemas.microsoft.com/office/2006/metadata/properties"/>
    <ds:schemaRef ds:uri="http://www.w3.org/XML/1998/namespace"/>
    <ds:schemaRef ds:uri="http://schemas.microsoft.com/office/infopath/2007/PartnerControls"/>
    <ds:schemaRef ds:uri="4c0be8e3-f2fa-4aaa-8d3b-eae9a67fd9ea"/>
  </ds:schemaRefs>
</ds:datastoreItem>
</file>

<file path=customXml/itemProps2.xml><?xml version="1.0" encoding="utf-8"?>
<ds:datastoreItem xmlns:ds="http://schemas.openxmlformats.org/officeDocument/2006/customXml" ds:itemID="{156840E3-D1B5-4F10-A9CA-C5C8285857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c0be8e3-f2fa-4aaa-8d3b-eae9a67fd9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5B8DA0-CAB5-4AD3-949B-B915066CF8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MIRA</vt:lpstr>
      <vt:lpstr>CMT</vt:lpstr>
      <vt:lpstr>BSC Canada &amp; GBI</vt:lpstr>
      <vt:lpstr>JSC EDW</vt:lpstr>
      <vt:lpstr>Consumer Edge</vt:lpstr>
      <vt:lpstr>Global sales</vt:lpstr>
      <vt:lpstr>MyAcuvue</vt:lpstr>
      <vt:lpstr>General Improvement Ideas</vt:lpstr>
      <vt:lpstr>ASO 2017 - Completed</vt:lpstr>
      <vt:lpstr>ASO Master List - 2018</vt:lpstr>
      <vt:lpstr>Notes from Roji</vt:lpstr>
    </vt:vector>
  </TitlesOfParts>
  <Manager/>
  <Company>Johnson &amp; Johnson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Natarajan, Shankar [ITSUS Non-J&amp;J]</dc:creator>
  <cp:keywords/>
  <dc:description/>
  <cp:lastModifiedBy>sagomath</cp:lastModifiedBy>
  <cp:revision/>
  <dcterms:created xsi:type="dcterms:W3CDTF">2016-12-14T11:53:01Z</dcterms:created>
  <dcterms:modified xsi:type="dcterms:W3CDTF">2018-03-05T04:58:58Z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0x010100DFF7F6AFD6B72C43A95D578C9B2CBC1F</vt:lpwstr>
  </property>
</Properties>
</file>