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Expertise" sheetId="2" r:id="rId4"/>
    <sheet state="visible" name="Rage" sheetId="3" r:id="rId5"/>
    <sheet state="visible" name="TPS Sheet" sheetId="4" r:id="rId6"/>
    <sheet state="visible" name="Skill Threat" sheetId="5" r:id="rId7"/>
    <sheet state="visible" name="Shield Slam" sheetId="6" r:id="rId8"/>
    <sheet state="visible" name="Sheet9" sheetId="7" r:id="rId9"/>
    <sheet state="visible" name="Gear Threat" sheetId="8" r:id="rId10"/>
    <sheet state="visible" name="Consumables" sheetId="9" r:id="rId11"/>
    <sheet state="visible" name="Hydross" sheetId="10" r:id="rId12"/>
    <sheet state="visible" name="Helm" sheetId="11" r:id="rId13"/>
    <sheet state="visible" name="Neck" sheetId="12" r:id="rId14"/>
    <sheet state="visible" name="Shoulders" sheetId="13" r:id="rId15"/>
    <sheet state="visible" name="Cloak" sheetId="14" r:id="rId16"/>
    <sheet state="visible" name="Chest" sheetId="15" r:id="rId17"/>
    <sheet state="visible" name="Wrists" sheetId="16" r:id="rId18"/>
    <sheet state="visible" name="Gloves" sheetId="17" r:id="rId19"/>
    <sheet state="visible" name="Belt" sheetId="18" r:id="rId20"/>
    <sheet state="visible" name="Legs" sheetId="19" r:id="rId21"/>
    <sheet state="visible" name="Feet" sheetId="20" r:id="rId22"/>
    <sheet state="visible" name="Rings" sheetId="21" r:id="rId23"/>
    <sheet state="visible" name="Trinkets" sheetId="22" r:id="rId24"/>
    <sheet state="visible" name="Main Hand" sheetId="23" r:id="rId25"/>
    <sheet state="visible" name="Shield" sheetId="24" r:id="rId26"/>
    <sheet state="visible" name="Ranged" sheetId="25" r:id="rId27"/>
    <sheet state="visible" name="Test" sheetId="26" r:id="rId28"/>
    <sheet state="visible" name="BS" sheetId="27" r:id="rId2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5">
      <text>
        <t xml:space="preserve">2 agil from epic leg kit
</t>
      </text>
    </comment>
  </commentList>
</comments>
</file>

<file path=xl/sharedStrings.xml><?xml version="1.0" encoding="utf-8"?>
<sst xmlns="http://schemas.openxmlformats.org/spreadsheetml/2006/main" count="3803" uniqueCount="1135">
  <si>
    <t xml:space="preserve">  </t>
  </si>
  <si>
    <t>Armor</t>
  </si>
  <si>
    <t>DR% Boss</t>
  </si>
  <si>
    <t>DR% Level70</t>
  </si>
  <si>
    <t xml:space="preserve">Multiplyers </t>
  </si>
  <si>
    <t>Stam to HP + Multi</t>
  </si>
  <si>
    <t>Dedault stam is 10</t>
  </si>
  <si>
    <t>To Do List</t>
  </si>
  <si>
    <t>Health</t>
  </si>
  <si>
    <t>Vitality 5/5</t>
  </si>
  <si>
    <t>2.0 items</t>
  </si>
  <si>
    <t>EH</t>
  </si>
  <si>
    <t>Tauran + Vitality 5/5</t>
  </si>
  <si>
    <t>add 0.1 for Tauren</t>
  </si>
  <si>
    <t>Testing area</t>
  </si>
  <si>
    <t>threat skill/tps</t>
  </si>
  <si>
    <t>Mob Level (73)</t>
  </si>
  <si>
    <t>Toughness 5/5</t>
  </si>
  <si>
    <t>10% extra armor</t>
  </si>
  <si>
    <t xml:space="preserve"> [Shattered Sun Pendant of Resolve]</t>
  </si>
  <si>
    <t>general accuracy</t>
  </si>
  <si>
    <t>Mob Level (70)</t>
  </si>
  <si>
    <t>Toughness 0/5</t>
  </si>
  <si>
    <t>Base HP</t>
  </si>
  <si>
    <t>Shield Mastery 3/3</t>
  </si>
  <si>
    <t>Stamina</t>
  </si>
  <si>
    <t>Fill in your Armor and Health</t>
  </si>
  <si>
    <t>Eternal Meta</t>
  </si>
  <si>
    <t>Agility</t>
  </si>
  <si>
    <t>EH is your Effective Health.</t>
  </si>
  <si>
    <t xml:space="preserve">Crit Chance </t>
  </si>
  <si>
    <t>stock 22k 19k</t>
  </si>
  <si>
    <t>DR (Damage Reduction) or the amount of damage reduced by armor will be different from your in game character sheet as it only displays against level 70 NPCs</t>
  </si>
  <si>
    <t>TOOLTIP DOESNT LOOK AT RING ENCHANTS</t>
  </si>
  <si>
    <t>Devo</t>
  </si>
  <si>
    <t>Gemming is 15 stamina and 18 stamina meta. As they are the best for effective health. Even for x2 Blue x1 Red with Stam socket bonus</t>
  </si>
  <si>
    <t>(Base hp + Stamina * 10 * Modifiers) / (100% - (Armor / (Armor + 11960)))</t>
  </si>
  <si>
    <t>imp imp</t>
  </si>
  <si>
    <t>No enchants are considered</t>
  </si>
  <si>
    <t>Attack Power</t>
  </si>
  <si>
    <t>demo and imp</t>
  </si>
  <si>
    <t>HP</t>
  </si>
  <si>
    <t>Naked</t>
  </si>
  <si>
    <t>Sunder</t>
  </si>
  <si>
    <t>Main Tank Spec</t>
  </si>
  <si>
    <t>http://calculators.iradei.eu/talents/warrior?050003000000000000000000550000200000000000000055511033010103501151</t>
  </si>
  <si>
    <t>Helm</t>
  </si>
  <si>
    <t>OT Spec</t>
  </si>
  <si>
    <t>http://calculators.iradei.eu/talents/warrior?050003000000000000000000550000200000000000000055511033010103301351</t>
  </si>
  <si>
    <t>Neck</t>
  </si>
  <si>
    <t>Untalented</t>
  </si>
  <si>
    <t>Rend</t>
  </si>
  <si>
    <t>Damage Reduction</t>
  </si>
  <si>
    <t>melee swing</t>
  </si>
  <si>
    <t>melee</t>
  </si>
  <si>
    <t>crit</t>
  </si>
  <si>
    <t>swing</t>
  </si>
  <si>
    <t>hit legs</t>
  </si>
  <si>
    <t>Avoidance</t>
  </si>
  <si>
    <t>dmg hit</t>
  </si>
  <si>
    <t>Defence Skill</t>
  </si>
  <si>
    <t>2% crit</t>
  </si>
  <si>
    <t>1 defence skill</t>
  </si>
  <si>
    <t>2/2 impale</t>
  </si>
  <si>
    <t>Block Chance</t>
  </si>
  <si>
    <t>Defence Rating</t>
  </si>
  <si>
    <t>Dodge</t>
  </si>
  <si>
    <t>0.99 avoidance</t>
  </si>
  <si>
    <t>def t5</t>
  </si>
  <si>
    <t>Parry</t>
  </si>
  <si>
    <t>def badge</t>
  </si>
  <si>
    <t>Miss</t>
  </si>
  <si>
    <t>Crit decrease</t>
  </si>
  <si>
    <t>Dazed decrease</t>
  </si>
  <si>
    <t>Def vs Resil</t>
  </si>
  <si>
    <t>Total Avoidance</t>
  </si>
  <si>
    <t>156 def rating req</t>
  </si>
  <si>
    <t>Druid Resil</t>
  </si>
  <si>
    <t>39.4 for 1% reduced crit</t>
  </si>
  <si>
    <t>lvl71</t>
  </si>
  <si>
    <t>lvl72</t>
  </si>
  <si>
    <t>2.3654 defensive rating = 1 defense skill</t>
  </si>
  <si>
    <t>% reduces crit req</t>
  </si>
  <si>
    <t>Def rating</t>
  </si>
  <si>
    <t>DRUID</t>
  </si>
  <si>
    <t>Resil</t>
  </si>
  <si>
    <t>miss</t>
  </si>
  <si>
    <t>dodge</t>
  </si>
  <si>
    <t>parry</t>
  </si>
  <si>
    <t>Def</t>
  </si>
  <si>
    <t>60 for 1% reduced crit</t>
  </si>
  <si>
    <t>Crit red</t>
  </si>
  <si>
    <t>156 def rating req for a total of 415</t>
  </si>
  <si>
    <t>1 def rating =</t>
  </si>
  <si>
    <t>towards 2.6142</t>
  </si>
  <si>
    <t>Total</t>
  </si>
  <si>
    <t>Req</t>
  </si>
  <si>
    <t>Minus = Good</t>
  </si>
  <si>
    <t>Warrior</t>
  </si>
  <si>
    <t>Defense Rating</t>
  </si>
  <si>
    <t>helm enchant</t>
  </si>
  <si>
    <t>resil</t>
  </si>
  <si>
    <t>Defense Skill</t>
  </si>
  <si>
    <t>wrists</t>
  </si>
  <si>
    <t>stam? stats?</t>
  </si>
  <si>
    <t>Crit Reduction</t>
  </si>
  <si>
    <t>chest</t>
  </si>
  <si>
    <t>1% crit reduc</t>
  </si>
  <si>
    <t xml:space="preserve">/g </t>
  </si>
  <si>
    <t>is crit immune</t>
  </si>
  <si>
    <t>is base</t>
  </si>
  <si>
    <t>def</t>
  </si>
  <si>
    <t>extra % req</t>
  </si>
  <si>
    <t>helm+wrists</t>
  </si>
  <si>
    <t>legs</t>
  </si>
  <si>
    <t>ring</t>
  </si>
  <si>
    <t>trinket</t>
  </si>
  <si>
    <t>staff</t>
  </si>
  <si>
    <t>shoulder</t>
  </si>
  <si>
    <t>neck</t>
  </si>
  <si>
    <t>helm</t>
  </si>
  <si>
    <t>current hp</t>
  </si>
  <si>
    <t>total in bis</t>
  </si>
  <si>
    <t>saph</t>
  </si>
  <si>
    <t>80 dps lost retail using it personal</t>
  </si>
  <si>
    <t>Keiser</t>
  </si>
  <si>
    <t>Rzt</t>
  </si>
  <si>
    <t>Komi</t>
  </si>
  <si>
    <t>5mins11sec</t>
  </si>
  <si>
    <t>Dmg Taken</t>
  </si>
  <si>
    <t>resist</t>
  </si>
  <si>
    <t>416(415)</t>
  </si>
  <si>
    <t>215(645)</t>
  </si>
  <si>
    <t>aoe</t>
  </si>
  <si>
    <t>block</t>
  </si>
  <si>
    <t>396(396)</t>
  </si>
  <si>
    <t>636(212)</t>
  </si>
  <si>
    <t>1472(431)</t>
  </si>
  <si>
    <t>melee block</t>
  </si>
  <si>
    <t>aoe?</t>
  </si>
  <si>
    <t>negative energy</t>
  </si>
  <si>
    <t>singulatiry</t>
  </si>
  <si>
    <t>Negative Energy</t>
  </si>
  <si>
    <t>Shadow Pulse</t>
  </si>
  <si>
    <t xml:space="preserve"> </t>
  </si>
  <si>
    <t>1.4 sword</t>
  </si>
  <si>
    <t>HS</t>
  </si>
  <si>
    <t>count</t>
  </si>
  <si>
    <t>damage</t>
  </si>
  <si>
    <t>avg</t>
  </si>
  <si>
    <t>Deva</t>
  </si>
  <si>
    <t>1.3 dagger</t>
  </si>
  <si>
    <t>dev</t>
  </si>
  <si>
    <t>hs</t>
  </si>
  <si>
    <t>dmg</t>
  </si>
  <si>
    <t>deva</t>
  </si>
  <si>
    <t>rev</t>
  </si>
  <si>
    <t>Wrists</t>
  </si>
  <si>
    <t>Head</t>
  </si>
  <si>
    <t>Hands</t>
  </si>
  <si>
    <t>Belt</t>
  </si>
  <si>
    <t>Feet</t>
  </si>
  <si>
    <t>Red Gem</t>
  </si>
  <si>
    <t>8/10 Dodge</t>
  </si>
  <si>
    <t>Dodge Rating</t>
  </si>
  <si>
    <t>Feenix</t>
  </si>
  <si>
    <t>Yellow Gem</t>
  </si>
  <si>
    <t>8/10 Def</t>
  </si>
  <si>
    <t>Parry Rating</t>
  </si>
  <si>
    <t>Grace of Air</t>
  </si>
  <si>
    <t>Insect Swarm</t>
  </si>
  <si>
    <t>22 expertise</t>
  </si>
  <si>
    <t>Scorpid Sting</t>
  </si>
  <si>
    <t>Block</t>
  </si>
  <si>
    <t>136 hit</t>
  </si>
  <si>
    <t>Mark of the Wild</t>
  </si>
  <si>
    <t>Agil Elixir</t>
  </si>
  <si>
    <t>Heroic Strike</t>
  </si>
  <si>
    <t>Melee</t>
  </si>
  <si>
    <t>Scroll of Agil V</t>
  </si>
  <si>
    <t>Hit/Crit</t>
  </si>
  <si>
    <t>Hit</t>
  </si>
  <si>
    <t>20 agil Food</t>
  </si>
  <si>
    <t>Glancing</t>
  </si>
  <si>
    <t>Crit</t>
  </si>
  <si>
    <t>avoidance</t>
  </si>
  <si>
    <t>Wrynn Dynasty Greaves</t>
  </si>
  <si>
    <t>x3 red</t>
  </si>
  <si>
    <t>Destroyer Legguards</t>
  </si>
  <si>
    <t>x1 red</t>
  </si>
  <si>
    <t>shoulders</t>
  </si>
  <si>
    <t>x1 yellow x1 red</t>
  </si>
  <si>
    <t>Destroyer Handguards</t>
  </si>
  <si>
    <t>x2 yellow x1 red</t>
  </si>
  <si>
    <t>Gauntlets of Enforcement</t>
  </si>
  <si>
    <t>shield</t>
  </si>
  <si>
    <t>belt</t>
  </si>
  <si>
    <t>x2 red</t>
  </si>
  <si>
    <t>Battlescar Boots</t>
  </si>
  <si>
    <t>boots</t>
  </si>
  <si>
    <t>Warbringer Chestguard</t>
  </si>
  <si>
    <t>14 dodge</t>
  </si>
  <si>
    <t>t6 shoulders</t>
  </si>
  <si>
    <t>Current</t>
  </si>
  <si>
    <t>Helm Gem</t>
  </si>
  <si>
    <t>Unbuffed</t>
  </si>
  <si>
    <t>Lurker</t>
  </si>
  <si>
    <t>PLatform</t>
  </si>
  <si>
    <t>Hunter Trap</t>
  </si>
  <si>
    <t>Lock Fear</t>
  </si>
  <si>
    <t>Epic Gems</t>
  </si>
  <si>
    <t>hit/exp</t>
  </si>
  <si>
    <t>5/5 UW</t>
  </si>
  <si>
    <t>10/60</t>
  </si>
  <si>
    <t>1/3 imp sun</t>
  </si>
  <si>
    <t>20/60</t>
  </si>
  <si>
    <t>R</t>
  </si>
  <si>
    <t>Rage</t>
  </si>
  <si>
    <t>D</t>
  </si>
  <si>
    <t>Damage Delt</t>
  </si>
  <si>
    <t>C</t>
  </si>
  <si>
    <t>rage conversion value</t>
  </si>
  <si>
    <t>S</t>
  </si>
  <si>
    <t>weap speed</t>
  </si>
  <si>
    <t>F</t>
  </si>
  <si>
    <t>hit factor</t>
  </si>
  <si>
    <t>sec</t>
  </si>
  <si>
    <t>incoming rage</t>
  </si>
  <si>
    <t>Damage Received</t>
  </si>
  <si>
    <t>SS</t>
  </si>
  <si>
    <t>7 GCDs = 95 rage</t>
  </si>
  <si>
    <t>10439 req for 95 rage</t>
  </si>
  <si>
    <t>dev x2</t>
  </si>
  <si>
    <t>7 GCDs = 88 rage</t>
  </si>
  <si>
    <t>rage</t>
  </si>
  <si>
    <t>speed</t>
  </si>
  <si>
    <t>10 GCDs= 96</t>
  </si>
  <si>
    <t>Rage per sec</t>
  </si>
  <si>
    <t>11773 req for 1.4 speed</t>
  </si>
  <si>
    <t>DTPS req to spam full rotation</t>
  </si>
  <si>
    <t>imp HS</t>
  </si>
  <si>
    <t>LEVEL 60</t>
  </si>
  <si>
    <t>player level</t>
  </si>
  <si>
    <t>http://web.archive.org/web/20071021023302/http://evilempireguild.org/guides/kenco2.php</t>
  </si>
  <si>
    <t>Warrior threat at level 70 (tier 4 gear)</t>
  </si>
  <si>
    <t>(patch 2.1.0)</t>
  </si>
  <si>
    <t>Stats from gear</t>
  </si>
  <si>
    <t>Buffs</t>
  </si>
  <si>
    <t>Reference values</t>
  </si>
  <si>
    <t>Reference material</t>
  </si>
  <si>
    <t>Strength</t>
  </si>
  <si>
    <t>Def Stance threat</t>
  </si>
  <si>
    <t>http://www.wowwiki.com/Formulas:Aggro</t>
  </si>
  <si>
    <t>Battle Shout</t>
  </si>
  <si>
    <t>Battle/Zerker threat</t>
  </si>
  <si>
    <t>http://www.wowwiki.com/Formulas:Kencos_Research</t>
  </si>
  <si>
    <t>Blessing of Might</t>
  </si>
  <si>
    <t>Rogue/Cat threat</t>
  </si>
  <si>
    <t>http://forums.wow-europe.com/thread.html?topicId=83678537#16</t>
  </si>
  <si>
    <t>Block Value</t>
  </si>
  <si>
    <t>Blessing of Kings</t>
  </si>
  <si>
    <t>Blessing of Salvation</t>
  </si>
  <si>
    <t>http://forums.wow-europe.com/thread.html?topicId=94319875</t>
  </si>
  <si>
    <t>Crit Rating</t>
  </si>
  <si>
    <t>Melee threshold</t>
  </si>
  <si>
    <t>Ranged hreshold</t>
  </si>
  <si>
    <t>Talents</t>
  </si>
  <si>
    <t>Weapon</t>
  </si>
  <si>
    <t>Def Stance damage</t>
  </si>
  <si>
    <t>Vitality</t>
  </si>
  <si>
    <t>DPS</t>
  </si>
  <si>
    <t>Normalize speed</t>
  </si>
  <si>
    <t>Shield Mastery</t>
  </si>
  <si>
    <t>Speed</t>
  </si>
  <si>
    <t>Rage conversion</t>
  </si>
  <si>
    <t>Focused Rage</t>
  </si>
  <si>
    <t>Hit rage factor</t>
  </si>
  <si>
    <t>Improved Sunder Armor</t>
  </si>
  <si>
    <t>Shield</t>
  </si>
  <si>
    <t>Crit rage factor</t>
  </si>
  <si>
    <t>Cruelty</t>
  </si>
  <si>
    <t>Global cooldown</t>
  </si>
  <si>
    <t>Contact the author</t>
  </si>
  <si>
    <t>Improved Heroic Strike</t>
  </si>
  <si>
    <t>Oohla on Frostmane / EU</t>
  </si>
  <si>
    <t>Defiance</t>
  </si>
  <si>
    <t>Buffed stats</t>
  </si>
  <si>
    <t>Derived values</t>
  </si>
  <si>
    <t>One-hand Specialization</t>
  </si>
  <si>
    <t>Threat factor</t>
  </si>
  <si>
    <t>-</t>
  </si>
  <si>
    <t>Def Stance + Defiance</t>
  </si>
  <si>
    <t>Damage factor</t>
  </si>
  <si>
    <t>Def Stance * One-hand Spec * Mitigation</t>
  </si>
  <si>
    <t>Other</t>
  </si>
  <si>
    <t>White damage</t>
  </si>
  <si>
    <t>Avg dmg * Dmg factor</t>
  </si>
  <si>
    <t>Normalized damage</t>
  </si>
  <si>
    <t>Target mitigation</t>
  </si>
  <si>
    <t>Crit Chance</t>
  </si>
  <si>
    <t>White hit rage</t>
  </si>
  <si>
    <t>Kalgan: (7.5*dmg/conversion + speed/factor)/2</t>
  </si>
  <si>
    <t>White crit rage</t>
  </si>
  <si>
    <t>Shield Slam (Rank 6)</t>
  </si>
  <si>
    <t>Revenge (Rank 8)</t>
  </si>
  <si>
    <t>Heroic Strike (Rank 11)</t>
  </si>
  <si>
    <t>Effective rage cost</t>
  </si>
  <si>
    <t>Innate threat</t>
  </si>
  <si>
    <t>Unmodified innate threat value</t>
  </si>
  <si>
    <t>Damage</t>
  </si>
  <si>
    <t>Hit threat</t>
  </si>
  <si>
    <t>Avg hit threat * Threat factor</t>
  </si>
  <si>
    <t>Crit threat</t>
  </si>
  <si>
    <t>Avg crit threat * Threat factor</t>
  </si>
  <si>
    <t>Avg threat</t>
  </si>
  <si>
    <t>Avg threat weighed by crit chance</t>
  </si>
  <si>
    <t>Threat per rage</t>
  </si>
  <si>
    <t>Avg threat / Effective rage cost</t>
  </si>
  <si>
    <t>Threat per sec</t>
  </si>
  <si>
    <t>Avg threat / Global cooldown</t>
  </si>
  <si>
    <t>Devastate (Rank 3)</t>
  </si>
  <si>
    <t>Sunder Armor (Rank 6)</t>
  </si>
  <si>
    <t>Building threat cycle</t>
  </si>
  <si>
    <t>Holding threat cycle</t>
  </si>
  <si>
    <t>Backup threat cycle</t>
  </si>
  <si>
    <t>Shield Slam</t>
  </si>
  <si>
    <t>Revenge</t>
  </si>
  <si>
    <t>Devastate 5</t>
  </si>
  <si>
    <t>Sunder Armor</t>
  </si>
  <si>
    <t>Cycle threat</t>
  </si>
  <si>
    <t>White threat per sec</t>
  </si>
  <si>
    <t>Total threat per sec</t>
  </si>
  <si>
    <t>Rogue/Cat DPS limit</t>
  </si>
  <si>
    <t>Warrior DPS limit</t>
  </si>
  <si>
    <t>Other melee DPS limit</t>
  </si>
  <si>
    <t>Ranged DPS limit</t>
  </si>
  <si>
    <t>- if rage is unlimited</t>
  </si>
  <si>
    <t>Heroic Strike threat per sec</t>
  </si>
  <si>
    <t>Please note:</t>
  </si>
  <si>
    <t>Cycle values do not include: Lag, timing, misses, blocks, dodges, parrys and glancing blows.</t>
  </si>
  <si>
    <t>They are not really attainable. But their relative values are relevant.</t>
  </si>
  <si>
    <t>Gear breakdown</t>
  </si>
  <si>
    <t>Name</t>
  </si>
  <si>
    <t>Att. Pow.</t>
  </si>
  <si>
    <t>Block V.</t>
  </si>
  <si>
    <t>Crit Rat.</t>
  </si>
  <si>
    <t>Warbringer Greathelm</t>
  </si>
  <si>
    <t>Gems not counted</t>
  </si>
  <si>
    <t>Barbed Choker of Discipline</t>
  </si>
  <si>
    <t>since most just</t>
  </si>
  <si>
    <t>Shoulder</t>
  </si>
  <si>
    <t>Warbringer Shoulderguards</t>
  </si>
  <si>
    <t>equip stamina all</t>
  </si>
  <si>
    <t>Back</t>
  </si>
  <si>
    <t>Devilshark Cape</t>
  </si>
  <si>
    <t>over the place</t>
  </si>
  <si>
    <t>Chest</t>
  </si>
  <si>
    <t>anyway.</t>
  </si>
  <si>
    <t>Wrist</t>
  </si>
  <si>
    <t>Vambraces of Courage</t>
  </si>
  <si>
    <t>Warbringer Handguards</t>
  </si>
  <si>
    <t>Waist</t>
  </si>
  <si>
    <t>Crimson Girdle of the Indomitable</t>
  </si>
  <si>
    <t>Legs</t>
  </si>
  <si>
    <t>Warbringer Legguards</t>
  </si>
  <si>
    <t>Boots of Elusion</t>
  </si>
  <si>
    <t>Ring</t>
  </si>
  <si>
    <t>Shermanar Great-Ring</t>
  </si>
  <si>
    <t>Violet Signet</t>
  </si>
  <si>
    <t>Trinket</t>
  </si>
  <si>
    <t>Gnomeregan Auto-Blocker 600</t>
  </si>
  <si>
    <t>Stamina trinket of some sort usually</t>
  </si>
  <si>
    <t>Main hand</t>
  </si>
  <si>
    <t>King's Defender</t>
  </si>
  <si>
    <t>Off-hand</t>
  </si>
  <si>
    <t>Aldori Legacy Defender</t>
  </si>
  <si>
    <t>Ranged</t>
  </si>
  <si>
    <t>Crystalline Crossbow</t>
  </si>
  <si>
    <t>salv</t>
  </si>
  <si>
    <t>Arcanist 8/8</t>
  </si>
  <si>
    <t>Frost Channeling</t>
  </si>
  <si>
    <t>reduction</t>
  </si>
  <si>
    <t>50% and 50%</t>
  </si>
  <si>
    <t>30% and 30%</t>
  </si>
  <si>
    <t>10% and 10%</t>
  </si>
  <si>
    <t>30 15 15</t>
  </si>
  <si>
    <t>130 + 115</t>
  </si>
  <si>
    <t>Threat</t>
  </si>
  <si>
    <t>Dmg on Brutallus</t>
  </si>
  <si>
    <t>Innate Threat</t>
  </si>
  <si>
    <t>Multiplier</t>
  </si>
  <si>
    <t>Threat total</t>
  </si>
  <si>
    <t>innate threat reduced from armor of target</t>
  </si>
  <si>
    <t>Thunder Clap</t>
  </si>
  <si>
    <t>*1.3+ *1.15</t>
  </si>
  <si>
    <t>innate threat</t>
  </si>
  <si>
    <t>Shield Bash</t>
  </si>
  <si>
    <t>Imp Revenge</t>
  </si>
  <si>
    <t>Normalised Overpower Mortal Strike Whirlwind Devastate</t>
  </si>
  <si>
    <t>Hamstring</t>
  </si>
  <si>
    <t>NOT Normalised Cleave Heroic Strike Retaliation Rend Slam</t>
  </si>
  <si>
    <t>Disarm</t>
  </si>
  <si>
    <t>Base weap dmg</t>
  </si>
  <si>
    <t>Devastate 0 stack</t>
  </si>
  <si>
    <t>weapon speed</t>
  </si>
  <si>
    <t>Devastate 1 stack</t>
  </si>
  <si>
    <t>Devastate 2 stack</t>
  </si>
  <si>
    <t>Devastate 3 atack</t>
  </si>
  <si>
    <t>Devastate 4 stack</t>
  </si>
  <si>
    <t>Devastate 5 stack</t>
  </si>
  <si>
    <t>Demoralizing Shout (divied out)</t>
  </si>
  <si>
    <t>1. as i first thought</t>
  </si>
  <si>
    <t>Commanding Shout (divied out</t>
  </si>
  <si>
    <t>Cleave (divided out)</t>
  </si>
  <si>
    <t>Cleave 3/3 imp</t>
  </si>
  <si>
    <t>Battle shout (divied out)</t>
  </si>
  <si>
    <t>Spell Relection</t>
  </si>
  <si>
    <t>Execute</t>
  </si>
  <si>
    <t>damage = base_weapon_damage + (weapon_speed * Attack Power / 3.5)</t>
  </si>
  <si>
    <t>Whirlwind</t>
  </si>
  <si>
    <t>Resources</t>
  </si>
  <si>
    <t>http://web.archive.org/web/20080530040006/http://www.wowwiki.com/Formulas:Aggro</t>
  </si>
  <si>
    <t>http://web.archive.org/web/20080516051003/http://www.wowwiki.com/Formulas:Kencos_Research</t>
  </si>
  <si>
    <t>http://web.archive.org/web/20100130083608/http://forums.wow-europe.com/thread.html?topicId=94319875</t>
  </si>
  <si>
    <t>http://web.archive.org/web/20100306073050/http://forums.wow-europe.com/thread.html?topicId=123452444</t>
  </si>
  <si>
    <t>http://web.archive.org/web/20080725081934/http://www.theoryspot.com/forums/theory-articles-guides/31941-fortifications-warrior-reference-guide.html</t>
  </si>
  <si>
    <t>http://web.archive.org/web/20080410181137/http://www.theoryspot.com/forums/evil-empire-guides/33108-guide-threat.html</t>
  </si>
  <si>
    <t>RETAIL VALUES</t>
  </si>
  <si>
    <t>Class/Spec</t>
  </si>
  <si>
    <t>Match Aggro</t>
  </si>
  <si>
    <t>Over Aggro</t>
  </si>
  <si>
    <t>Base</t>
  </si>
  <si>
    <t>w/Salv</t>
  </si>
  <si>
    <t>Range Mod</t>
  </si>
  <si>
    <t>Feral Druid</t>
  </si>
  <si>
    <t>Balance Druid</t>
  </si>
  <si>
    <t>Hunter</t>
  </si>
  <si>
    <t>Fire/Frost Mage</t>
  </si>
  <si>
    <t>Arcane Mage</t>
  </si>
  <si>
    <t>Ret Paladin</t>
  </si>
  <si>
    <t>Shadow Priest</t>
  </si>
  <si>
    <t>Rogue</t>
  </si>
  <si>
    <t>Ele SHaman</t>
  </si>
  <si>
    <t>Enh Shaman</t>
  </si>
  <si>
    <t>Warlock</t>
  </si>
  <si>
    <t>Fury Warrior</t>
  </si>
  <si>
    <t>Arms Warrior</t>
  </si>
  <si>
    <t>TPS=</t>
  </si>
  <si>
    <t>Devastate Threat. Assumes 0 armor of target</t>
  </si>
  <si>
    <t>Plus 0.5% crit</t>
  </si>
  <si>
    <t>Weap</t>
  </si>
  <si>
    <t>Min Dmg</t>
  </si>
  <si>
    <t>Max Dmg</t>
  </si>
  <si>
    <t>Avg</t>
  </si>
  <si>
    <t>with x5 sunders</t>
  </si>
  <si>
    <t>TPS</t>
  </si>
  <si>
    <t>with x5 sunder up</t>
  </si>
  <si>
    <t xml:space="preserve"> [Mallet of the Tides]</t>
  </si>
  <si>
    <t xml:space="preserve"> [Cleaver of the Unforgiving]</t>
  </si>
  <si>
    <t xml:space="preserve"> [Blade of Savagery]</t>
  </si>
  <si>
    <t xml:space="preserve"> [The Brutalizer]</t>
  </si>
  <si>
    <t xml:space="preserve"> [The Sun Eater]</t>
  </si>
  <si>
    <t xml:space="preserve"> [Dragonscale-Encrusted Longblade]</t>
  </si>
  <si>
    <t xml:space="preserve"> [Talon of Azshara]</t>
  </si>
  <si>
    <t xml:space="preserve"> [Warglaive of Azzinoth]</t>
  </si>
  <si>
    <t xml:space="preserve"> [Thunderfury, Blessed Blade of the Windseeker]</t>
  </si>
  <si>
    <t>Attack Power =</t>
  </si>
  <si>
    <t>Normalised AP</t>
  </si>
  <si>
    <t>dps</t>
  </si>
  <si>
    <t>Revenge boost?</t>
  </si>
  <si>
    <t>Heroic Strike Threat and Speed of Weapon</t>
  </si>
  <si>
    <t>HS TPS</t>
  </si>
  <si>
    <t>This one is good</t>
  </si>
  <si>
    <t>DST</t>
  </si>
  <si>
    <t>haste pot</t>
  </si>
  <si>
    <t>t5 4 set</t>
  </si>
  <si>
    <t>internal cd</t>
  </si>
  <si>
    <t>uptime</t>
  </si>
  <si>
    <t>haste speed %</t>
  </si>
  <si>
    <t>HS Threat</t>
  </si>
  <si>
    <t>Edit this one</t>
  </si>
  <si>
    <t>Stock TPS</t>
  </si>
  <si>
    <t>so 16 TPS</t>
  </si>
  <si>
    <t>More links</t>
  </si>
  <si>
    <t>http://web.archive.org/web/20080709010403/http://www.tankspot.com/forums/gear-lists-rankings/33811-max-your-tps-expertise-hit-stacking-gear-list.html</t>
  </si>
  <si>
    <t>http://web.archive.org/web/20080709042916/http://www.tankspot.com/forums/gear-lists-rankings/32651-shield-block-value-gear-guide.html</t>
  </si>
  <si>
    <t>http://web.archive.org/web/20080711001742/http://www.tankspot.com/forums/gear-lists-rankings/32083-berg-s-tank-gear-rankings-03-19-2008-wow-2-4-a.html</t>
  </si>
  <si>
    <t>http://web.archive.org/web/20080612102730/http://www.tankspot.com/forums/theory-articles/37516-ss-threat.html#post80250</t>
  </si>
  <si>
    <t>http://web.archive.org/web/20080623062111/http://www.tankspot.com/forums/theory-articles/34152-gorefiend-threat-parse.html</t>
  </si>
  <si>
    <t>T5</t>
  </si>
  <si>
    <t>Shoulders</t>
  </si>
  <si>
    <t>t5-t6</t>
  </si>
  <si>
    <t>Str</t>
  </si>
  <si>
    <t>12.5% uptime</t>
  </si>
  <si>
    <t>Agil</t>
  </si>
  <si>
    <t>SBV</t>
  </si>
  <si>
    <t>T6</t>
  </si>
  <si>
    <t>t5 battlerush</t>
  </si>
  <si>
    <t>ppm</t>
  </si>
  <si>
    <t>proc dur</t>
  </si>
  <si>
    <t>seconds/min</t>
  </si>
  <si>
    <t>TESTING</t>
  </si>
  <si>
    <t>2 in cycle</t>
  </si>
  <si>
    <t>e</t>
  </si>
  <si>
    <t>t</t>
  </si>
  <si>
    <t>Dev e</t>
  </si>
  <si>
    <t>dev t</t>
  </si>
  <si>
    <t>ss e</t>
  </si>
  <si>
    <t xml:space="preserve">ss t </t>
  </si>
  <si>
    <t>hs e</t>
  </si>
  <si>
    <t xml:space="preserve">hs t </t>
  </si>
  <si>
    <t>rev e</t>
  </si>
  <si>
    <t xml:space="preserve">rev t </t>
  </si>
  <si>
    <t>extra crit</t>
  </si>
  <si>
    <t>as decimal</t>
  </si>
  <si>
    <t xml:space="preserve"> [King's Defender]</t>
  </si>
  <si>
    <t>Weapon Range</t>
  </si>
  <si>
    <t>Weapon Dmg</t>
  </si>
  <si>
    <t>Dmg per hit from AP</t>
  </si>
  <si>
    <t>Weap Dmg for Dev</t>
  </si>
  <si>
    <t>50% Weap Dmg</t>
  </si>
  <si>
    <t>Sunder #</t>
  </si>
  <si>
    <t>Raw Dmg</t>
  </si>
  <si>
    <t>Crit as decimal</t>
  </si>
  <si>
    <t>Target Mitigation</t>
  </si>
  <si>
    <t>Dmg</t>
  </si>
  <si>
    <t>Threat from Dev</t>
  </si>
  <si>
    <t>DEVASTATE</t>
  </si>
  <si>
    <t>105 + 15 * #Sunders</t>
  </si>
  <si>
    <t>Stacks</t>
  </si>
  <si>
    <t>Innate threat value</t>
  </si>
  <si>
    <t>WeaponDamage /2 + 35 * #Sunders</t>
  </si>
  <si>
    <t>UNBUFFED</t>
  </si>
  <si>
    <t>Raw DMG</t>
  </si>
  <si>
    <t>Mitigation</t>
  </si>
  <si>
    <t>assumed 5/5 1hd spec</t>
  </si>
  <si>
    <t>TIER 5 MASTERRACE</t>
  </si>
  <si>
    <t>Raid Buffed</t>
  </si>
  <si>
    <t>Warglaive</t>
  </si>
  <si>
    <t>The Unbreakable Will</t>
  </si>
  <si>
    <t>Thunderfury</t>
  </si>
  <si>
    <t>Avg 4 GCD</t>
  </si>
  <si>
    <t>REVENGE</t>
  </si>
  <si>
    <t>HEROIC STRIKE</t>
  </si>
  <si>
    <t>Longblade</t>
  </si>
  <si>
    <t>Weap Speed</t>
  </si>
  <si>
    <t>HS base dmg</t>
  </si>
  <si>
    <t>Threat HS</t>
  </si>
  <si>
    <t>Threat/sec</t>
  </si>
  <si>
    <t>Dev TPS</t>
  </si>
  <si>
    <t>Rev TPS</t>
  </si>
  <si>
    <t>SS TPS</t>
  </si>
  <si>
    <t>The following represents maths to maximize Shield Slam damage to it's potential with talents:</t>
  </si>
  <si>
    <t>(BD + (SBV * 1.3)) * 1.1 * 1.2 * 2.2 = Impale/Deathwish Critical Strike Value</t>
  </si>
  <si>
    <t>(BD + (SBV * 1.3)) * 1.1 * 1.25 * 2 = Enrage Critical Strike Value</t>
  </si>
  <si>
    <t>(BD + (SBV *1.3)) * 1.1 * 2.2 = Impale Critical Strike Value</t>
  </si>
  <si>
    <t>(BD + (SBV *1.3)) * 1.1 * 2 = Normal Critical Strike</t>
  </si>
  <si>
    <t>1.2 Represents Deathwish 20% Damage Increase</t>
  </si>
  <si>
    <t>1.25 Represents Enrage 25% Damage Increase</t>
  </si>
  <si>
    <t>SHIELD SLAM</t>
  </si>
  <si>
    <t>2 Represents Normal Critical Strike Multiplier</t>
  </si>
  <si>
    <t>2.2 Represents Critical Strike Multiplier modified by Impale</t>
  </si>
  <si>
    <t>For example, an average Rank 6 Shield Slam will deal 430 Base Damage. Let's assume 750 Shield Block Value. Here's what some numbers would look like:</t>
  </si>
  <si>
    <t>1405 * 1.1 * 1.2 * 2.2 = 3709 Shield Slam Crit (Impale/Deathwish)</t>
  </si>
  <si>
    <t>1405 * 1.1 * 2.2 = 3400 Shield Slam Crit (Impale)</t>
  </si>
  <si>
    <t>Haste Proc</t>
  </si>
  <si>
    <t>1405 * 1.1 * 2 = 3091 Normal Shield Slam Crit</t>
  </si>
  <si>
    <t>Uptime</t>
  </si>
  <si>
    <t>4/4 set</t>
  </si>
  <si>
    <t>4 set with meta</t>
  </si>
  <si>
    <t>T5 meta 2 set</t>
  </si>
  <si>
    <t>DST Speed</t>
  </si>
  <si>
    <t>Avg Haste</t>
  </si>
  <si>
    <t>Base Dmg</t>
  </si>
  <si>
    <t>Crit chance</t>
  </si>
  <si>
    <t>Avg Dmg</t>
  </si>
  <si>
    <t>4 GCD</t>
  </si>
  <si>
    <t>ARMOR AC</t>
  </si>
  <si>
    <t>Dev tps</t>
  </si>
  <si>
    <t>Dagger</t>
  </si>
  <si>
    <t xml:space="preserve"> [Rod of the Sun King]</t>
  </si>
  <si>
    <t xml:space="preserve"> [Fang of Vashj]</t>
  </si>
  <si>
    <t xml:space="preserve"> [Dragonstrike]</t>
  </si>
  <si>
    <t>T5 meta set</t>
  </si>
  <si>
    <t>HS Uptime(%)</t>
  </si>
  <si>
    <t>Autos</t>
  </si>
  <si>
    <t>Hit Points</t>
  </si>
  <si>
    <t>Hit as dec</t>
  </si>
  <si>
    <t>nothing</t>
  </si>
  <si>
    <t xml:space="preserve">Expertise </t>
  </si>
  <si>
    <t>blood feenzy</t>
  </si>
  <si>
    <t>AP</t>
  </si>
  <si>
    <t>burst</t>
  </si>
  <si>
    <t>Target Amor</t>
  </si>
  <si>
    <t>T5 Base stats</t>
  </si>
  <si>
    <t>Atack Power</t>
  </si>
  <si>
    <t>T5 haste</t>
  </si>
  <si>
    <t>Hit Rating</t>
  </si>
  <si>
    <t>Extra Hit RATING</t>
  </si>
  <si>
    <t>Exp Rating</t>
  </si>
  <si>
    <t>Extra Exp RATING</t>
  </si>
  <si>
    <t>Normalised</t>
  </si>
  <si>
    <t>Extra Crit as Dec</t>
  </si>
  <si>
    <t>no normalisation?</t>
  </si>
  <si>
    <t xml:space="preserve"> W</t>
  </si>
  <si>
    <t>IDEAL</t>
  </si>
  <si>
    <t>Weapon Name</t>
  </si>
  <si>
    <t>26/05/31</t>
  </si>
  <si>
    <t>http://calculators.iradei.eu/talents/warrior?353003013025100000000000400000000000000000000055511331000100501000</t>
  </si>
  <si>
    <t>DW 4% Crit</t>
  </si>
  <si>
    <t>0/30/31</t>
  </si>
  <si>
    <t>http://calculators.iradei.eu/talents/warrior?000000000000000000000000550300400501205000000055511331000100501000</t>
  </si>
  <si>
    <t>Flurry Slam</t>
  </si>
  <si>
    <t>Shield Slam provides the largest scaling available to the Protection Warrior. It is affected by all increases in damage, including One-Handed Specialization, Enrage, Deathwish, and Impale.</t>
  </si>
  <si>
    <t>The basic equation is:</t>
  </si>
  <si>
    <t>(BD + (SBV *1.3)) * 1.1</t>
  </si>
  <si>
    <t>Where BD is Base Damage and SBV is Shield Block Value.</t>
  </si>
  <si>
    <t>1.3 Represents Shield Mastery 30% Damage Increase</t>
  </si>
  <si>
    <t>1.1 Represents One-Handed Specialization 10% Damage Increase</t>
  </si>
  <si>
    <t>Base Damage</t>
  </si>
  <si>
    <t>T6 4 Set Base</t>
  </si>
  <si>
    <t>SBV 10% T6</t>
  </si>
  <si>
    <t>Base Threat</t>
  </si>
  <si>
    <t>Damage Delt UB</t>
  </si>
  <si>
    <t>Crit with Impale</t>
  </si>
  <si>
    <t>Crit (Imple+DW)</t>
  </si>
  <si>
    <t>T5 2 set (glove and shoulders vs something else)</t>
  </si>
  <si>
    <t>Dmg vs 3535 armor</t>
  </si>
  <si>
    <t>Innate</t>
  </si>
  <si>
    <t>38 SBV</t>
  </si>
  <si>
    <t>SBV vs ARP</t>
  </si>
  <si>
    <t>ARP</t>
  </si>
  <si>
    <t>Melee Total Reduction</t>
  </si>
  <si>
    <t>totalReduction[MELEE] = 1 - ((mobCritChance * (1 + mobCritBonus) * mobCritDamageMod) + (mobCrushChance * 1.5) + (1 - mobCrushChance - mobCritChance - blockChance * blockedMod - parryChance - dodgeChance - mobMissChance)) * (1 - armorReduction) * meleeTakenMod</t>
  </si>
  <si>
    <t>Spell Total Reduction</t>
  </si>
  <si>
    <t>totalReduction[SCHOOL] = 1 - ((mobSpellCritChance * (1 + mobSpellCritBonus) * mobSpellCritDamageMod) + (1 - mobSpellCritChance - mobSpellMissChance)) * (1 - schoolReduction[SCHOOL]) * spellTakenMod</t>
  </si>
  <si>
    <t>Armor Reduction</t>
  </si>
  <si>
    <t>levelModifier = attackerLevel</t>
  </si>
  <si>
    <t>if ( levelModifier &gt; 59 ) then</t>
  </si>
  <si>
    <t>levelModifier = levelModifier + (4.5 * (levelModifier - 59))</t>
  </si>
  <si>
    <t>end</t>
  </si>
  <si>
    <t>armorReductionTemp = armor / ((85 * levelModifier) + 400)</t>
  </si>
  <si>
    <t>armorReduction = armorReductionTemp / (armorReductionTemp + 1)</t>
  </si>
  <si>
    <t>if armorReduction &gt; 0.75 then</t>
  </si>
  <si>
    <t>armorReduction = 0.75</t>
  </si>
  <si>
    <t>if armorReduction &lt; 0 then</t>
  </si>
  <si>
    <t>armorReduction = 0</t>
  </si>
  <si>
    <t>Defense Effect</t>
  </si>
  <si>
    <t>defenseEffect = (defense - attackerLevel * 5) * 0.04 * 0.01</t>
  </si>
  <si>
    <t>Block Value From Strength</t>
  </si>
  <si>
    <t>blockValueFromStrength = floor(totalStr * 0.5 - 10)</t>
  </si>
  <si>
    <t>blockValue = floor((floor(totalStr * 0.5 - 10) + blockValueFromItems + blockValueFromShield) * blockValueMod)</t>
  </si>
  <si>
    <t>Mob Damage (default formula)</t>
  </si>
  <si>
    <t>mobDamage = (levelModifier * 55) * meleeTakenMod * (1 - armorReduction)</t>
  </si>
  <si>
    <t>Resilience Effect</t>
  </si>
  <si>
    <t>resilienceEffect = ReverseRating(resilience, playerLevel) * 0.01</t>
  </si>
  <si>
    <t>Mob Crit Chance</t>
  </si>
  <si>
    <t>mobCritChance = max(0, 0.05 - defenseEffect - resilienceEffect)</t>
  </si>
  <si>
    <t>Mob Crit Bonus</t>
  </si>
  <si>
    <t>mobCritBonus = 1</t>
  </si>
  <si>
    <t>Mob Miss Chance</t>
  </si>
  <si>
    <t>mobMissChance = max(0, 0.05 + defenseEffect)</t>
  </si>
  <si>
    <t>Mob Crush Chance (if mobLevel is +4 or more)</t>
  </si>
  <si>
    <t>mobCrushChance = (mobLevel - playerLevel) * 0.1 - 0.15</t>
  </si>
  <si>
    <t>Mob Crit Damage Mod</t>
  </si>
  <si>
    <t>mobCritDamageMod = max(0, 1 - resilienceEffect * 2)</t>
  </si>
  <si>
    <t>Blocked Mod</t>
  </si>
  <si>
    <t>blockedMod = min(1, blockValue / mobDamage)</t>
  </si>
  <si>
    <t>Mob Spell Crit Chance</t>
  </si>
  <si>
    <t>mobSpellCritChance = max(0, 0 - resilienceEffect)</t>
  </si>
  <si>
    <t>Mob Spell Crit Bonus</t>
  </si>
  <si>
    <t>mobSpellCritBonus = 0.5</t>
  </si>
  <si>
    <t>Mob Spell Miss Chance</t>
  </si>
  <si>
    <t>mobSpellMissChance = 0</t>
  </si>
  <si>
    <t>Mob Spell Crit Damage Mod</t>
  </si>
  <si>
    <t>mobSpellCritDamageMod = max(0, 1 - resilienceEffect * 2)</t>
  </si>
  <si>
    <t>Resistance Reduction</t>
  </si>
  <si>
    <t>schoolReduction[SCHOOL] = 0.75 * (resistance[SCHOOL] / (mobLevel * 5))</t>
  </si>
  <si>
    <t>EffectiveHealth (EH)</t>
  </si>
  <si>
    <t>effectiveHealth[MELEE] = playerHealth * 1/(1 - (1-armorReduction) * damageTakenMod)</t>
  </si>
  <si>
    <t>effectiveHealth[SCHOOL] = playerHealth * 1/(1 - damageTakenMod) In other words: how much health you have times how much that health translates into raw damage when you're hit</t>
  </si>
  <si>
    <t>EffectiveHealthWithBlock (EHB)</t>
  </si>
  <si>
    <t>For every swing of the mob (see mobAtkSpeed) until you are out of health</t>
  </si>
  <si>
    <t>if time to press the shield block button given timeBetweenPresses</t>
  </si>
  <si>
    <t>refresh charges on shield block</t>
  </si>
  <si>
    <t>if mobHitChance + mobCrushChance + mobCritChance == 0 or</t>
  </si>
  <si>
    <t>(charges left and mobHitChance + mobCrushChance + mobCritChance &lt;= 75%)</t>
  </si>
  <si>
    <t>use a charge on shield block</t>
  </si>
  <si>
    <t>min(healthLeft, take raw damage from the monster per mobDamage - blockValue)</t>
  </si>
  <si>
    <t>else</t>
  </si>
  <si>
    <t>min(healthLeft, take raw damage from the monster per mobDamage)</t>
  </si>
  <si>
    <t>EH /w block</t>
  </si>
  <si>
    <t>59 SBV</t>
  </si>
  <si>
    <t>MS (S as decimal)</t>
  </si>
  <si>
    <t>(1dmg)/(1.5s*4+0.100s*4)=0.156TPS</t>
  </si>
  <si>
    <t>e.g 100ms = 0.1</t>
  </si>
  <si>
    <t>DMG</t>
  </si>
  <si>
    <t>Agil to TPS</t>
  </si>
  <si>
    <t>~TPS</t>
  </si>
  <si>
    <t>Hit to TPS</t>
  </si>
  <si>
    <t>Exp to TPS</t>
  </si>
  <si>
    <t>Exp (%)</t>
  </si>
  <si>
    <t>Tier 4 chest</t>
  </si>
  <si>
    <t>t5 shoulders</t>
  </si>
  <si>
    <t>t5 hands</t>
  </si>
  <si>
    <t>29 extra def in rawr</t>
  </si>
  <si>
    <t>Curator legs</t>
  </si>
  <si>
    <t>Gloves</t>
  </si>
  <si>
    <t>Hit x2</t>
  </si>
  <si>
    <t>Red</t>
  </si>
  <si>
    <t>Yellow</t>
  </si>
  <si>
    <t>4 block rating</t>
  </si>
  <si>
    <t>@@@@@@@</t>
  </si>
  <si>
    <t>3 parry</t>
  </si>
  <si>
    <t>6 stam</t>
  </si>
  <si>
    <t>gem</t>
  </si>
  <si>
    <t>Blue</t>
  </si>
  <si>
    <t>Bracer</t>
  </si>
  <si>
    <t>2 dodge</t>
  </si>
  <si>
    <t>thrown</t>
  </si>
  <si>
    <t>feet</t>
  </si>
  <si>
    <t>Consumables</t>
  </si>
  <si>
    <t xml:space="preserve"> [Shattrath Flask of Fortification]</t>
  </si>
  <si>
    <t>HP/10</t>
  </si>
  <si>
    <t>Only *10. No extra modifier</t>
  </si>
  <si>
    <t xml:space="preserve"> [Elixir of Major Defense]</t>
  </si>
  <si>
    <t xml:space="preserve"> [Elixir of Major Fortitude]</t>
  </si>
  <si>
    <t>QTY</t>
  </si>
  <si>
    <t xml:space="preserve"> [Elixir of Major Agility]</t>
  </si>
  <si>
    <t>Flask of Fortification</t>
  </si>
  <si>
    <t>Fel Lotus</t>
  </si>
  <si>
    <t>Mana Thistle</t>
  </si>
  <si>
    <t>Ancient Lichen</t>
  </si>
  <si>
    <t>Imbued Vial</t>
  </si>
  <si>
    <t>Flask EH</t>
  </si>
  <si>
    <t>Def+Agi Elix</t>
  </si>
  <si>
    <t>Fort+Agi</t>
  </si>
  <si>
    <t xml:space="preserve"> [Spicy Crawdad]</t>
  </si>
  <si>
    <t xml:space="preserve"> [Scroll of Protection V]</t>
  </si>
  <si>
    <t xml:space="preserve"> [Scroll of Agility V]</t>
  </si>
  <si>
    <t xml:space="preserve"> [Ironshield Potion]</t>
  </si>
  <si>
    <t xml:space="preserve"> [Faceplate of the Impenetrable]</t>
  </si>
  <si>
    <t>Frost Resistance</t>
  </si>
  <si>
    <t>- Plate user</t>
  </si>
  <si>
    <t>Slot</t>
  </si>
  <si>
    <t>Item</t>
  </si>
  <si>
    <t>Resist</t>
  </si>
  <si>
    <t>Defense</t>
  </si>
  <si>
    <t>Primal Fire</t>
  </si>
  <si>
    <t>Primal Water</t>
  </si>
  <si>
    <t>Khorium Bar</t>
  </si>
  <si>
    <t>Primal Nether</t>
  </si>
  <si>
    <t>Felsteel Bar</t>
  </si>
  <si>
    <t>Primal Earth</t>
  </si>
  <si>
    <t>Adamantite Powder</t>
  </si>
  <si>
    <t>Heavy Knothide Leather</t>
  </si>
  <si>
    <t>Iceguard Helm</t>
  </si>
  <si>
    <t>Head Enchant</t>
  </si>
  <si>
    <t>Arcanum of Frost Warding</t>
  </si>
  <si>
    <t>Pendant of Thawing</t>
  </si>
  <si>
    <t>Shoulder enchant</t>
  </si>
  <si>
    <t>Inscription of Endurance</t>
  </si>
  <si>
    <t>Cloak enchant</t>
  </si>
  <si>
    <t>Enchant Cloak - Major Resistance</t>
  </si>
  <si>
    <t>Iceguard Breastplate</t>
  </si>
  <si>
    <t>Iceguard Leggings</t>
  </si>
  <si>
    <t>Finger</t>
  </si>
  <si>
    <t>The Frozen Eye</t>
  </si>
  <si>
    <t>Chest+Legs+Hands+Feet Enchant</t>
  </si>
  <si>
    <t>Frost Armor Kit</t>
  </si>
  <si>
    <t>Shield enchant</t>
  </si>
  <si>
    <t>Enchant Shield - Frost Resistance</t>
  </si>
  <si>
    <t>Buff</t>
  </si>
  <si>
    <t>Frost Resistance Ayra</t>
  </si>
  <si>
    <t>Gift of the Wild</t>
  </si>
  <si>
    <t>Doesnt stack</t>
  </si>
  <si>
    <t>https://db.excalibur.ws/?item=31357#teaches-recipe</t>
  </si>
  <si>
    <t>Helm Enchant</t>
  </si>
  <si>
    <t>Flask of Chromatic Resistance</t>
  </si>
  <si>
    <t>Lower City - Exalted</t>
  </si>
  <si>
    <t>Cloak</t>
  </si>
  <si>
    <t>25 Resistance</t>
  </si>
  <si>
    <t>Cloak Enchant</t>
  </si>
  <si>
    <t>Black Lotus</t>
  </si>
  <si>
    <t>Icecap</t>
  </si>
  <si>
    <t>Chest Enchant</t>
  </si>
  <si>
    <t>Mountain SIlversage</t>
  </si>
  <si>
    <t>Glove Enchant</t>
  </si>
  <si>
    <t>Crystal Vial</t>
  </si>
  <si>
    <t>Leg</t>
  </si>
  <si>
    <t>Feet Enchant</t>
  </si>
  <si>
    <t>Frost Resistance Aura/Totem</t>
  </si>
  <si>
    <t>Primal Life</t>
  </si>
  <si>
    <t>Primal Shadow</t>
  </si>
  <si>
    <t>Khorium</t>
  </si>
  <si>
    <t>Wildguard Helm</t>
  </si>
  <si>
    <t>Arcanum of Nature Warding</t>
  </si>
  <si>
    <t>Pendant of Withering</t>
  </si>
  <si>
    <t>Remaining</t>
  </si>
  <si>
    <t>Helm enchant</t>
  </si>
  <si>
    <t>Gloves lvl68</t>
  </si>
  <si>
    <t>Glove enchant</t>
  </si>
  <si>
    <t>Chest enchant</t>
  </si>
  <si>
    <t>Cloak lvl64 Rare</t>
  </si>
  <si>
    <t xml:space="preserve">Waist lvl67 </t>
  </si>
  <si>
    <t>Illidan</t>
  </si>
  <si>
    <t>Hard Khorium Goggles</t>
  </si>
  <si>
    <t>Eng 2.4</t>
  </si>
  <si>
    <t>T4</t>
  </si>
  <si>
    <t>Crown of Dath'Remar</t>
  </si>
  <si>
    <t>KJ</t>
  </si>
  <si>
    <t xml:space="preserve"> [Felsteel Helm]</t>
  </si>
  <si>
    <t>BS</t>
  </si>
  <si>
    <t xml:space="preserve"> [Eternium Greathelm]</t>
  </si>
  <si>
    <t>Opera</t>
  </si>
  <si>
    <t xml:space="preserve"> [Tankatronic Goggles]</t>
  </si>
  <si>
    <t>Engineering</t>
  </si>
  <si>
    <t xml:space="preserve"> [Warbringer Greathelm]</t>
  </si>
  <si>
    <t xml:space="preserve"> [Destroyer Greathelm]</t>
  </si>
  <si>
    <t xml:space="preserve"> [Helm of the Stalwart Defender]</t>
  </si>
  <si>
    <t>Kara Opera</t>
  </si>
  <si>
    <t xml:space="preserve"> [Faceguard of the Endless Watch]</t>
  </si>
  <si>
    <t>Doomwalker</t>
  </si>
  <si>
    <t>Eng 2.1</t>
  </si>
  <si>
    <t>Hardenedd Adamantite Bar</t>
  </si>
  <si>
    <t>Primal Mana</t>
  </si>
  <si>
    <t xml:space="preserve"> [Gladiator's Plate Helm]</t>
  </si>
  <si>
    <t>S1</t>
  </si>
  <si>
    <t>Merciless Gladiator's Plate Helm</t>
  </si>
  <si>
    <t>S2</t>
  </si>
  <si>
    <t>Battleworn Tuskguard</t>
  </si>
  <si>
    <t>Oathkeepers's Helm</t>
  </si>
  <si>
    <t>epic</t>
  </si>
  <si>
    <t xml:space="preserve"> [Mark of the Ravenguard]</t>
  </si>
  <si>
    <t xml:space="preserve"> [Necklace of the Deep]</t>
  </si>
  <si>
    <t xml:space="preserve"> [Barbed Choker of Discipline]</t>
  </si>
  <si>
    <t xml:space="preserve"> [Collar of the Pit Lord]</t>
  </si>
  <si>
    <t xml:space="preserve"> [Frayed Tether of the Drowned]</t>
  </si>
  <si>
    <t>Quest</t>
  </si>
  <si>
    <t>Maiden</t>
  </si>
  <si>
    <t>Veteran's Pendant of Triumph</t>
  </si>
  <si>
    <t>Fathom-Lord</t>
  </si>
  <si>
    <t xml:space="preserve"> [Pendant of Titans]</t>
  </si>
  <si>
    <t>Reliquary of Souls</t>
  </si>
  <si>
    <t xml:space="preserve"> [Onslaught Shoulderguards]</t>
  </si>
  <si>
    <t xml:space="preserve"> [Shoulderguards of the Bold]</t>
  </si>
  <si>
    <t>SL</t>
  </si>
  <si>
    <t xml:space="preserve"> [Pauldrons of Perseverance]</t>
  </si>
  <si>
    <t>SWP</t>
  </si>
  <si>
    <t xml:space="preserve"> [Fanblade Pauldrons]</t>
  </si>
  <si>
    <t>AC</t>
  </si>
  <si>
    <t xml:space="preserve"> [Destroyer Shoulderguards]</t>
  </si>
  <si>
    <t xml:space="preserve"> [Spaulders of Dementia]</t>
  </si>
  <si>
    <t>SH</t>
  </si>
  <si>
    <t xml:space="preserve"> [Pauldrons of Abyssal Fury]</t>
  </si>
  <si>
    <t>Supremus</t>
  </si>
  <si>
    <t xml:space="preserve"> [Mantle of Abrahmis]</t>
  </si>
  <si>
    <t>KZ</t>
  </si>
  <si>
    <t xml:space="preserve"> [Warbringer Shoulderguards]</t>
  </si>
  <si>
    <t>Netherspite</t>
  </si>
  <si>
    <t xml:space="preserve"> [Gladiator's Plate Shoulders]</t>
  </si>
  <si>
    <t>Auch HC</t>
  </si>
  <si>
    <t>Grand Marshal's Plate Shoulders</t>
  </si>
  <si>
    <t>S0.5</t>
  </si>
  <si>
    <t>Merciless Gladiator's Plate Shoulders</t>
  </si>
  <si>
    <t xml:space="preserve"> [Pepe's Shroud of Pacification]</t>
  </si>
  <si>
    <t xml:space="preserve"> [Burnoose of Shifting Ages]</t>
  </si>
  <si>
    <t>BM</t>
  </si>
  <si>
    <t xml:space="preserve"> [Slikk's Cloak of Placation]</t>
  </si>
  <si>
    <t xml:space="preserve"> [Devilshark Cape]</t>
  </si>
  <si>
    <t>SV</t>
  </si>
  <si>
    <t xml:space="preserve"> [Crimson Paragon's Cover]</t>
  </si>
  <si>
    <t xml:space="preserve"> [Gilded Thorium Cloak]</t>
  </si>
  <si>
    <t xml:space="preserve"> [Phoenix-Wing Cloak]</t>
  </si>
  <si>
    <t>Al'ar</t>
  </si>
  <si>
    <t>TK</t>
  </si>
  <si>
    <t xml:space="preserve"> [Cloak of Darkness]</t>
  </si>
  <si>
    <t xml:space="preserve"> [Thoriumweave Cloak]</t>
  </si>
  <si>
    <t xml:space="preserve"> [Onslaught Chestguard]</t>
  </si>
  <si>
    <t xml:space="preserve"> [Warbringer Chestguard]</t>
  </si>
  <si>
    <t xml:space="preserve"> [Breastplate of Agony's Aversion]</t>
  </si>
  <si>
    <t xml:space="preserve"> [Panzar'Thar Breastplate]</t>
  </si>
  <si>
    <t>NB</t>
  </si>
  <si>
    <t xml:space="preserve"> [Destroyer Chestguard]</t>
  </si>
  <si>
    <t xml:space="preserve"> [Gladiator's Plate Chestpiece]</t>
  </si>
  <si>
    <t>Nightbane</t>
  </si>
  <si>
    <t xml:space="preserve"> [Bulwark of the Ancient Kings]</t>
  </si>
  <si>
    <t>BS Armorsmith</t>
  </si>
  <si>
    <t>Nether Vortex</t>
  </si>
  <si>
    <t xml:space="preserve"> [Glory of the Defender]</t>
  </si>
  <si>
    <t>Azgalor</t>
  </si>
  <si>
    <t>1500 HP on demand</t>
  </si>
  <si>
    <t>≈3000 EH on Use</t>
  </si>
  <si>
    <t xml:space="preserve"> [Bulwark of Kings]</t>
  </si>
  <si>
    <t xml:space="preserve"> [Chestplate of Stoicism]</t>
  </si>
  <si>
    <t>1500 hp on demand</t>
  </si>
  <si>
    <t xml:space="preserve"> [Breastplate of Kings]</t>
  </si>
  <si>
    <t>Primal Might</t>
  </si>
  <si>
    <t xml:space="preserve"> [Breastplate of the Righteous]</t>
  </si>
  <si>
    <t>Bot pala + E Gems</t>
  </si>
  <si>
    <t>Hardened Adamantite Bar</t>
  </si>
  <si>
    <t>NO HP BOOST</t>
  </si>
  <si>
    <t>Eternium Bar</t>
  </si>
  <si>
    <t>Merciless Gladiator's Plate Chestpiece</t>
  </si>
  <si>
    <t xml:space="preserve"> [Bracers of the Ancient Phalanx]</t>
  </si>
  <si>
    <t xml:space="preserve"> [Vambraces of Courage]</t>
  </si>
  <si>
    <t xml:space="preserve"> [Eternium Shell Bracers]</t>
  </si>
  <si>
    <t xml:space="preserve"> [Sha'tari Wrought Armguards]</t>
  </si>
  <si>
    <t>SL Quest</t>
  </si>
  <si>
    <t xml:space="preserve"> [Onslaught Wristguards]</t>
  </si>
  <si>
    <t xml:space="preserve"> [Amber Bands of the Aggressor]</t>
  </si>
  <si>
    <t>SV hc</t>
  </si>
  <si>
    <t>SL Q</t>
  </si>
  <si>
    <t xml:space="preserve"> [General's Plate Bracers]</t>
  </si>
  <si>
    <t>Attuneman</t>
  </si>
  <si>
    <t xml:space="preserve"> [Wristguards of Determination]</t>
  </si>
  <si>
    <t xml:space="preserve"> [Bracers of the Green Fortress]</t>
  </si>
  <si>
    <t>Veteran's Plate Bracers</t>
  </si>
  <si>
    <t>Void Reaver</t>
  </si>
  <si>
    <t>Amber Bands of the Aggressor</t>
  </si>
  <si>
    <t>SV HC</t>
  </si>
  <si>
    <t xml:space="preserve"> [Onslaught Handguards]</t>
  </si>
  <si>
    <t xml:space="preserve"> [Felsteel Gloves]</t>
  </si>
  <si>
    <t xml:space="preserve"> [Gauntlets of Enforcement]</t>
  </si>
  <si>
    <t xml:space="preserve"> [Gladiator's Plate Gauntlets]</t>
  </si>
  <si>
    <t xml:space="preserve"> [Borderland Fortress Grips]</t>
  </si>
  <si>
    <t xml:space="preserve"> [Warbringer Handguards]</t>
  </si>
  <si>
    <t xml:space="preserve"> [Gauntlets of the Iron Tower]</t>
  </si>
  <si>
    <t xml:space="preserve"> [Iron Gauntlets of the Maiden]</t>
  </si>
  <si>
    <t>Kara</t>
  </si>
  <si>
    <t xml:space="preserve"> [Topaz-Studded Battlegrips]</t>
  </si>
  <si>
    <t>Kazzak</t>
  </si>
  <si>
    <t xml:space="preserve"> [Gauntlets of the Bold]</t>
  </si>
  <si>
    <t xml:space="preserve"> [Destroyer Handguards]</t>
  </si>
  <si>
    <t xml:space="preserve"> [Royal Gauntlets of Silvermoon]</t>
  </si>
  <si>
    <t>Kael'Thas</t>
  </si>
  <si>
    <t>BS 12 stam gems</t>
  </si>
  <si>
    <t>Merciless Gladiator's Plate Gauntlets</t>
  </si>
  <si>
    <t>Gauntlets of Dissension</t>
  </si>
  <si>
    <t>BoT HC</t>
  </si>
  <si>
    <t>/al</t>
  </si>
  <si>
    <t xml:space="preserve"> [Girdle of Stability]</t>
  </si>
  <si>
    <t xml:space="preserve"> [Crimson Girdle of the Indomitable]</t>
  </si>
  <si>
    <t xml:space="preserve"> [Onslaught Waistguard]</t>
  </si>
  <si>
    <t xml:space="preserve"> [Girdle of the Immovable]</t>
  </si>
  <si>
    <t xml:space="preserve"> [Lion's Heart Girdle]</t>
  </si>
  <si>
    <t>Ramps Hc</t>
  </si>
  <si>
    <t xml:space="preserve"> [Girdle of the Invulnerable]</t>
  </si>
  <si>
    <t>Leo</t>
  </si>
  <si>
    <t>SP Hc</t>
  </si>
  <si>
    <t xml:space="preserve"> [Marshal's Plate Belt]</t>
  </si>
  <si>
    <t>Moroes</t>
  </si>
  <si>
    <t xml:space="preserve"> [Plans: Belt of the Guardian]</t>
  </si>
  <si>
    <t>TK Pattern</t>
  </si>
  <si>
    <t>SSC</t>
  </si>
  <si>
    <t>Veteran's Plate Belt</t>
  </si>
  <si>
    <t xml:space="preserve"> [Belt of Seething Fury]</t>
  </si>
  <si>
    <t>dps mh</t>
  </si>
  <si>
    <t>Lurker's Girdle of the Champion</t>
  </si>
  <si>
    <t>Beast KZ</t>
  </si>
  <si>
    <t>Sha'tari Vindicator's Waistguard</t>
  </si>
  <si>
    <t xml:space="preserve"> [Onslaught Legguards]</t>
  </si>
  <si>
    <t xml:space="preserve"> [Wrynn Dynasty Greaves]</t>
  </si>
  <si>
    <t xml:space="preserve"> [Praetorian's Legguards]</t>
  </si>
  <si>
    <t>Akama</t>
  </si>
  <si>
    <t xml:space="preserve"> [Gladiator's Plate Legguards]</t>
  </si>
  <si>
    <t xml:space="preserve"> [Felstrength Legplates]</t>
  </si>
  <si>
    <t xml:space="preserve"> [Destroyer Legguards]</t>
  </si>
  <si>
    <t xml:space="preserve"> [Timewarden's Leggings]</t>
  </si>
  <si>
    <t xml:space="preserve"> [Felsteel Leggings]</t>
  </si>
  <si>
    <t>Merciless Gladiator's Plate Legguards</t>
  </si>
  <si>
    <t>BS 12 stam</t>
  </si>
  <si>
    <t xml:space="preserve"> [Sunguard Legplates]</t>
  </si>
  <si>
    <t>Bages + E Gems</t>
  </si>
  <si>
    <t xml:space="preserve"> [Myrmidon's Treads]</t>
  </si>
  <si>
    <t xml:space="preserve"> [Boots of the Colossus]</t>
  </si>
  <si>
    <t xml:space="preserve"> [Onslaught Boots]</t>
  </si>
  <si>
    <t xml:space="preserve"> [General's Plate Greaves]</t>
  </si>
  <si>
    <t>s1</t>
  </si>
  <si>
    <t>MT Hc</t>
  </si>
  <si>
    <t xml:space="preserve"> [Battlescar Boots]</t>
  </si>
  <si>
    <t>Chess</t>
  </si>
  <si>
    <t xml:space="preserve"> [Boots of the Resilient]</t>
  </si>
  <si>
    <t>Solarian</t>
  </si>
  <si>
    <t>Veteran's Plate Greaves</t>
  </si>
  <si>
    <t>armor</t>
  </si>
  <si>
    <t>Sheet1!B2</t>
  </si>
  <si>
    <t>DR</t>
  </si>
  <si>
    <t>Sheet1!C2</t>
  </si>
  <si>
    <t>Sheet1!B3</t>
  </si>
  <si>
    <t xml:space="preserve"> [Violet Signet of the Great Protector]</t>
  </si>
  <si>
    <t xml:space="preserve"> [Shermanar Great-Ring]</t>
  </si>
  <si>
    <t xml:space="preserve"> [Ring of the Stalwart Protector]</t>
  </si>
  <si>
    <t xml:space="preserve"> [Violet Signet]</t>
  </si>
  <si>
    <t>Honored</t>
  </si>
  <si>
    <t>accuracy maybe</t>
  </si>
  <si>
    <t xml:space="preserve"> [Band of the Eternal Defender]</t>
  </si>
  <si>
    <t>Assuming 1/6 uptime</t>
  </si>
  <si>
    <t xml:space="preserve"> [Ring of Unyielding Force]</t>
  </si>
  <si>
    <t xml:space="preserve"> [Band of the Abyssal Lord]</t>
  </si>
  <si>
    <t xml:space="preserve"> [Elementium Band of the Sentry]</t>
  </si>
  <si>
    <t xml:space="preserve"> [Ring of Hardened Resolve]</t>
  </si>
  <si>
    <t>MAG</t>
  </si>
  <si>
    <t>/read</t>
  </si>
  <si>
    <t xml:space="preserve"> [The Seal of Danzalar]</t>
  </si>
  <si>
    <t>Hydross</t>
  </si>
  <si>
    <t>Aran</t>
  </si>
  <si>
    <t xml:space="preserve"> [Seventh Ring of the Tirisfalen]</t>
  </si>
  <si>
    <t xml:space="preserve"> [Band of Eternity]</t>
  </si>
  <si>
    <t xml:space="preserve"> [Ring of Sundered Souls]</t>
  </si>
  <si>
    <t>Morogrim</t>
  </si>
  <si>
    <t xml:space="preserve"> [A'dal's Signet of Defense]</t>
  </si>
  <si>
    <t>Trinkets</t>
  </si>
  <si>
    <t xml:space="preserve"> [Commendation of Kael'thas]</t>
  </si>
  <si>
    <t>Notes</t>
  </si>
  <si>
    <t>Very powerful Equip</t>
  </si>
  <si>
    <t xml:space="preserve"> [Goblin Rocket Launcher]</t>
  </si>
  <si>
    <t xml:space="preserve"> [Gnomeregan Auto-Blocker 600]</t>
  </si>
  <si>
    <t xml:space="preserve"> [Darkmoon Card: Vengeance]</t>
  </si>
  <si>
    <t>Main Hand</t>
  </si>
  <si>
    <t xml:space="preserve"> [Gladiator's Slicer]</t>
  </si>
  <si>
    <t xml:space="preserve"> [The Unbreakable Will]</t>
  </si>
  <si>
    <t xml:space="preserve"> [Grom'tor's Charge]</t>
  </si>
  <si>
    <t>Q SMV</t>
  </si>
  <si>
    <t xml:space="preserve"> [Blade of the Unrequited]</t>
  </si>
  <si>
    <t>Blade of the Unrequited</t>
  </si>
  <si>
    <t xml:space="preserve"> [Umbral Shiv]</t>
  </si>
  <si>
    <t xml:space="preserve"> [Bulwark of Azzinoth]</t>
  </si>
  <si>
    <t>60% avoidance</t>
  </si>
  <si>
    <t>SWP 20.69% avoidance</t>
  </si>
  <si>
    <t>~0.8%</t>
  </si>
  <si>
    <t xml:space="preserve"> [Azure-Shield of Coldarra]</t>
  </si>
  <si>
    <t>Badges</t>
  </si>
  <si>
    <t>52% avoidance</t>
  </si>
  <si>
    <t>~70 EH</t>
  </si>
  <si>
    <t>~0.96%</t>
  </si>
  <si>
    <t>Assuming a 1% proc. Avg armor is 20. Which is about 51 EH</t>
  </si>
  <si>
    <t xml:space="preserve"> [Kaz'rogal's Hardened Heart]</t>
  </si>
  <si>
    <t xml:space="preserve"> [Crest of the Sha'tar]</t>
  </si>
  <si>
    <t>Sha'tar</t>
  </si>
  <si>
    <t xml:space="preserve"> [Brutal Gladiator's Shield Wall]</t>
  </si>
  <si>
    <t xml:space="preserve"> [Aldori Legacy Defender]</t>
  </si>
  <si>
    <t>Gruul</t>
  </si>
  <si>
    <t xml:space="preserve"> [Shield of Impenetrable Darkness]</t>
  </si>
  <si>
    <t xml:space="preserve"> [Sword Breaker's Bulwark]</t>
  </si>
  <si>
    <t>Aldori</t>
  </si>
  <si>
    <t>MH</t>
  </si>
  <si>
    <t>BT</t>
  </si>
  <si>
    <t xml:space="preserve"> [Platinum Shield of the Valorous]</t>
  </si>
  <si>
    <t>SL n/hc</t>
  </si>
  <si>
    <t xml:space="preserve"> [Antonidas's Aegis of Rapt Concentration]</t>
  </si>
  <si>
    <t xml:space="preserve"> [Gladiator's Shield Wall]</t>
  </si>
  <si>
    <t xml:space="preserve"> [Netherwing Protector's Shield]</t>
  </si>
  <si>
    <t>Post 2.1</t>
  </si>
  <si>
    <t>Merciless Gladiator's Shield Wall</t>
  </si>
  <si>
    <t xml:space="preserve"> [Illidari Runeshield]</t>
  </si>
  <si>
    <t>Vengeful Gladiator's Shield Wall</t>
  </si>
  <si>
    <t>Brutal Gladiator's Shield Wall</t>
  </si>
  <si>
    <t>12 stam gem</t>
  </si>
  <si>
    <t xml:space="preserve"> [Aegis of the Sunbird]</t>
  </si>
  <si>
    <t xml:space="preserve"> [Gyro-Balanced Khorium Destroyer]</t>
  </si>
  <si>
    <t xml:space="preserve"> [Barrel-Blade Longrifle]</t>
  </si>
  <si>
    <t xml:space="preserve"> [The Boomstick]</t>
  </si>
  <si>
    <t>Tick Hide</t>
  </si>
  <si>
    <t>G1</t>
  </si>
  <si>
    <t>G2</t>
  </si>
  <si>
    <t>G3</t>
  </si>
  <si>
    <t>G4</t>
  </si>
  <si>
    <t>G5</t>
  </si>
  <si>
    <t>Hear of the Wild</t>
  </si>
  <si>
    <t>Protection</t>
  </si>
  <si>
    <t>Shaman</t>
  </si>
  <si>
    <t>Enh</t>
  </si>
  <si>
    <t>Druid</t>
  </si>
  <si>
    <t>Moonkin</t>
  </si>
  <si>
    <t>Priest</t>
  </si>
  <si>
    <t>Shadow</t>
  </si>
  <si>
    <t>Resto</t>
  </si>
  <si>
    <t>Paladin</t>
  </si>
  <si>
    <t>Ret</t>
  </si>
  <si>
    <t>Affi</t>
  </si>
  <si>
    <t>Mage</t>
  </si>
  <si>
    <t>Holy</t>
  </si>
  <si>
    <t>Holy/Prot</t>
  </si>
  <si>
    <t>Feral</t>
  </si>
  <si>
    <t>Resto/?</t>
  </si>
  <si>
    <t>Ele</t>
  </si>
  <si>
    <t>Where are the warlocks?</t>
  </si>
  <si>
    <r>
      <rPr>
        <rFont val="Inconsolata"/>
        <sz val="10.0"/>
      </rPr>
      <t>(((</t>
    </r>
    <r>
      <rPr>
        <rFont val="Inconsolata"/>
        <color rgb="FFF7981D"/>
        <sz val="10.0"/>
      </rPr>
      <t>Sheet1!$B$3</t>
    </r>
    <r>
      <rPr>
        <rFont val="Inconsolata"/>
        <sz val="10.0"/>
      </rPr>
      <t>+(</t>
    </r>
    <r>
      <rPr>
        <rFont val="Inconsolata"/>
        <color rgb="FF7E3794"/>
        <sz val="10.0"/>
      </rPr>
      <t>B7</t>
    </r>
    <r>
      <rPr>
        <rFont val="Inconsolata"/>
        <sz val="10.0"/>
      </rPr>
      <t>*</t>
    </r>
    <r>
      <rPr>
        <rFont val="Inconsolata"/>
        <color rgb="FF11A9CC"/>
        <sz val="10.0"/>
      </rPr>
      <t>Sheet1!$G$7</t>
    </r>
    <r>
      <rPr>
        <rFont val="Inconsolata"/>
        <sz val="10.0"/>
      </rPr>
      <t>*</t>
    </r>
    <r>
      <rPr>
        <rFont val="Inconsolata"/>
        <color rgb="FFA61D4C"/>
        <sz val="10.0"/>
      </rPr>
      <t>Sheet1!$G$8</t>
    </r>
    <r>
      <rPr>
        <rFont val="Inconsolata"/>
        <sz val="10.0"/>
      </rPr>
      <t>))+</t>
    </r>
    <r>
      <rPr>
        <rFont val="Inconsolata"/>
        <color rgb="FF4285F4"/>
        <sz val="10.0"/>
      </rPr>
      <t>B6</t>
    </r>
    <r>
      <rPr>
        <rFont val="Inconsolata"/>
        <sz val="10.0"/>
      </rPr>
      <t>*</t>
    </r>
    <r>
      <rPr>
        <rFont val="Inconsolata"/>
        <color rgb="FFF4B400"/>
        <sz val="10.0"/>
      </rPr>
      <t>$B$2</t>
    </r>
    <r>
      <rPr>
        <rFont val="Inconsolata"/>
        <sz val="10.0"/>
      </rPr>
      <t>)+((</t>
    </r>
    <r>
      <rPr>
        <rFont val="Inconsolata"/>
        <color rgb="FF65B045"/>
        <sz val="10.0"/>
      </rPr>
      <t>B5</t>
    </r>
    <r>
      <rPr>
        <rFont val="Inconsolata"/>
        <sz val="10.0"/>
      </rPr>
      <t>+(</t>
    </r>
    <r>
      <rPr>
        <rFont val="Inconsolata"/>
        <color rgb="FF795548"/>
        <sz val="10.0"/>
      </rPr>
      <t>B8</t>
    </r>
    <r>
      <rPr>
        <rFont val="Inconsolata"/>
        <sz val="10.0"/>
      </rPr>
      <t>*</t>
    </r>
    <r>
      <rPr>
        <rFont val="Inconsolata"/>
        <color rgb="FF1155CC"/>
        <sz val="10.0"/>
      </rPr>
      <t>2</t>
    </r>
    <r>
      <rPr>
        <rFont val="Inconsolata"/>
        <sz val="10.0"/>
      </rPr>
      <t>))*</t>
    </r>
    <r>
      <rPr>
        <rFont val="Inconsolata"/>
        <color rgb="FF999999"/>
        <sz val="10.0"/>
      </rPr>
      <t>$B$1</t>
    </r>
    <r>
      <rPr>
        <rFont val="Inconsolata"/>
        <sz val="10.0"/>
      </rPr>
      <t>))/(</t>
    </r>
    <r>
      <rPr>
        <rFont val="Inconsolata"/>
        <color rgb="FF1155CC"/>
        <sz val="10.0"/>
      </rPr>
      <t>1</t>
    </r>
    <r>
      <rPr>
        <rFont val="Inconsolata"/>
        <sz val="10.0"/>
      </rPr>
      <t>-(</t>
    </r>
    <r>
      <rPr>
        <rFont val="Inconsolata"/>
        <color rgb="FFF1CA3A"/>
        <sz val="10.0"/>
      </rPr>
      <t>Sheet1!$C$2</t>
    </r>
    <r>
      <rPr>
        <rFont val="Inconsolata"/>
        <sz val="10.0"/>
      </rPr>
      <t>))-(</t>
    </r>
    <r>
      <rPr>
        <rFont val="Inconsolata"/>
        <color rgb="FFF7981D"/>
        <sz val="10.0"/>
      </rPr>
      <t>Sheet1!$B$3</t>
    </r>
    <r>
      <rPr>
        <rFont val="Inconsolata"/>
        <sz val="10.0"/>
      </rPr>
      <t>)/(</t>
    </r>
    <r>
      <rPr>
        <rFont val="Inconsolata"/>
        <color rgb="FF1155CC"/>
        <sz val="10.0"/>
      </rPr>
      <t>1</t>
    </r>
    <r>
      <rPr>
        <rFont val="Inconsolata"/>
        <sz val="10.0"/>
      </rPr>
      <t>-(</t>
    </r>
    <r>
      <rPr>
        <rFont val="Inconsolata"/>
        <color rgb="FFF1CA3A"/>
        <sz val="10.0"/>
      </rPr>
      <t>Sheet1!$C$2</t>
    </r>
    <r>
      <rPr>
        <rFont val="Inconsolata"/>
        <sz val="10.0"/>
      </rPr>
      <t>))</t>
    </r>
  </si>
  <si>
    <t>lvling</t>
  </si>
  <si>
    <t>guide</t>
  </si>
  <si>
    <t>28mins</t>
  </si>
  <si>
    <t>Default</t>
  </si>
  <si>
    <t>defauly</t>
  </si>
  <si>
    <t>&lt;50%</t>
  </si>
  <si>
    <t>HP %</t>
  </si>
  <si>
    <t>Weap speed</t>
  </si>
  <si>
    <t>BR</t>
  </si>
  <si>
    <t>"Required"</t>
  </si>
  <si>
    <t>Attained</t>
  </si>
  <si>
    <t>Rough Stone</t>
  </si>
  <si>
    <t>Copper Bar</t>
  </si>
  <si>
    <t>Coarse Stone</t>
  </si>
  <si>
    <t>Heavy Stone</t>
  </si>
  <si>
    <t>Tin Bar/Ore</t>
  </si>
  <si>
    <t>For Bronze Bar (2 BB made at once)</t>
  </si>
  <si>
    <t>Iron Bar</t>
  </si>
  <si>
    <t>Truesilver Bar</t>
  </si>
  <si>
    <t>Mithril Bar</t>
  </si>
  <si>
    <t>Dense Stone</t>
  </si>
  <si>
    <t>Thorium Bar</t>
  </si>
  <si>
    <t>Fel Iron Bar</t>
  </si>
  <si>
    <t>Adamantite Bar</t>
  </si>
  <si>
    <t xml:space="preserve">Green Power </t>
  </si>
  <si>
    <t>Red Power</t>
  </si>
  <si>
    <t>MIthril Bar</t>
  </si>
  <si>
    <t>Solid Grinding Stone</t>
  </si>
  <si>
    <t>Mageweaev CLoth</t>
  </si>
  <si>
    <t>Heart of Fire</t>
  </si>
  <si>
    <t>Thick Leather</t>
  </si>
  <si>
    <t>Aquamarine</t>
  </si>
  <si>
    <t>Ore</t>
  </si>
  <si>
    <t>Mith</t>
  </si>
  <si>
    <t>Heavy Mithril Breasplate</t>
  </si>
  <si>
    <t>Ornate Mithril Gloves</t>
  </si>
  <si>
    <t>Ornate Mithril Breastplate</t>
  </si>
  <si>
    <t>Heavy Mithril Boots</t>
  </si>
  <si>
    <t>Iron 40</t>
  </si>
  <si>
    <t>Ornate Mithril Pants</t>
  </si>
  <si>
    <t>Ornate Mithril Boots</t>
  </si>
  <si>
    <t>Mithril Coif</t>
  </si>
  <si>
    <t>Ornate Mithril Shoulders</t>
  </si>
  <si>
    <t>Ornate Mithril Helm</t>
  </si>
  <si>
    <t>TOTAL</t>
  </si>
  <si>
    <t>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</si>
</sst>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 d yy"/>
  </numFmts>
  <fonts count="34">
    <font>
      <sz val="10.0"/>
      <color rgb="FF000000"/>
      <name val="Arial"/>
    </font>
    <font>
      <name val="Arial"/>
    </font>
    <font/>
    <font>
      <b/>
    </font>
    <font>
      <b/>
      <color rgb="FF674EA7"/>
      <name val="Arial"/>
    </font>
    <font>
      <u/>
      <color rgb="FF0000FF"/>
    </font>
    <font>
      <color rgb="FF000000"/>
      <name val="Arial"/>
    </font>
    <font>
      <sz val="11.0"/>
      <name val="Arial"/>
    </font>
    <font>
      <sz val="11.0"/>
      <color rgb="FF000000"/>
      <name val="Arial"/>
    </font>
    <font>
      <b/>
      <sz val="14.0"/>
      <color rgb="FF000000"/>
      <name val="Arial"/>
    </font>
    <font>
      <sz val="7.0"/>
      <color rgb="FF969696"/>
      <name val="Arial"/>
    </font>
    <font>
      <sz val="8.0"/>
      <color rgb="FF222222"/>
      <name val="Arial"/>
    </font>
    <font>
      <b/>
      <color rgb="FF000000"/>
      <name val="Arial"/>
    </font>
    <font>
      <u/>
      <color rgb="FF0000FF"/>
      <name val="Arial"/>
    </font>
    <font>
      <i/>
      <color rgb="FF000000"/>
      <name val="Arial"/>
    </font>
    <font>
      <color rgb="FFFFFF99"/>
      <name val="Arial"/>
    </font>
    <font>
      <sz val="11.0"/>
      <color rgb="FF000000"/>
      <name val="Inconsolata"/>
    </font>
    <font>
      <b/>
      <sz val="18.0"/>
    </font>
    <font>
      <u/>
      <sz val="10.0"/>
      <color rgb="FF0000FF"/>
    </font>
    <font>
      <b/>
      <sz val="18.0"/>
      <color rgb="FFFF0000"/>
    </font>
    <font>
      <color rgb="FF000000"/>
      <name val="Verdana"/>
    </font>
    <font>
      <sz val="11.0"/>
    </font>
    <font>
      <b/>
      <name val="Arial"/>
    </font>
    <font>
      <sz val="14.0"/>
      <color rgb="FF000000"/>
      <name val="Helvetica"/>
    </font>
    <font>
      <color rgb="FF000000"/>
      <name val="Helvetica"/>
    </font>
    <font>
      <b/>
      <color rgb="FF008000"/>
      <name val="Arial"/>
    </font>
    <font>
      <b/>
      <sz val="14.0"/>
      <color rgb="FFFF0000"/>
      <name val="Arial"/>
    </font>
    <font>
      <b/>
      <color rgb="FF0000FF"/>
      <name val="Arial"/>
    </font>
    <font>
      <b/>
      <color rgb="FFFF00FF"/>
      <name val="Arial"/>
    </font>
    <font>
      <b/>
      <color rgb="FF00FF00"/>
      <name val="Arial"/>
    </font>
    <font>
      <b/>
      <color rgb="FFF1C232"/>
    </font>
    <font>
      <color rgb="FFF1C232"/>
    </font>
    <font>
      <color rgb="FFFF0000"/>
    </font>
    <font>
      <strike/>
    </font>
  </fonts>
  <fills count="3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7F6000"/>
        <bgColor rgb="FF7F6000"/>
      </patternFill>
    </fill>
    <fill>
      <patternFill patternType="solid">
        <fgColor rgb="FFDD7E6B"/>
        <bgColor rgb="FFDD7E6B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9FC5E8"/>
        <bgColor rgb="FF9FC5E8"/>
      </patternFill>
    </fill>
    <fill>
      <patternFill patternType="solid">
        <fgColor rgb="FF57BB8A"/>
        <bgColor rgb="FF57BB8A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0E4CC"/>
        <bgColor rgb="FFF0E4C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795548"/>
        <bgColor rgb="FF795548"/>
      </patternFill>
    </fill>
    <fill>
      <patternFill patternType="solid">
        <fgColor rgb="FF999999"/>
        <bgColor rgb="FF999999"/>
      </patternFill>
    </fill>
    <fill>
      <patternFill patternType="solid">
        <fgColor rgb="FF4285F4"/>
        <bgColor rgb="FF4285F4"/>
      </patternFill>
    </fill>
    <fill>
      <patternFill patternType="solid">
        <fgColor rgb="FFF7981D"/>
        <bgColor rgb="FFF7981D"/>
      </patternFill>
    </fill>
    <fill>
      <patternFill patternType="solid">
        <fgColor rgb="FFF58CBA"/>
        <bgColor rgb="FFF58CBA"/>
      </patternFill>
    </fill>
    <fill>
      <patternFill patternType="solid">
        <fgColor rgb="FF65B045"/>
        <bgColor rgb="FF65B045"/>
      </patternFill>
    </fill>
    <fill>
      <patternFill patternType="solid">
        <fgColor rgb="FF7E3794"/>
        <bgColor rgb="FF7E3794"/>
      </patternFill>
    </fill>
    <fill>
      <patternFill patternType="solid">
        <fgColor rgb="FF11A9CC"/>
        <bgColor rgb="FF11A9CC"/>
      </patternFill>
    </fill>
  </fills>
  <borders count="18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horizontal="right" readingOrder="0" vertical="bottom"/>
    </xf>
    <xf borderId="3" fillId="0" fontId="1" numFmtId="0" xfId="0" applyAlignment="1" applyBorder="1" applyFont="1">
      <alignment horizontal="right" vertical="bottom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4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2" numFmtId="0" xfId="0" applyFon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horizontal="right" readingOrder="0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3" fontId="8" numFmtId="0" xfId="0" applyFont="1"/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5" fillId="3" fontId="9" numFmtId="0" xfId="0" applyAlignment="1" applyBorder="1" applyFont="1">
      <alignment horizontal="left" readingOrder="0" vertical="bottom"/>
    </xf>
    <xf borderId="6" fillId="0" fontId="2" numFmtId="0" xfId="0" applyBorder="1" applyFont="1"/>
    <xf borderId="2" fillId="0" fontId="2" numFmtId="0" xfId="0" applyBorder="1" applyFont="1"/>
    <xf borderId="5" fillId="3" fontId="10" numFmtId="0" xfId="0" applyAlignment="1" applyBorder="1" applyFont="1">
      <alignment horizontal="left" readingOrder="0" vertical="bottom"/>
    </xf>
    <xf borderId="3" fillId="3" fontId="6" numFmtId="0" xfId="0" applyAlignment="1" applyBorder="1" applyFont="1">
      <alignment vertical="bottom"/>
    </xf>
    <xf borderId="7" fillId="5" fontId="11" numFmtId="0" xfId="0" applyAlignment="1" applyBorder="1" applyFill="1" applyFont="1">
      <alignment horizontal="center"/>
    </xf>
    <xf borderId="5" fillId="3" fontId="12" numFmtId="0" xfId="0" applyAlignment="1" applyBorder="1" applyFont="1">
      <alignment horizontal="left" readingOrder="0" vertical="bottom"/>
    </xf>
    <xf borderId="6" fillId="0" fontId="2" numFmtId="0" xfId="0" applyBorder="1" applyFont="1"/>
    <xf borderId="2" fillId="0" fontId="2" numFmtId="0" xfId="0" applyBorder="1" applyFont="1"/>
    <xf borderId="5" fillId="3" fontId="6" numFmtId="0" xfId="0" applyAlignment="1" applyBorder="1" applyFont="1">
      <alignment horizontal="left" readingOrder="0" vertical="bottom"/>
    </xf>
    <xf borderId="3" fillId="3" fontId="6" numFmtId="0" xfId="0" applyAlignment="1" applyBorder="1" applyFont="1">
      <alignment horizontal="right" readingOrder="0" vertical="bottom"/>
    </xf>
    <xf borderId="3" fillId="3" fontId="6" numFmtId="9" xfId="0" applyAlignment="1" applyBorder="1" applyFont="1" applyNumberFormat="1">
      <alignment horizontal="right" readingOrder="0" vertical="bottom"/>
    </xf>
    <xf borderId="5" fillId="3" fontId="13" numFmtId="0" xfId="0" applyAlignment="1" applyBorder="1" applyFont="1">
      <alignment horizontal="left" readingOrder="0" vertical="bottom"/>
    </xf>
    <xf borderId="5" fillId="3" fontId="14" numFmtId="0" xfId="0" applyAlignment="1" applyBorder="1" applyFont="1">
      <alignment horizontal="left" readingOrder="0" vertical="bottom"/>
    </xf>
    <xf borderId="3" fillId="3" fontId="6" numFmtId="3" xfId="0" applyAlignment="1" applyBorder="1" applyFont="1" applyNumberFormat="1">
      <alignment horizontal="right" readingOrder="0" vertical="bottom"/>
    </xf>
    <xf borderId="3" fillId="3" fontId="6" numFmtId="0" xfId="0" applyAlignment="1" applyBorder="1" applyFont="1">
      <alignment horizontal="left" vertical="bottom"/>
    </xf>
    <xf borderId="3" fillId="3" fontId="6" numFmtId="10" xfId="0" applyAlignment="1" applyBorder="1" applyFont="1" applyNumberFormat="1">
      <alignment horizontal="right" readingOrder="0" vertical="bottom"/>
    </xf>
    <xf borderId="3" fillId="3" fontId="6" numFmtId="0" xfId="0" applyAlignment="1" applyBorder="1" applyFont="1">
      <alignment horizontal="left" vertical="bottom"/>
    </xf>
    <xf borderId="5" fillId="6" fontId="12" numFmtId="0" xfId="0" applyAlignment="1" applyBorder="1" applyFill="1" applyFont="1">
      <alignment horizontal="left" readingOrder="0" vertical="bottom"/>
    </xf>
    <xf borderId="5" fillId="6" fontId="6" numFmtId="0" xfId="0" applyAlignment="1" applyBorder="1" applyFont="1">
      <alignment horizontal="left" readingOrder="0" vertical="bottom"/>
    </xf>
    <xf borderId="3" fillId="6" fontId="6" numFmtId="0" xfId="0" applyAlignment="1" applyBorder="1" applyFont="1">
      <alignment horizontal="right" readingOrder="0" vertical="bottom"/>
    </xf>
    <xf borderId="3" fillId="3" fontId="6" numFmtId="0" xfId="0" applyAlignment="1" applyBorder="1" applyFont="1">
      <alignment horizontal="left" readingOrder="0" vertical="bottom"/>
    </xf>
    <xf borderId="5" fillId="6" fontId="6" numFmtId="0" xfId="0" applyAlignment="1" applyBorder="1" applyFont="1">
      <alignment horizontal="left" readingOrder="0" vertical="bottom"/>
    </xf>
    <xf borderId="3" fillId="6" fontId="6" numFmtId="3" xfId="0" applyAlignment="1" applyBorder="1" applyFont="1" applyNumberFormat="1">
      <alignment horizontal="right" readingOrder="0" vertical="bottom"/>
    </xf>
    <xf borderId="3" fillId="6" fontId="12" numFmtId="0" xfId="0" applyAlignment="1" applyBorder="1" applyFont="1">
      <alignment horizontal="right" readingOrder="0" vertical="bottom"/>
    </xf>
    <xf borderId="3" fillId="6" fontId="12" numFmtId="3" xfId="0" applyAlignment="1" applyBorder="1" applyFont="1" applyNumberFormat="1">
      <alignment horizontal="right" readingOrder="0" vertical="bottom"/>
    </xf>
    <xf borderId="3" fillId="6" fontId="15" numFmtId="0" xfId="0" applyAlignment="1" applyBorder="1" applyFont="1">
      <alignment horizontal="right" readingOrder="0" vertical="bottom"/>
    </xf>
    <xf borderId="5" fillId="7" fontId="12" numFmtId="0" xfId="0" applyAlignment="1" applyBorder="1" applyFill="1" applyFont="1">
      <alignment horizontal="left" readingOrder="0" vertical="bottom"/>
    </xf>
    <xf borderId="5" fillId="7" fontId="6" numFmtId="0" xfId="0" applyAlignment="1" applyBorder="1" applyFont="1">
      <alignment horizontal="left" readingOrder="0" vertical="bottom"/>
    </xf>
    <xf borderId="3" fillId="7" fontId="6" numFmtId="3" xfId="0" applyAlignment="1" applyBorder="1" applyFont="1" applyNumberFormat="1">
      <alignment horizontal="right" readingOrder="0" vertical="bottom"/>
    </xf>
    <xf borderId="3" fillId="7" fontId="6" numFmtId="0" xfId="0" applyAlignment="1" applyBorder="1" applyFont="1">
      <alignment horizontal="right" readingOrder="0" vertical="bottom"/>
    </xf>
    <xf borderId="5" fillId="7" fontId="6" numFmtId="0" xfId="0" applyAlignment="1" applyBorder="1" applyFont="1">
      <alignment horizontal="left" readingOrder="0" vertical="bottom"/>
    </xf>
    <xf borderId="3" fillId="7" fontId="12" numFmtId="0" xfId="0" applyAlignment="1" applyBorder="1" applyFont="1">
      <alignment horizontal="right" readingOrder="0" vertical="bottom"/>
    </xf>
    <xf borderId="3" fillId="7" fontId="12" numFmtId="3" xfId="0" applyAlignment="1" applyBorder="1" applyFont="1" applyNumberFormat="1">
      <alignment horizontal="right" readingOrder="0" vertical="bottom"/>
    </xf>
    <xf borderId="5" fillId="7" fontId="14" numFmtId="0" xfId="0" applyAlignment="1" applyBorder="1" applyFont="1">
      <alignment horizontal="left" readingOrder="0" vertical="bottom"/>
    </xf>
    <xf borderId="5" fillId="3" fontId="12" numFmtId="0" xfId="0" applyAlignment="1" applyBorder="1" applyFont="1">
      <alignment horizontal="left" readingOrder="0" vertical="bottom"/>
    </xf>
    <xf borderId="5" fillId="8" fontId="12" numFmtId="0" xfId="0" applyAlignment="1" applyBorder="1" applyFill="1" applyFont="1">
      <alignment horizontal="left" readingOrder="0" vertical="bottom"/>
    </xf>
    <xf borderId="3" fillId="8" fontId="12" numFmtId="0" xfId="0" applyAlignment="1" applyBorder="1" applyFont="1">
      <alignment horizontal="left" readingOrder="0" vertical="bottom"/>
    </xf>
    <xf borderId="5" fillId="8" fontId="6" numFmtId="0" xfId="0" applyAlignment="1" applyBorder="1" applyFont="1">
      <alignment horizontal="left" readingOrder="0" vertical="bottom"/>
    </xf>
    <xf borderId="3" fillId="8" fontId="6" numFmtId="0" xfId="0" applyAlignment="1" applyBorder="1" applyFont="1">
      <alignment horizontal="right" readingOrder="0" vertical="bottom"/>
    </xf>
    <xf borderId="3" fillId="8" fontId="6" numFmtId="0" xfId="0" applyAlignment="1" applyBorder="1" applyFont="1">
      <alignment horizontal="left" vertical="bottom"/>
    </xf>
    <xf borderId="0" fillId="0" fontId="2" numFmtId="165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3" fontId="16" numFmtId="0" xfId="0" applyFon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0" fillId="0" fontId="2" numFmtId="4" xfId="0" applyFont="1" applyNumberFormat="1"/>
    <xf borderId="11" fillId="0" fontId="2" numFmtId="0" xfId="0" applyAlignment="1" applyBorder="1" applyFont="1">
      <alignment readingOrder="0"/>
    </xf>
    <xf borderId="12" fillId="0" fontId="2" numFmtId="0" xfId="0" applyBorder="1" applyFont="1"/>
    <xf borderId="11" fillId="0" fontId="2" numFmtId="0" xfId="0" applyBorder="1" applyFont="1"/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4" fillId="0" fontId="2" numFmtId="0" xfId="0" applyBorder="1" applyFont="1"/>
    <xf borderId="1" fillId="0" fontId="2" numFmtId="0" xfId="0" applyBorder="1" applyFont="1"/>
    <xf borderId="0" fillId="11" fontId="2" numFmtId="0" xfId="0" applyAlignment="1" applyFill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0" fontId="19" numFmtId="0" xfId="0" applyAlignment="1" applyFont="1">
      <alignment readingOrder="0"/>
    </xf>
    <xf borderId="0" fillId="3" fontId="0" numFmtId="0" xfId="0" applyFont="1"/>
    <xf borderId="0" fillId="13" fontId="20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9" fillId="0" fontId="2" numFmtId="0" xfId="0" applyBorder="1" applyFont="1"/>
    <xf borderId="11" fillId="14" fontId="2" numFmtId="0" xfId="0" applyAlignment="1" applyBorder="1" applyFill="1" applyFont="1">
      <alignment readingOrder="0"/>
    </xf>
    <xf borderId="12" fillId="2" fontId="2" numFmtId="0" xfId="0" applyAlignment="1" applyBorder="1" applyFont="1">
      <alignment readingOrder="0"/>
    </xf>
    <xf borderId="0" fillId="15" fontId="2" numFmtId="0" xfId="0" applyAlignment="1" applyFill="1" applyFont="1">
      <alignment readingOrder="0"/>
    </xf>
    <xf borderId="12" fillId="15" fontId="2" numFmtId="0" xfId="0" applyAlignment="1" applyBorder="1" applyFont="1">
      <alignment readingOrder="0"/>
    </xf>
    <xf borderId="3" fillId="15" fontId="2" numFmtId="0" xfId="0" applyAlignment="1" applyBorder="1" applyFont="1">
      <alignment readingOrder="0"/>
    </xf>
    <xf borderId="0" fillId="0" fontId="21" numFmtId="0" xfId="0" applyFont="1"/>
    <xf borderId="13" fillId="14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8" fillId="11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11" fontId="2" numFmtId="0" xfId="0" applyAlignment="1" applyBorder="1" applyFont="1">
      <alignment readingOrder="0"/>
    </xf>
    <xf borderId="13" fillId="11" fontId="2" numFmtId="0" xfId="0" applyAlignment="1" applyBorder="1" applyFont="1">
      <alignment readingOrder="0"/>
    </xf>
    <xf borderId="1" fillId="0" fontId="2" numFmtId="4" xfId="0" applyBorder="1" applyFont="1" applyNumberFormat="1"/>
    <xf borderId="8" fillId="4" fontId="2" numFmtId="0" xfId="0" applyAlignment="1" applyBorder="1" applyFont="1">
      <alignment readingOrder="0"/>
    </xf>
    <xf borderId="9" fillId="6" fontId="2" numFmtId="0" xfId="0" applyAlignment="1" applyBorder="1" applyFont="1">
      <alignment readingOrder="0"/>
    </xf>
    <xf borderId="10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11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8" fillId="0" fontId="2" numFmtId="0" xfId="0" applyBorder="1" applyFont="1"/>
    <xf borderId="12" fillId="3" fontId="0" numFmtId="0" xfId="0" applyBorder="1" applyFont="1"/>
    <xf borderId="0" fillId="16" fontId="2" numFmtId="0" xfId="0" applyFill="1" applyFont="1"/>
    <xf borderId="0" fillId="17" fontId="2" numFmtId="0" xfId="0" applyAlignment="1" applyFill="1" applyFont="1">
      <alignment readingOrder="0"/>
    </xf>
    <xf borderId="11" fillId="2" fontId="2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12" fillId="0" fontId="3" numFmtId="0" xfId="0" applyAlignment="1" applyBorder="1" applyFont="1">
      <alignment readingOrder="0"/>
    </xf>
    <xf borderId="12" fillId="2" fontId="3" numFmtId="0" xfId="0" applyAlignment="1" applyBorder="1" applyFont="1">
      <alignment horizontal="left" readingOrder="0"/>
    </xf>
    <xf borderId="15" fillId="0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horizontal="right" vertical="bottom"/>
    </xf>
    <xf borderId="0" fillId="16" fontId="1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0" fontId="22" numFmtId="0" xfId="0" applyAlignment="1" applyFont="1">
      <alignment horizontal="right" vertical="bottom"/>
    </xf>
    <xf borderId="0" fillId="18" fontId="2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3" fillId="17" fontId="2" numFmtId="0" xfId="0" applyAlignment="1" applyBorder="1" applyFont="1">
      <alignment readingOrder="0"/>
    </xf>
    <xf borderId="1" fillId="0" fontId="22" numFmtId="0" xfId="0" applyAlignment="1" applyBorder="1" applyFont="1">
      <alignment readingOrder="0" vertical="bottom"/>
    </xf>
    <xf borderId="3" fillId="0" fontId="2" numFmtId="0" xfId="0" applyBorder="1" applyFont="1"/>
    <xf borderId="0" fillId="19" fontId="23" numFmtId="0" xfId="0" applyAlignment="1" applyFill="1" applyFont="1">
      <alignment readingOrder="0"/>
    </xf>
    <xf borderId="0" fillId="19" fontId="24" numFmtId="0" xfId="0" applyAlignment="1" applyFont="1">
      <alignment readingOrder="0" shrinkToFit="0" wrapText="1"/>
    </xf>
    <xf borderId="0" fillId="19" fontId="6" numFmtId="0" xfId="0" applyAlignment="1" applyFont="1">
      <alignment horizontal="left" readingOrder="0"/>
    </xf>
    <xf borderId="0" fillId="19" fontId="25" numFmtId="0" xfId="0" applyAlignment="1" applyFont="1">
      <alignment horizontal="left" readingOrder="0"/>
    </xf>
    <xf borderId="0" fillId="19" fontId="2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20" fontId="2" numFmtId="0" xfId="0" applyAlignment="1" applyFill="1" applyFont="1">
      <alignment readingOrder="0"/>
    </xf>
    <xf borderId="0" fillId="21" fontId="2" numFmtId="0" xfId="0" applyAlignment="1" applyFill="1" applyFont="1">
      <alignment readingOrder="0"/>
    </xf>
    <xf borderId="0" fillId="3" fontId="16" numFmtId="0" xfId="0" applyAlignment="1" applyFont="1">
      <alignment readingOrder="0"/>
    </xf>
    <xf borderId="0" fillId="11" fontId="2" numFmtId="0" xfId="0" applyFont="1"/>
    <xf borderId="0" fillId="3" fontId="6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22" fontId="2" numFmtId="0" xfId="0" applyAlignment="1" applyFill="1" applyFont="1">
      <alignment readingOrder="0"/>
    </xf>
    <xf borderId="0" fillId="22" fontId="2" numFmtId="0" xfId="0" applyFont="1"/>
    <xf borderId="0" fillId="0" fontId="26" numFmtId="0" xfId="0" applyAlignment="1" applyFont="1">
      <alignment vertical="bottom"/>
    </xf>
    <xf borderId="14" fillId="0" fontId="27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" fillId="12" fontId="22" numFmtId="0" xfId="0" applyAlignment="1" applyBorder="1" applyFont="1">
      <alignment horizontal="center" vertical="bottom"/>
    </xf>
    <xf borderId="1" fillId="12" fontId="22" numFmtId="0" xfId="0" applyAlignment="1" applyBorder="1" applyFont="1">
      <alignment horizontal="center" vertical="bottom"/>
    </xf>
    <xf borderId="1" fillId="3" fontId="28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3" fontId="29" numFmtId="0" xfId="0" applyAlignment="1" applyBorder="1" applyFont="1">
      <alignment vertical="bottom"/>
    </xf>
    <xf borderId="1" fillId="3" fontId="27" numFmtId="0" xfId="0" applyAlignment="1" applyBorder="1" applyFont="1">
      <alignment vertical="bottom"/>
    </xf>
    <xf borderId="1" fillId="0" fontId="22" numFmtId="0" xfId="0" applyAlignment="1" applyBorder="1" applyFont="1">
      <alignment vertical="bottom"/>
    </xf>
    <xf borderId="1" fillId="23" fontId="22" numFmtId="0" xfId="0" applyAlignment="1" applyBorder="1" applyFill="1" applyFont="1">
      <alignment vertical="bottom"/>
    </xf>
    <xf borderId="1" fillId="23" fontId="22" numFmtId="0" xfId="0" applyAlignment="1" applyBorder="1" applyFont="1">
      <alignment horizontal="center" vertical="bottom"/>
    </xf>
    <xf borderId="1" fillId="3" fontId="28" numFmtId="0" xfId="0" applyAlignment="1" applyBorder="1" applyFont="1">
      <alignment readingOrder="0" vertical="bottom"/>
    </xf>
    <xf borderId="1" fillId="3" fontId="29" numFmtId="0" xfId="0" applyAlignment="1" applyBorder="1" applyFont="1">
      <alignment readingOrder="0" vertical="bottom"/>
    </xf>
    <xf borderId="1" fillId="3" fontId="27" numFmtId="0" xfId="0" applyAlignment="1" applyBorder="1" applyFont="1">
      <alignment readingOrder="0" vertical="bottom"/>
    </xf>
    <xf borderId="0" fillId="20" fontId="3" numFmtId="0" xfId="0" applyFont="1"/>
    <xf borderId="0" fillId="24" fontId="2" numFmtId="0" xfId="0" applyAlignment="1" applyFill="1" applyFont="1">
      <alignment readingOrder="0"/>
    </xf>
    <xf borderId="0" fillId="24" fontId="2" numFmtId="0" xfId="0" applyFont="1"/>
    <xf borderId="0" fillId="0" fontId="1" numFmtId="0" xfId="0" applyAlignment="1" applyFont="1">
      <alignment horizontal="right" readingOrder="0" vertical="bottom"/>
    </xf>
    <xf borderId="0" fillId="25" fontId="1" numFmtId="0" xfId="0" applyAlignment="1" applyFill="1" applyFont="1">
      <alignment readingOrder="0" vertical="bottom"/>
    </xf>
    <xf borderId="0" fillId="25" fontId="1" numFmtId="0" xfId="0" applyAlignment="1" applyFont="1">
      <alignment vertical="bottom"/>
    </xf>
    <xf borderId="0" fillId="25" fontId="1" numFmtId="0" xfId="0" applyAlignment="1" applyFont="1">
      <alignment horizontal="right" readingOrder="0" vertical="bottom"/>
    </xf>
    <xf borderId="0" fillId="25" fontId="1" numFmtId="0" xfId="0" applyAlignment="1" applyFont="1">
      <alignment horizontal="right" vertical="bottom"/>
    </xf>
    <xf borderId="0" fillId="0" fontId="30" numFmtId="0" xfId="0" applyAlignment="1" applyFont="1">
      <alignment readingOrder="0"/>
    </xf>
    <xf borderId="0" fillId="0" fontId="2" numFmtId="10" xfId="0" applyFont="1" applyNumberFormat="1"/>
    <xf borderId="0" fillId="0" fontId="31" numFmtId="0" xfId="0" applyAlignment="1" applyFont="1">
      <alignment readingOrder="0"/>
    </xf>
    <xf borderId="0" fillId="22" fontId="1" numFmtId="0" xfId="0" applyAlignment="1" applyFont="1">
      <alignment readingOrder="0" vertical="bottom"/>
    </xf>
    <xf borderId="0" fillId="22" fontId="1" numFmtId="0" xfId="0" applyAlignment="1" applyFont="1">
      <alignment vertical="bottom"/>
    </xf>
    <xf borderId="0" fillId="22" fontId="1" numFmtId="0" xfId="0" applyAlignment="1" applyFont="1">
      <alignment horizontal="right" readingOrder="0" vertical="bottom"/>
    </xf>
    <xf borderId="0" fillId="22" fontId="1" numFmtId="0" xfId="0" applyAlignment="1" applyFont="1">
      <alignment horizontal="right" vertical="bottom"/>
    </xf>
    <xf borderId="0" fillId="24" fontId="1" numFmtId="0" xfId="0" applyAlignment="1" applyFont="1">
      <alignment readingOrder="0" vertical="bottom"/>
    </xf>
    <xf borderId="0" fillId="24" fontId="1" numFmtId="0" xfId="0" applyAlignment="1" applyFont="1">
      <alignment vertical="bottom"/>
    </xf>
    <xf borderId="0" fillId="25" fontId="2" numFmtId="0" xfId="0" applyAlignment="1" applyFont="1">
      <alignment readingOrder="0"/>
    </xf>
    <xf borderId="0" fillId="25" fontId="2" numFmtId="0" xfId="0" applyFont="1"/>
    <xf borderId="0" fillId="22" fontId="1" numFmtId="0" xfId="0" applyAlignment="1" applyFont="1">
      <alignment horizontal="right" vertical="bottom"/>
    </xf>
    <xf borderId="0" fillId="22" fontId="1" numFmtId="0" xfId="0" applyAlignment="1" applyFont="1">
      <alignment vertical="bottom"/>
    </xf>
    <xf borderId="15" fillId="2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32" numFmtId="0" xfId="0" applyAlignment="1" applyFont="1">
      <alignment readingOrder="0"/>
    </xf>
    <xf borderId="0" fillId="0" fontId="22" numFmtId="0" xfId="0" applyAlignment="1" applyFont="1">
      <alignment readingOrder="0" vertical="bottom"/>
    </xf>
    <xf borderId="0" fillId="0" fontId="1" numFmtId="0" xfId="0" applyAlignment="1" applyFont="1">
      <alignment horizontal="left" readingOrder="0" shrinkToFit="0" vertical="top" wrapText="0"/>
    </xf>
    <xf borderId="0" fillId="25" fontId="1" numFmtId="0" xfId="0" applyAlignment="1" applyFont="1">
      <alignment horizontal="left" readingOrder="0" shrinkToFit="0" vertical="top" wrapText="0"/>
    </xf>
    <xf borderId="0" fillId="22" fontId="3" numFmtId="0" xfId="0" applyAlignment="1" applyFont="1">
      <alignment readingOrder="0"/>
    </xf>
    <xf borderId="0" fillId="22" fontId="3" numFmtId="0" xfId="0" applyFont="1"/>
    <xf borderId="16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17" fillId="0" fontId="2" numFmtId="10" xfId="0" applyAlignment="1" applyBorder="1" applyFont="1" applyNumberFormat="1">
      <alignment horizontal="right" readingOrder="0"/>
    </xf>
    <xf borderId="17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left" readingOrder="0" shrinkToFit="0" vertical="top" wrapText="1"/>
    </xf>
    <xf borderId="0" fillId="12" fontId="3" numFmtId="0" xfId="0" applyAlignment="1" applyFont="1">
      <alignment readingOrder="0"/>
    </xf>
    <xf borderId="0" fillId="12" fontId="3" numFmtId="0" xfId="0" applyFont="1"/>
    <xf borderId="8" fillId="26" fontId="3" numFmtId="0" xfId="0" applyAlignment="1" applyBorder="1" applyFill="1" applyFont="1">
      <alignment readingOrder="0"/>
    </xf>
    <xf borderId="9" fillId="27" fontId="3" numFmtId="0" xfId="0" applyAlignment="1" applyBorder="1" applyFill="1" applyFont="1">
      <alignment readingOrder="0"/>
    </xf>
    <xf borderId="8" fillId="28" fontId="3" numFmtId="0" xfId="0" applyAlignment="1" applyBorder="1" applyFill="1" applyFont="1">
      <alignment readingOrder="0"/>
    </xf>
    <xf borderId="10" fillId="18" fontId="3" numFmtId="0" xfId="0" applyAlignment="1" applyBorder="1" applyFont="1">
      <alignment readingOrder="0"/>
    </xf>
    <xf borderId="8" fillId="29" fontId="3" numFmtId="0" xfId="0" applyAlignment="1" applyBorder="1" applyFill="1" applyFont="1">
      <alignment readingOrder="0"/>
    </xf>
    <xf borderId="8" fillId="0" fontId="3" numFmtId="0" xfId="0" applyAlignment="1" applyBorder="1" applyFont="1">
      <alignment readingOrder="0"/>
    </xf>
    <xf borderId="11" fillId="29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11" fillId="30" fontId="3" numFmtId="0" xfId="0" applyAlignment="1" applyBorder="1" applyFill="1" applyFont="1">
      <alignment readingOrder="0"/>
    </xf>
    <xf borderId="12" fillId="18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31" fontId="3" numFmtId="0" xfId="0" applyAlignment="1" applyBorder="1" applyFill="1" applyFont="1">
      <alignment readingOrder="0"/>
    </xf>
    <xf borderId="12" fillId="18" fontId="3" numFmtId="0" xfId="0" applyBorder="1" applyFont="1"/>
    <xf borderId="11" fillId="28" fontId="3" numFmtId="0" xfId="0" applyAlignment="1" applyBorder="1" applyFont="1">
      <alignment readingOrder="0"/>
    </xf>
    <xf borderId="12" fillId="2" fontId="3" numFmtId="0" xfId="0" applyAlignment="1" applyBorder="1" applyFont="1">
      <alignment readingOrder="0"/>
    </xf>
    <xf borderId="11" fillId="32" fontId="3" numFmtId="0" xfId="0" applyAlignment="1" applyBorder="1" applyFill="1" applyFont="1">
      <alignment readingOrder="0"/>
    </xf>
    <xf borderId="0" fillId="18" fontId="3" numFmtId="0" xfId="0" applyAlignment="1" applyFont="1">
      <alignment readingOrder="0"/>
    </xf>
    <xf borderId="11" fillId="26" fontId="3" numFmtId="0" xfId="0" applyAlignment="1" applyBorder="1" applyFont="1">
      <alignment readingOrder="0"/>
    </xf>
    <xf borderId="11" fillId="33" fontId="3" numFmtId="0" xfId="0" applyAlignment="1" applyBorder="1" applyFill="1" applyFont="1">
      <alignment readingOrder="0"/>
    </xf>
    <xf borderId="0" fillId="0" fontId="2" numFmtId="10" xfId="0" applyAlignment="1" applyFont="1" applyNumberFormat="1">
      <alignment horizontal="right" readingOrder="0"/>
    </xf>
    <xf borderId="0" fillId="27" fontId="3" numFmtId="0" xfId="0" applyAlignment="1" applyFont="1">
      <alignment readingOrder="0"/>
    </xf>
    <xf borderId="13" fillId="28" fontId="3" numFmtId="0" xfId="0" applyAlignment="1" applyBorder="1" applyFont="1">
      <alignment readingOrder="0"/>
    </xf>
    <xf borderId="14" fillId="2" fontId="3" numFmtId="0" xfId="0" applyAlignment="1" applyBorder="1" applyFont="1">
      <alignment readingOrder="0"/>
    </xf>
    <xf borderId="13" fillId="31" fontId="3" numFmtId="0" xfId="0" applyAlignment="1" applyBorder="1" applyFont="1">
      <alignment readingOrder="0"/>
    </xf>
    <xf borderId="1" fillId="18" fontId="3" numFmtId="0" xfId="0" applyBorder="1" applyFont="1"/>
    <xf borderId="1" fillId="18" fontId="3" numFmtId="0" xfId="0" applyAlignment="1" applyBorder="1" applyFont="1">
      <alignment readingOrder="0"/>
    </xf>
    <xf borderId="13" fillId="29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3" fillId="0" fontId="3" numFmtId="0" xfId="0" applyBorder="1" applyFont="1"/>
    <xf borderId="1" fillId="0" fontId="3" numFmtId="0" xfId="0" applyBorder="1" applyFont="1"/>
    <xf borderId="0" fillId="31" fontId="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3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7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7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18.png"/><Relationship Id="rId3" Type="http://schemas.openxmlformats.org/officeDocument/2006/relationships/image" Target="../media/image14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2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8.png"/><Relationship Id="rId3" Type="http://schemas.openxmlformats.org/officeDocument/2006/relationships/image" Target="../media/image26.png"/><Relationship Id="rId4" Type="http://schemas.openxmlformats.org/officeDocument/2006/relationships/image" Target="../media/image35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25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4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0.png"/><Relationship Id="rId4" Type="http://schemas.openxmlformats.org/officeDocument/2006/relationships/image" Target="../media/image5.png"/><Relationship Id="rId5" Type="http://schemas.openxmlformats.org/officeDocument/2006/relationships/image" Target="../media/image11.png"/><Relationship Id="rId6" Type="http://schemas.openxmlformats.org/officeDocument/2006/relationships/image" Target="../media/image4.png"/><Relationship Id="rId7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0</xdr:row>
      <xdr:rowOff>0</xdr:rowOff>
    </xdr:from>
    <xdr:ext cx="2905125" cy="20478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152400</xdr:rowOff>
    </xdr:from>
    <xdr:ext cx="2933700" cy="1704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7</xdr:row>
      <xdr:rowOff>152400</xdr:rowOff>
    </xdr:from>
    <xdr:ext cx="1962150" cy="1333500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47625</xdr:rowOff>
    </xdr:from>
    <xdr:ext cx="2867025" cy="34956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</xdr:row>
      <xdr:rowOff>171450</xdr:rowOff>
    </xdr:from>
    <xdr:ext cx="2562225" cy="1323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7</xdr:row>
      <xdr:rowOff>152400</xdr:rowOff>
    </xdr:from>
    <xdr:ext cx="2533650" cy="120015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123825</xdr:rowOff>
    </xdr:from>
    <xdr:ext cx="2924175" cy="378142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171450</xdr:rowOff>
    </xdr:from>
    <xdr:ext cx="2628900" cy="130492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28575</xdr:rowOff>
    </xdr:from>
    <xdr:ext cx="2495550" cy="1295400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1</xdr:row>
      <xdr:rowOff>161925</xdr:rowOff>
    </xdr:from>
    <xdr:ext cx="2905125" cy="35337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19</xdr:row>
      <xdr:rowOff>28575</xdr:rowOff>
    </xdr:from>
    <xdr:ext cx="2876550" cy="15525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0</xdr:row>
      <xdr:rowOff>0</xdr:rowOff>
    </xdr:from>
    <xdr:ext cx="2524125" cy="1657350"/>
    <xdr:pic>
      <xdr:nvPicPr>
        <xdr:cNvPr id="0" name="image1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190500</xdr:rowOff>
    </xdr:from>
    <xdr:ext cx="2905125" cy="19335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</xdr:row>
      <xdr:rowOff>190500</xdr:rowOff>
    </xdr:from>
    <xdr:ext cx="2847975" cy="362902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19</xdr:row>
      <xdr:rowOff>161925</xdr:rowOff>
    </xdr:from>
    <xdr:ext cx="2495550" cy="1905000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1</xdr:row>
      <xdr:rowOff>200025</xdr:rowOff>
    </xdr:from>
    <xdr:ext cx="2476500" cy="17907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</xdr:row>
      <xdr:rowOff>152400</xdr:rowOff>
    </xdr:from>
    <xdr:ext cx="2524125" cy="1085850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13</xdr:row>
      <xdr:rowOff>161925</xdr:rowOff>
    </xdr:from>
    <xdr:ext cx="2933700" cy="145732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7</xdr:row>
      <xdr:rowOff>152400</xdr:rowOff>
    </xdr:from>
    <xdr:ext cx="2514600" cy="1200150"/>
    <xdr:pic>
      <xdr:nvPicPr>
        <xdr:cNvPr id="0" name="image2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20</xdr:row>
      <xdr:rowOff>200025</xdr:rowOff>
    </xdr:from>
    <xdr:ext cx="2438400" cy="1219200"/>
    <xdr:pic>
      <xdr:nvPicPr>
        <xdr:cNvPr id="0" name="image3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1</xdr:row>
      <xdr:rowOff>180975</xdr:rowOff>
    </xdr:from>
    <xdr:ext cx="2905125" cy="139065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1</xdr:row>
      <xdr:rowOff>171450</xdr:rowOff>
    </xdr:from>
    <xdr:ext cx="2647950" cy="1447800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933450</xdr:colOff>
      <xdr:row>7</xdr:row>
      <xdr:rowOff>152400</xdr:rowOff>
    </xdr:from>
    <xdr:ext cx="2371725" cy="1447800"/>
    <xdr:pic>
      <xdr:nvPicPr>
        <xdr:cNvPr id="0" name="image2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142875</xdr:rowOff>
    </xdr:from>
    <xdr:ext cx="2857500" cy="15525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10</xdr:row>
      <xdr:rowOff>38100</xdr:rowOff>
    </xdr:from>
    <xdr:ext cx="2343150" cy="1666875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190500</xdr:rowOff>
    </xdr:from>
    <xdr:ext cx="2447925" cy="141922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28</xdr:row>
      <xdr:rowOff>66675</xdr:rowOff>
    </xdr:from>
    <xdr:ext cx="2152650" cy="400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38</xdr:row>
      <xdr:rowOff>9525</xdr:rowOff>
    </xdr:from>
    <xdr:ext cx="781050" cy="3905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13</xdr:row>
      <xdr:rowOff>180975</xdr:rowOff>
    </xdr:from>
    <xdr:ext cx="2990850" cy="7239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7</xdr:row>
      <xdr:rowOff>142875</xdr:rowOff>
    </xdr:from>
    <xdr:ext cx="2876550" cy="762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36</xdr:row>
      <xdr:rowOff>9525</xdr:rowOff>
    </xdr:from>
    <xdr:ext cx="2933700" cy="704850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9525</xdr:rowOff>
    </xdr:from>
    <xdr:ext cx="2838450" cy="6762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</xdr:row>
      <xdr:rowOff>190500</xdr:rowOff>
    </xdr:from>
    <xdr:ext cx="2819400" cy="1295400"/>
    <xdr:pic>
      <xdr:nvPicPr>
        <xdr:cNvPr id="0" name="image1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942975</xdr:colOff>
      <xdr:row>22</xdr:row>
      <xdr:rowOff>152400</xdr:rowOff>
    </xdr:from>
    <xdr:ext cx="2895600" cy="9906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42</xdr:row>
      <xdr:rowOff>0</xdr:rowOff>
    </xdr:from>
    <xdr:ext cx="2476500" cy="600075"/>
    <xdr:pic>
      <xdr:nvPicPr>
        <xdr:cNvPr id="0" name="image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lculators.iradei.eu/talents/warrior?050003000000000000000000550000200000000000000055511033010103501151" TargetMode="External"/><Relationship Id="rId2" Type="http://schemas.openxmlformats.org/officeDocument/2006/relationships/hyperlink" Target="http://calculators.iradei.eu/talents/warrior?050003000000000000000000550000200000000000000055511033010103301351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b.excalibur.ws/?item=31357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eb.archive.org/web/20071021023302/http://evilempireguild.org/guides/kenco2.php" TargetMode="External"/><Relationship Id="rId2" Type="http://schemas.openxmlformats.org/officeDocument/2006/relationships/hyperlink" Target="https://www.google.com/url?q=http://www.wowwiki.com/Formulas:Aggro&amp;sa=D&amp;ust=1473071217543000&amp;usg=AFQjCNHjskQIAYsxyKvDS29dJOxly99XXA" TargetMode="External"/><Relationship Id="rId3" Type="http://schemas.openxmlformats.org/officeDocument/2006/relationships/hyperlink" Target="https://www.google.com/url?q=http://www.wowwiki.com/Formulas:Kencos_Research&amp;sa=D&amp;ust=1473071217543000&amp;usg=AFQjCNEjAcpR0XIqePF0YlEcGfhz44sV2A" TargetMode="External"/><Relationship Id="rId4" Type="http://schemas.openxmlformats.org/officeDocument/2006/relationships/hyperlink" Target="https://www.google.com/url?q=http://forums.wow-europe.com/thread.html?topicId%3D83678537%2316&amp;sa=D&amp;ust=1473071217544000&amp;usg=AFQjCNHjU3157uNrXNXWJOZvdNmwMZGm3g" TargetMode="External"/><Relationship Id="rId5" Type="http://schemas.openxmlformats.org/officeDocument/2006/relationships/hyperlink" Target="https://www.google.com/url?q=http://forums.wow-europe.com/thread.html?topicId%3D94319875&amp;sa=D&amp;ust=1473071217544000&amp;usg=AFQjCNF7ffd44KNB8rQmyFB32AmJt1_7ew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web.archive.org/web/20080711001742/http://www.tankspot.com/forums/gear-lists-rankings/32083-berg-s-tank-gear-rankings-03-19-2008-wow-2-4-a.html" TargetMode="External"/><Relationship Id="rId10" Type="http://schemas.openxmlformats.org/officeDocument/2006/relationships/hyperlink" Target="http://web.archive.org/web/20080709042916/http://www.tankspot.com/forums/gear-lists-rankings/32651-shield-block-value-gear-guide.html" TargetMode="External"/><Relationship Id="rId13" Type="http://schemas.openxmlformats.org/officeDocument/2006/relationships/hyperlink" Target="http://web.archive.org/web/20080623062111/http://www.tankspot.com/forums/theory-articles/34152-gorefiend-threat-parse.html" TargetMode="External"/><Relationship Id="rId12" Type="http://schemas.openxmlformats.org/officeDocument/2006/relationships/hyperlink" Target="http://web.archive.org/web/20080612102730/http://www.tankspot.com/forums/theory-articles/37516-ss-threat.html" TargetMode="External"/><Relationship Id="rId1" Type="http://schemas.openxmlformats.org/officeDocument/2006/relationships/hyperlink" Target="http://web.archive.org/web/20080530040006/http://www.wowwiki.com/Formulas:Aggro" TargetMode="External"/><Relationship Id="rId2" Type="http://schemas.openxmlformats.org/officeDocument/2006/relationships/hyperlink" Target="http://web.archive.org/web/20080516051003/http://www.wowwiki.com/Formulas:Kencos_Research" TargetMode="External"/><Relationship Id="rId3" Type="http://schemas.openxmlformats.org/officeDocument/2006/relationships/hyperlink" Target="http://web.archive.org/web/20071021023302/http://evilempireguild.org/guides/kenco2.php" TargetMode="External"/><Relationship Id="rId4" Type="http://schemas.openxmlformats.org/officeDocument/2006/relationships/hyperlink" Target="http://web.archive.org/web/20100130083608/http://forums.wow-europe.com/thread.html?topicId=94319875" TargetMode="External"/><Relationship Id="rId9" Type="http://schemas.openxmlformats.org/officeDocument/2006/relationships/hyperlink" Target="http://web.archive.org/web/20080709010403/http://www.tankspot.com/forums/gear-lists-rankings/33811-max-your-tps-expertise-hit-stacking-gear-list.html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://web.archive.org/web/20100306073050/http://forums.wow-europe.com/thread.html?topicId=123452444" TargetMode="External"/><Relationship Id="rId6" Type="http://schemas.openxmlformats.org/officeDocument/2006/relationships/hyperlink" Target="http://web.archive.org/web/20100130083608/http://forums.wow-europe.com/thread.html?topicId=94319875" TargetMode="External"/><Relationship Id="rId7" Type="http://schemas.openxmlformats.org/officeDocument/2006/relationships/hyperlink" Target="http://web.archive.org/web/20080725081934/http://www.theoryspot.com/forums/theory-articles-guides/31941-fortifications-warrior-reference-guide.html" TargetMode="External"/><Relationship Id="rId8" Type="http://schemas.openxmlformats.org/officeDocument/2006/relationships/hyperlink" Target="http://web.archive.org/web/20080410181137/http://www.theoryspot.com/forums/evil-empire-guides/33108-guide-threat.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alculators.iradei.eu/talents/warrior?353003013025100000000000400000000000000000000055511331000100501000" TargetMode="External"/><Relationship Id="rId2" Type="http://schemas.openxmlformats.org/officeDocument/2006/relationships/hyperlink" Target="http://calculators.iradei.eu/talents/warrior?00000000000000000000000055030040050120500000005551133100010050100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71"/>
    <col customWidth="1" min="6" max="6" width="17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5" t="s">
        <v>4</v>
      </c>
      <c r="G1" s="5" t="s">
        <v>5</v>
      </c>
      <c r="R1" s="1" t="s">
        <v>0</v>
      </c>
      <c r="S1" s="2" t="s">
        <v>1</v>
      </c>
      <c r="T1" s="3" t="s">
        <v>2</v>
      </c>
      <c r="U1" s="4" t="s">
        <v>3</v>
      </c>
      <c r="Y1" s="5" t="s">
        <v>4</v>
      </c>
      <c r="Z1" s="5" t="s">
        <v>5</v>
      </c>
    </row>
    <row r="2">
      <c r="A2" s="6" t="s">
        <v>1</v>
      </c>
      <c r="B2" s="7">
        <v>19000.0</v>
      </c>
      <c r="C2" s="8">
        <f>B2/(B2+B5)</f>
        <v>0.6136950904</v>
      </c>
      <c r="D2" s="4">
        <f>(B2)/(B2+B6)</f>
        <v>0.6428148524</v>
      </c>
      <c r="E2" s="5"/>
      <c r="F2" s="5" t="s">
        <v>6</v>
      </c>
      <c r="G2" s="9">
        <v>10.05</v>
      </c>
      <c r="H2" s="5"/>
      <c r="O2" s="10" t="s">
        <v>7</v>
      </c>
      <c r="R2" s="6" t="s">
        <v>1</v>
      </c>
      <c r="S2" s="7">
        <f>19000+1191.4</f>
        <v>20191.4</v>
      </c>
      <c r="T2" s="8">
        <f>S2/(S2+S5)</f>
        <v>0.6280099778</v>
      </c>
      <c r="U2" s="4">
        <f>(S2)/(S2+S6)</f>
        <v>0.6566543844</v>
      </c>
      <c r="Y2" s="5" t="s">
        <v>6</v>
      </c>
      <c r="Z2" s="9">
        <v>10.05</v>
      </c>
      <c r="AA2" s="5"/>
    </row>
    <row r="3">
      <c r="A3" s="6" t="s">
        <v>8</v>
      </c>
      <c r="B3" s="7">
        <v>23000.0</v>
      </c>
      <c r="C3" s="11"/>
      <c r="D3" s="5">
        <v>96.0</v>
      </c>
      <c r="F3" s="5" t="s">
        <v>9</v>
      </c>
      <c r="G3" s="5">
        <v>10.05</v>
      </c>
      <c r="H3" s="5"/>
      <c r="O3" s="10" t="s">
        <v>10</v>
      </c>
      <c r="R3" s="6" t="s">
        <v>8</v>
      </c>
      <c r="S3" s="7">
        <v>23000.0</v>
      </c>
      <c r="T3" s="11"/>
      <c r="U3" s="5">
        <v>96.0</v>
      </c>
      <c r="Y3" s="5" t="s">
        <v>9</v>
      </c>
      <c r="Z3" s="5">
        <v>10.05</v>
      </c>
      <c r="AA3" s="5"/>
    </row>
    <row r="4">
      <c r="A4" s="12" t="s">
        <v>11</v>
      </c>
      <c r="B4" s="13">
        <f>(B3)/(1-(C2))</f>
        <v>59538.46154</v>
      </c>
      <c r="C4" s="14">
        <v>0.6136950904392765</v>
      </c>
      <c r="D4" s="5">
        <v>82.0</v>
      </c>
      <c r="F4" s="5" t="s">
        <v>12</v>
      </c>
      <c r="G4" s="5">
        <v>10.1</v>
      </c>
      <c r="H4" s="5" t="s">
        <v>13</v>
      </c>
      <c r="J4" s="5" t="s">
        <v>14</v>
      </c>
      <c r="O4" s="10" t="s">
        <v>15</v>
      </c>
      <c r="R4" s="12" t="s">
        <v>11</v>
      </c>
      <c r="S4" s="13">
        <f>(S3)/(1-(T2))</f>
        <v>61829.61538</v>
      </c>
      <c r="T4" s="14">
        <v>0.6136950904392765</v>
      </c>
      <c r="U4" s="5">
        <v>82.0</v>
      </c>
      <c r="Y4" s="5" t="s">
        <v>12</v>
      </c>
      <c r="Z4" s="5">
        <v>10.0</v>
      </c>
      <c r="AA4" s="5" t="s">
        <v>13</v>
      </c>
    </row>
    <row r="5">
      <c r="A5" s="4" t="s">
        <v>16</v>
      </c>
      <c r="B5" s="4">
        <v>11960.0</v>
      </c>
      <c r="C5">
        <f>C2-C4</f>
        <v>0</v>
      </c>
      <c r="D5">
        <f>D3-D4</f>
        <v>14</v>
      </c>
      <c r="F5" s="5" t="s">
        <v>17</v>
      </c>
      <c r="G5" s="9">
        <v>1.1</v>
      </c>
      <c r="H5" s="5" t="s">
        <v>18</v>
      </c>
      <c r="J5" s="5" t="s">
        <v>19</v>
      </c>
      <c r="O5" s="10" t="s">
        <v>20</v>
      </c>
      <c r="R5" s="4" t="s">
        <v>16</v>
      </c>
      <c r="S5" s="4">
        <v>11960.0</v>
      </c>
      <c r="T5">
        <f>T2-T4</f>
        <v>0.01431488735</v>
      </c>
      <c r="U5">
        <f>U3-U4</f>
        <v>14</v>
      </c>
      <c r="Y5" s="5" t="s">
        <v>17</v>
      </c>
      <c r="Z5" s="9">
        <v>1.1</v>
      </c>
      <c r="AA5" s="5" t="s">
        <v>18</v>
      </c>
    </row>
    <row r="6">
      <c r="A6" s="4" t="s">
        <v>21</v>
      </c>
      <c r="B6" s="4">
        <v>10557.5</v>
      </c>
      <c r="F6" s="5" t="s">
        <v>22</v>
      </c>
      <c r="G6" s="5">
        <v>1.0</v>
      </c>
      <c r="J6" s="5" t="s">
        <v>1</v>
      </c>
      <c r="K6" s="5">
        <v>492.0</v>
      </c>
      <c r="O6" s="15"/>
      <c r="R6" s="4" t="s">
        <v>21</v>
      </c>
      <c r="S6" s="4">
        <v>10557.5</v>
      </c>
      <c r="Y6" s="5" t="s">
        <v>22</v>
      </c>
      <c r="Z6" s="5">
        <v>1.0</v>
      </c>
    </row>
    <row r="7">
      <c r="A7" s="4" t="s">
        <v>23</v>
      </c>
      <c r="B7" s="4">
        <v>5957.0</v>
      </c>
      <c r="D7">
        <v>78204.98193979934</v>
      </c>
      <c r="F7" s="5" t="s">
        <v>24</v>
      </c>
      <c r="G7" s="5">
        <v>1.3</v>
      </c>
      <c r="J7" s="5" t="s">
        <v>25</v>
      </c>
      <c r="K7" s="5">
        <v>37.0</v>
      </c>
      <c r="O7" s="15"/>
      <c r="R7" s="4" t="s">
        <v>23</v>
      </c>
      <c r="S7" s="4">
        <v>5957.0</v>
      </c>
      <c r="U7">
        <v>78204.98193979934</v>
      </c>
      <c r="Y7" s="5" t="s">
        <v>24</v>
      </c>
      <c r="Z7" s="5">
        <v>1.3</v>
      </c>
    </row>
    <row r="8">
      <c r="A8" s="5" t="s">
        <v>26</v>
      </c>
      <c r="F8" s="5" t="s">
        <v>27</v>
      </c>
      <c r="G8" s="5">
        <v>1.0</v>
      </c>
      <c r="J8" s="5" t="s">
        <v>28</v>
      </c>
      <c r="K8" s="5">
        <v>0.0</v>
      </c>
      <c r="O8" s="15"/>
      <c r="Y8" s="5" t="s">
        <v>27</v>
      </c>
      <c r="Z8" s="5">
        <v>1.0</v>
      </c>
    </row>
    <row r="9">
      <c r="A9" s="5" t="s">
        <v>29</v>
      </c>
      <c r="F9" s="5" t="s">
        <v>30</v>
      </c>
      <c r="G9" s="9">
        <v>1.15</v>
      </c>
      <c r="J9" s="5" t="s">
        <v>11</v>
      </c>
      <c r="K9">
        <f>((B3+K7*G2)+((K6+(K8*2))*G5))/(1-(C2))-(B3)/(1-(C2))</f>
        <v>2363.547492</v>
      </c>
      <c r="L9" s="16">
        <v>2157.121655518393</v>
      </c>
      <c r="S9" s="5" t="s">
        <v>31</v>
      </c>
      <c r="T9">
        <v>59538.46153846154</v>
      </c>
      <c r="Y9" s="5" t="s">
        <v>30</v>
      </c>
      <c r="Z9" s="5">
        <v>1.17</v>
      </c>
    </row>
    <row r="10">
      <c r="A10" s="5" t="s">
        <v>32</v>
      </c>
      <c r="J10" s="10" t="s">
        <v>33</v>
      </c>
      <c r="S10" s="5" t="s">
        <v>34</v>
      </c>
      <c r="T10">
        <v>61829.61538461539</v>
      </c>
      <c r="U10">
        <f>T10/T9</f>
        <v>1.038481912</v>
      </c>
    </row>
    <row r="11">
      <c r="A11" s="5" t="s">
        <v>35</v>
      </c>
      <c r="J11" s="5" t="s">
        <v>36</v>
      </c>
      <c r="S11" s="5" t="s">
        <v>37</v>
      </c>
      <c r="T11">
        <f>T9+2232.148696</f>
        <v>61770.61023</v>
      </c>
      <c r="U11">
        <f>T11/T9</f>
        <v>1.03749087</v>
      </c>
    </row>
    <row r="12">
      <c r="A12" s="5" t="s">
        <v>38</v>
      </c>
      <c r="F12" s="5" t="s">
        <v>39</v>
      </c>
      <c r="G12" s="9">
        <v>1300.0</v>
      </c>
      <c r="S12" s="5" t="s">
        <v>40</v>
      </c>
      <c r="T12">
        <f>(T10-T9)+(T11-T9)+T9</f>
        <v>64061.76408</v>
      </c>
      <c r="U12">
        <f>T12/T9</f>
        <v>1.075972782</v>
      </c>
    </row>
    <row r="13">
      <c r="K13" s="5" t="s">
        <v>25</v>
      </c>
      <c r="L13" s="5" t="s">
        <v>41</v>
      </c>
    </row>
    <row r="14">
      <c r="A14" s="5"/>
      <c r="B14" s="5"/>
      <c r="C14" s="5"/>
      <c r="J14" s="5" t="s">
        <v>42</v>
      </c>
      <c r="L14" s="5">
        <v>5957.0</v>
      </c>
      <c r="O14" s="5" t="s">
        <v>43</v>
      </c>
      <c r="P14" s="5">
        <v>2600.0</v>
      </c>
      <c r="V14" s="5" t="s">
        <v>43</v>
      </c>
      <c r="W14" s="5">
        <v>2600.0</v>
      </c>
    </row>
    <row r="15">
      <c r="A15" s="5" t="s">
        <v>44</v>
      </c>
      <c r="B15" s="17" t="s">
        <v>45</v>
      </c>
      <c r="J15" s="5" t="s">
        <v>46</v>
      </c>
      <c r="K15" s="5">
        <v>124.0</v>
      </c>
      <c r="P15" s="5">
        <v>600.0</v>
      </c>
      <c r="W15" s="5">
        <v>600.0</v>
      </c>
    </row>
    <row r="16">
      <c r="A16" s="5" t="s">
        <v>47</v>
      </c>
      <c r="B16" s="17" t="s">
        <v>48</v>
      </c>
      <c r="J16" s="5" t="s">
        <v>49</v>
      </c>
      <c r="K16" s="5">
        <v>63.0</v>
      </c>
      <c r="P16" s="5">
        <v>610.0</v>
      </c>
      <c r="W16" s="5">
        <v>610.0</v>
      </c>
    </row>
    <row r="17">
      <c r="K17" s="5">
        <v>100.0</v>
      </c>
      <c r="P17">
        <f>SUM(P14:P16)</f>
        <v>3810</v>
      </c>
      <c r="W17">
        <f>SUM(W14:W16)</f>
        <v>3810</v>
      </c>
    </row>
    <row r="18">
      <c r="C18" s="5" t="s">
        <v>50</v>
      </c>
      <c r="D18" s="5">
        <v>632.0</v>
      </c>
      <c r="E18" s="5">
        <v>1000.0</v>
      </c>
      <c r="F18" s="5">
        <v>1500.0</v>
      </c>
      <c r="G18" s="5">
        <v>2000.0</v>
      </c>
      <c r="J18" s="5"/>
      <c r="K18" s="5">
        <v>61.0</v>
      </c>
      <c r="P18">
        <f>7700-P17</f>
        <v>3890</v>
      </c>
      <c r="W18">
        <f>7700-W17</f>
        <v>3890</v>
      </c>
      <c r="Y18">
        <f>Y19/1.25</f>
        <v>1040</v>
      </c>
    </row>
    <row r="19">
      <c r="B19" s="5" t="s">
        <v>51</v>
      </c>
      <c r="C19" s="5">
        <v>228.0</v>
      </c>
      <c r="D19" s="5">
        <f>D18-C19</f>
        <v>404</v>
      </c>
      <c r="E19">
        <f t="shared" ref="E19:G19" si="1">E18-D18</f>
        <v>368</v>
      </c>
      <c r="F19">
        <f t="shared" si="1"/>
        <v>500</v>
      </c>
      <c r="G19">
        <f t="shared" si="1"/>
        <v>500</v>
      </c>
      <c r="J19" s="5"/>
      <c r="K19" s="5">
        <v>123.0</v>
      </c>
      <c r="O19" s="5" t="s">
        <v>1</v>
      </c>
      <c r="P19" s="5" t="s">
        <v>52</v>
      </c>
      <c r="R19" s="5">
        <v>4000.0</v>
      </c>
      <c r="V19" s="5" t="s">
        <v>1</v>
      </c>
      <c r="W19" s="5" t="s">
        <v>52</v>
      </c>
      <c r="Y19" s="5">
        <v>1300.0</v>
      </c>
    </row>
    <row r="20">
      <c r="B20" s="5"/>
      <c r="C20" s="5" t="s">
        <v>53</v>
      </c>
      <c r="D20" s="5" t="s">
        <v>53</v>
      </c>
      <c r="E20" s="5" t="s">
        <v>54</v>
      </c>
      <c r="F20" s="5" t="s">
        <v>54</v>
      </c>
      <c r="G20" s="5" t="s">
        <v>55</v>
      </c>
      <c r="J20" s="5"/>
      <c r="K20" s="5">
        <v>64.0</v>
      </c>
      <c r="O20" s="5">
        <v>3890.0</v>
      </c>
      <c r="P20" s="18">
        <v>0.269</v>
      </c>
      <c r="R20" s="5">
        <v>4000.0</v>
      </c>
      <c r="S20">
        <f>R20*(1+P20)</f>
        <v>5076</v>
      </c>
      <c r="V20" s="5">
        <v>3890.0</v>
      </c>
      <c r="W20" s="18">
        <v>0.269</v>
      </c>
      <c r="Y20" s="5">
        <v>1300.0</v>
      </c>
      <c r="Z20">
        <f>Y20*(1+W20)</f>
        <v>1649.7</v>
      </c>
    </row>
    <row r="21">
      <c r="D21" s="19"/>
      <c r="E21" s="5"/>
      <c r="J21" s="5"/>
      <c r="K21" s="5">
        <v>96.0</v>
      </c>
      <c r="O21" s="5">
        <v>2890.0</v>
      </c>
      <c r="P21" s="5">
        <v>0.215</v>
      </c>
      <c r="Q21">
        <f t="shared" ref="Q21:Q26" si="2">P20-P21</f>
        <v>0.054</v>
      </c>
      <c r="R21" s="5">
        <f>S20</f>
        <v>5076</v>
      </c>
      <c r="S21">
        <f t="shared" ref="S21:S26" si="3">R21*(1+Q21)</f>
        <v>5350.104</v>
      </c>
      <c r="T21">
        <f t="shared" ref="T21:T26" si="4">S21-R21</f>
        <v>274.104</v>
      </c>
      <c r="V21" s="5">
        <v>2890.0</v>
      </c>
      <c r="W21" s="5">
        <v>0.215</v>
      </c>
      <c r="X21">
        <f t="shared" ref="X21:X26" si="5">W20-W21</f>
        <v>0.054</v>
      </c>
      <c r="Y21" s="5">
        <f>Z20</f>
        <v>1649.7</v>
      </c>
      <c r="Z21">
        <f t="shared" ref="Z21:Z26" si="6">Y21*(1+X21)</f>
        <v>1738.7838</v>
      </c>
      <c r="AA21">
        <f t="shared" ref="AA21:AA26" si="7">Z21-Y21</f>
        <v>89.0838</v>
      </c>
    </row>
    <row r="22">
      <c r="A22" s="5">
        <v>18000.0</v>
      </c>
      <c r="C22" s="5">
        <v>6700.0</v>
      </c>
      <c r="D22" s="5">
        <v>7100.0</v>
      </c>
      <c r="J22" s="5"/>
      <c r="K22" s="5">
        <v>79.0</v>
      </c>
      <c r="L22" s="5"/>
      <c r="O22" s="5">
        <v>1890.0</v>
      </c>
      <c r="P22" s="5">
        <v>0.152</v>
      </c>
      <c r="Q22">
        <f t="shared" si="2"/>
        <v>0.063</v>
      </c>
      <c r="R22" s="5">
        <f>S20</f>
        <v>5076</v>
      </c>
      <c r="S22">
        <f t="shared" si="3"/>
        <v>5395.788</v>
      </c>
      <c r="T22">
        <f t="shared" si="4"/>
        <v>319.788</v>
      </c>
      <c r="V22" s="5">
        <v>1890.0</v>
      </c>
      <c r="W22" s="5">
        <v>0.152</v>
      </c>
      <c r="X22">
        <f t="shared" si="5"/>
        <v>0.063</v>
      </c>
      <c r="Y22" s="5">
        <f>Z20</f>
        <v>1649.7</v>
      </c>
      <c r="Z22">
        <f t="shared" si="6"/>
        <v>1753.6311</v>
      </c>
      <c r="AA22">
        <f t="shared" si="7"/>
        <v>103.9311</v>
      </c>
    </row>
    <row r="23">
      <c r="A23" s="5">
        <v>20000.0</v>
      </c>
      <c r="D23" s="5">
        <f>D22-C22</f>
        <v>400</v>
      </c>
      <c r="K23" s="5">
        <v>123.0</v>
      </c>
      <c r="O23" s="5">
        <v>890.0</v>
      </c>
      <c r="P23" s="5">
        <v>0.078</v>
      </c>
      <c r="Q23">
        <f t="shared" si="2"/>
        <v>0.074</v>
      </c>
      <c r="R23" s="5">
        <f>S20</f>
        <v>5076</v>
      </c>
      <c r="S23">
        <f t="shared" si="3"/>
        <v>5451.624</v>
      </c>
      <c r="T23">
        <f t="shared" si="4"/>
        <v>375.624</v>
      </c>
      <c r="V23" s="5">
        <v>890.0</v>
      </c>
      <c r="W23" s="5">
        <v>0.078</v>
      </c>
      <c r="X23">
        <f t="shared" si="5"/>
        <v>0.074</v>
      </c>
      <c r="Y23" s="5">
        <f>Z20</f>
        <v>1649.7</v>
      </c>
      <c r="Z23">
        <f t="shared" si="6"/>
        <v>1771.7778</v>
      </c>
      <c r="AA23">
        <f t="shared" si="7"/>
        <v>122.0778</v>
      </c>
    </row>
    <row r="24">
      <c r="D24" s="5" t="s">
        <v>56</v>
      </c>
      <c r="E24" s="5"/>
      <c r="F24" s="5">
        <v>1.0</v>
      </c>
      <c r="J24" s="5"/>
      <c r="K24" s="5">
        <v>79.0</v>
      </c>
      <c r="O24" s="5">
        <v>0.0</v>
      </c>
      <c r="P24" s="5">
        <v>0.0</v>
      </c>
      <c r="Q24">
        <f t="shared" si="2"/>
        <v>0.078</v>
      </c>
      <c r="R24" s="5">
        <f>S20</f>
        <v>5076</v>
      </c>
      <c r="S24">
        <f t="shared" si="3"/>
        <v>5471.928</v>
      </c>
      <c r="T24">
        <f t="shared" si="4"/>
        <v>395.928</v>
      </c>
      <c r="V24" s="5">
        <v>0.0</v>
      </c>
      <c r="W24" s="5">
        <v>0.0</v>
      </c>
      <c r="X24">
        <f t="shared" si="5"/>
        <v>0.078</v>
      </c>
      <c r="Y24" s="5">
        <f>Z20</f>
        <v>1649.7</v>
      </c>
      <c r="Z24">
        <f t="shared" si="6"/>
        <v>1778.3766</v>
      </c>
      <c r="AA24">
        <f t="shared" si="7"/>
        <v>128.6766</v>
      </c>
    </row>
    <row r="25">
      <c r="F25" s="5">
        <v>10.0</v>
      </c>
      <c r="H25" s="5">
        <v>4200.0</v>
      </c>
      <c r="J25" s="5"/>
      <c r="K25" s="5">
        <v>48.0</v>
      </c>
      <c r="Q25">
        <f t="shared" si="2"/>
        <v>0</v>
      </c>
      <c r="S25">
        <f t="shared" si="3"/>
        <v>0</v>
      </c>
      <c r="T25">
        <f t="shared" si="4"/>
        <v>0</v>
      </c>
      <c r="X25">
        <f t="shared" si="5"/>
        <v>0</v>
      </c>
      <c r="Z25">
        <f t="shared" si="6"/>
        <v>0</v>
      </c>
      <c r="AA25">
        <f t="shared" si="7"/>
        <v>0</v>
      </c>
    </row>
    <row r="26">
      <c r="C26" s="5" t="s">
        <v>54</v>
      </c>
      <c r="F26" s="5">
        <v>10.05</v>
      </c>
      <c r="H26">
        <f>H25*(1-D2)</f>
        <v>1500.17762</v>
      </c>
      <c r="J26" s="5"/>
      <c r="K26" s="5">
        <v>45.0</v>
      </c>
      <c r="Q26">
        <f t="shared" si="2"/>
        <v>0</v>
      </c>
      <c r="S26">
        <f t="shared" si="3"/>
        <v>0</v>
      </c>
      <c r="T26">
        <f t="shared" si="4"/>
        <v>0</v>
      </c>
      <c r="X26">
        <f t="shared" si="5"/>
        <v>0</v>
      </c>
      <c r="Z26">
        <f t="shared" si="6"/>
        <v>0</v>
      </c>
      <c r="AA26">
        <f t="shared" si="7"/>
        <v>0</v>
      </c>
    </row>
    <row r="27">
      <c r="B27" s="10"/>
      <c r="C27" s="5">
        <v>194.0</v>
      </c>
      <c r="J27" s="5"/>
      <c r="K27" s="5">
        <v>51.0</v>
      </c>
    </row>
    <row r="28">
      <c r="J28" s="5"/>
      <c r="K28" s="5">
        <v>57.0</v>
      </c>
      <c r="L28" s="5"/>
    </row>
    <row r="29">
      <c r="C29" s="5"/>
      <c r="K29" s="5">
        <f>SUM(K15:K28)</f>
        <v>1113</v>
      </c>
      <c r="Q29" s="5" t="s">
        <v>57</v>
      </c>
      <c r="Y29">
        <f>Y19/AA24</f>
        <v>10.10284698</v>
      </c>
    </row>
    <row r="30">
      <c r="C30" s="5"/>
      <c r="D30" s="5"/>
      <c r="E30" s="5"/>
      <c r="F30" s="5"/>
      <c r="G30" s="5"/>
      <c r="K30">
        <f>K29*11</f>
        <v>12243</v>
      </c>
      <c r="M30" s="5" t="s">
        <v>58</v>
      </c>
      <c r="N30">
        <f>N34+N35+N36</f>
        <v>7.457512471</v>
      </c>
      <c r="Q30" s="5">
        <v>1.83</v>
      </c>
      <c r="R30" s="5">
        <v>2.03</v>
      </c>
    </row>
    <row r="31">
      <c r="C31" s="5" t="s">
        <v>59</v>
      </c>
      <c r="D31" s="5"/>
      <c r="E31" s="5"/>
      <c r="K31">
        <f>K30+L14</f>
        <v>18200</v>
      </c>
      <c r="M31" s="9" t="s">
        <v>60</v>
      </c>
      <c r="N31" s="5">
        <f>K37</f>
        <v>62.14593726</v>
      </c>
      <c r="Q31" s="5">
        <v>1.85</v>
      </c>
      <c r="R31" s="5">
        <v>2.64</v>
      </c>
    </row>
    <row r="32">
      <c r="A32" s="20"/>
      <c r="B32" s="5" t="s">
        <v>61</v>
      </c>
      <c r="C32" s="5">
        <v>1000.0</v>
      </c>
      <c r="D32" s="5">
        <v>1020.0</v>
      </c>
      <c r="E32" s="5"/>
      <c r="M32" s="5" t="s">
        <v>62</v>
      </c>
      <c r="O32" t="str">
        <f>K36</f>
        <v/>
      </c>
      <c r="Q32">
        <f t="shared" ref="Q32:R32" si="8">Q31+Q30</f>
        <v>3.68</v>
      </c>
      <c r="R32">
        <f t="shared" si="8"/>
        <v>4.67</v>
      </c>
    </row>
    <row r="33">
      <c r="B33" s="5" t="s">
        <v>63</v>
      </c>
      <c r="C33" s="5">
        <v>1000.0</v>
      </c>
      <c r="D33" s="5">
        <v>1000.0</v>
      </c>
      <c r="M33" s="5" t="s">
        <v>64</v>
      </c>
      <c r="N33" s="5">
        <f>N31*0.04</f>
        <v>2.48583749</v>
      </c>
      <c r="O33">
        <f>O32*N33</f>
        <v>0</v>
      </c>
    </row>
    <row r="34">
      <c r="A34" s="21">
        <v>0.1</v>
      </c>
      <c r="B34" s="5"/>
      <c r="C34" s="5"/>
      <c r="D34" s="5"/>
      <c r="J34" s="5" t="s">
        <v>65</v>
      </c>
      <c r="K34" s="5" t="s">
        <v>60</v>
      </c>
      <c r="M34" s="5" t="s">
        <v>66</v>
      </c>
      <c r="N34" s="5">
        <f>N31*0.04</f>
        <v>2.48583749</v>
      </c>
      <c r="O34">
        <f>O32*N34</f>
        <v>0</v>
      </c>
      <c r="Q34" s="5" t="s">
        <v>67</v>
      </c>
    </row>
    <row r="35">
      <c r="A35" s="5">
        <v>1.12</v>
      </c>
      <c r="B35" s="5" t="s">
        <v>61</v>
      </c>
      <c r="C35" s="5">
        <v>1000.0</v>
      </c>
      <c r="D35" s="5">
        <f t="shared" ref="D35:D36" si="9">(C35)+((C35/100)*A35)</f>
        <v>1011.2</v>
      </c>
      <c r="F35" s="5" t="s">
        <v>68</v>
      </c>
      <c r="G35">
        <v>2.64</v>
      </c>
      <c r="H35" s="5">
        <v>1.43</v>
      </c>
      <c r="I35">
        <f t="shared" ref="I35:I36" si="10">SUM(G35:H35)</f>
        <v>4.07</v>
      </c>
      <c r="J35" s="5">
        <v>2.3654</v>
      </c>
      <c r="K35" s="5">
        <v>1.0</v>
      </c>
      <c r="M35" s="5" t="s">
        <v>69</v>
      </c>
      <c r="N35" s="5">
        <f>N31*0.04</f>
        <v>2.48583749</v>
      </c>
      <c r="O35">
        <f>O32*N35</f>
        <v>0</v>
      </c>
    </row>
    <row r="36">
      <c r="A36" s="20">
        <v>1.1</v>
      </c>
      <c r="B36" s="5" t="s">
        <v>63</v>
      </c>
      <c r="C36" s="5">
        <v>1000.0</v>
      </c>
      <c r="D36" s="5">
        <f t="shared" si="9"/>
        <v>1011</v>
      </c>
      <c r="F36" s="5" t="s">
        <v>70</v>
      </c>
      <c r="G36" s="5">
        <v>1.92</v>
      </c>
      <c r="H36" s="5">
        <v>1.32</v>
      </c>
      <c r="I36">
        <f t="shared" si="10"/>
        <v>3.24</v>
      </c>
      <c r="J36" s="9">
        <f>21+29+24+15+26+19+13</f>
        <v>147</v>
      </c>
      <c r="M36" s="5" t="s">
        <v>71</v>
      </c>
      <c r="N36" s="5">
        <f>N31*0.04</f>
        <v>2.48583749</v>
      </c>
      <c r="O36">
        <f>O32*N36</f>
        <v>0</v>
      </c>
    </row>
    <row r="37">
      <c r="C37" s="5"/>
      <c r="D37" s="5"/>
      <c r="I37">
        <f>I35-I36</f>
        <v>0.83</v>
      </c>
      <c r="J37" s="5" t="s">
        <v>60</v>
      </c>
      <c r="K37" s="22">
        <f>J36/J35</f>
        <v>62.14593726</v>
      </c>
      <c r="M37" s="5" t="s">
        <v>72</v>
      </c>
      <c r="N37" s="5">
        <f>N31*0.04</f>
        <v>2.48583749</v>
      </c>
      <c r="O37">
        <f>O32*N37</f>
        <v>0</v>
      </c>
    </row>
    <row r="38">
      <c r="A38" s="21">
        <v>0.2</v>
      </c>
      <c r="C38" s="5"/>
      <c r="D38" s="5"/>
      <c r="M38" s="5" t="s">
        <v>73</v>
      </c>
      <c r="N38" s="5">
        <f>N31*0.04</f>
        <v>2.48583749</v>
      </c>
      <c r="O38">
        <f>O32*N38</f>
        <v>0</v>
      </c>
    </row>
    <row r="39">
      <c r="A39" s="5">
        <v>1.22</v>
      </c>
      <c r="C39" s="5">
        <v>1000.0</v>
      </c>
      <c r="D39" s="5">
        <f t="shared" ref="D39:D40" si="11">(C39)+((C39/100)*A39)</f>
        <v>1012.2</v>
      </c>
      <c r="J39" s="5" t="s">
        <v>74</v>
      </c>
      <c r="M39" s="5" t="s">
        <v>75</v>
      </c>
      <c r="N39">
        <f>SUM(N34:N36)</f>
        <v>7.457512471</v>
      </c>
      <c r="O39">
        <f>SUM(O33:O38)</f>
        <v>0</v>
      </c>
    </row>
    <row r="40">
      <c r="A40" s="5">
        <v>1.2</v>
      </c>
      <c r="C40" s="5">
        <v>1000.0</v>
      </c>
      <c r="D40" s="5">
        <f t="shared" si="11"/>
        <v>1012</v>
      </c>
      <c r="G40" s="5">
        <v>75.1757</v>
      </c>
    </row>
    <row r="41">
      <c r="C41" s="5"/>
      <c r="D41" s="5"/>
      <c r="G41" s="5">
        <v>73.5698</v>
      </c>
      <c r="K41">
        <f>K37*0.04</f>
        <v>2.48583749</v>
      </c>
      <c r="M41" s="5" t="s">
        <v>62</v>
      </c>
      <c r="O41" t="str">
        <f>K45</f>
        <v/>
      </c>
    </row>
    <row r="42">
      <c r="A42" s="5">
        <v>390.0</v>
      </c>
      <c r="C42" s="5"/>
      <c r="D42" s="5"/>
      <c r="G42">
        <f>G40-G41</f>
        <v>1.6059</v>
      </c>
      <c r="M42" s="5" t="s">
        <v>64</v>
      </c>
      <c r="N42" s="5">
        <v>0.04</v>
      </c>
      <c r="O42">
        <f>O32*N42</f>
        <v>0</v>
      </c>
    </row>
    <row r="43">
      <c r="A43" s="5">
        <v>1.32</v>
      </c>
      <c r="C43" s="5">
        <v>1000.0</v>
      </c>
      <c r="D43" s="5">
        <f t="shared" ref="D43:D44" si="12">(C43)+((C43/100)*A43)</f>
        <v>1013.2</v>
      </c>
      <c r="M43" s="5" t="s">
        <v>66</v>
      </c>
      <c r="N43" s="5">
        <v>0.04</v>
      </c>
      <c r="O43">
        <f>O32*N43</f>
        <v>0</v>
      </c>
    </row>
    <row r="44">
      <c r="A44" s="5">
        <v>1.3</v>
      </c>
      <c r="C44" s="5">
        <v>1000.0</v>
      </c>
      <c r="D44" s="5">
        <f t="shared" si="12"/>
        <v>1013</v>
      </c>
      <c r="M44" s="5" t="s">
        <v>69</v>
      </c>
      <c r="N44" s="5">
        <v>0.04</v>
      </c>
      <c r="O44">
        <f>O32*N44</f>
        <v>0</v>
      </c>
    </row>
    <row r="45">
      <c r="M45" s="5" t="s">
        <v>71</v>
      </c>
      <c r="N45" s="5">
        <v>0.04</v>
      </c>
      <c r="O45">
        <f>O32*N45</f>
        <v>0</v>
      </c>
    </row>
    <row r="46">
      <c r="J46" s="5" t="s">
        <v>76</v>
      </c>
      <c r="M46" s="5"/>
      <c r="N46" s="5"/>
      <c r="O46">
        <f>SUM(O42:O44)</f>
        <v>0</v>
      </c>
    </row>
    <row r="47">
      <c r="J47" s="5" t="s">
        <v>77</v>
      </c>
      <c r="K47" s="5" t="s">
        <v>78</v>
      </c>
      <c r="M47" s="5"/>
      <c r="N47" s="5"/>
    </row>
    <row r="48">
      <c r="A48" s="23"/>
      <c r="B48" s="2" t="s">
        <v>1</v>
      </c>
      <c r="C48" s="3" t="s">
        <v>2</v>
      </c>
      <c r="D48" s="4" t="s">
        <v>3</v>
      </c>
      <c r="E48" s="5" t="s">
        <v>79</v>
      </c>
      <c r="F48" s="5" t="s">
        <v>80</v>
      </c>
      <c r="H48" s="5">
        <v>0.43</v>
      </c>
      <c r="J48" s="5">
        <v>39.4</v>
      </c>
      <c r="K48" s="5">
        <v>1.0</v>
      </c>
    </row>
    <row r="49">
      <c r="A49" s="6" t="s">
        <v>1</v>
      </c>
      <c r="B49" s="7">
        <v>3423.0</v>
      </c>
      <c r="C49" s="8">
        <f>B49/(B49+B52)</f>
        <v>0.2225183644</v>
      </c>
      <c r="D49" s="4">
        <f>(B49)/(B49+B53)</f>
        <v>0.2448410286</v>
      </c>
      <c r="H49" s="5">
        <v>1.68</v>
      </c>
      <c r="J49">
        <f>J48*2</f>
        <v>78.8</v>
      </c>
      <c r="K49" s="5">
        <v>2.0</v>
      </c>
    </row>
    <row r="50">
      <c r="A50" s="6" t="s">
        <v>8</v>
      </c>
      <c r="B50" s="7">
        <v>19749.4</v>
      </c>
      <c r="C50" s="11"/>
      <c r="D50" s="5">
        <v>96.0</v>
      </c>
      <c r="H50">
        <f>H49+H48</f>
        <v>2.11</v>
      </c>
      <c r="J50">
        <f t="shared" ref="J50:K50" si="13">J49*1.25</f>
        <v>98.5</v>
      </c>
      <c r="K50">
        <f t="shared" si="13"/>
        <v>2.5</v>
      </c>
    </row>
    <row r="51">
      <c r="A51" s="12" t="s">
        <v>11</v>
      </c>
      <c r="B51" s="13">
        <f>(B50)/(1-(C49))</f>
        <v>25401.75754</v>
      </c>
      <c r="C51" s="14">
        <v>0.6136950904392765</v>
      </c>
      <c r="D51" s="5">
        <v>82.0</v>
      </c>
      <c r="J51">
        <f>103/J50</f>
        <v>1.045685279</v>
      </c>
      <c r="K51">
        <f>K50*J51</f>
        <v>2.614213198</v>
      </c>
      <c r="N51" s="5" t="s">
        <v>81</v>
      </c>
    </row>
    <row r="52">
      <c r="A52" s="4" t="s">
        <v>16</v>
      </c>
      <c r="B52" s="4">
        <v>11960.0</v>
      </c>
      <c r="C52">
        <f>C49-C51</f>
        <v>-0.391176726</v>
      </c>
      <c r="D52">
        <f>D50-D51</f>
        <v>14</v>
      </c>
      <c r="N52">
        <f>1/2.3654</f>
        <v>0.422761478</v>
      </c>
    </row>
    <row r="53">
      <c r="A53" s="4" t="s">
        <v>21</v>
      </c>
      <c r="B53" s="4">
        <v>10557.5</v>
      </c>
      <c r="J53">
        <f>K51</f>
        <v>2.614213198</v>
      </c>
      <c r="K53" s="5" t="s">
        <v>82</v>
      </c>
    </row>
    <row r="54">
      <c r="A54" s="4" t="s">
        <v>23</v>
      </c>
      <c r="B54" s="4">
        <v>5957.0</v>
      </c>
      <c r="D54">
        <v>78204.98193979934</v>
      </c>
      <c r="O54" s="5" t="s">
        <v>83</v>
      </c>
    </row>
    <row r="55">
      <c r="N55" s="5">
        <v>30.0</v>
      </c>
      <c r="O55">
        <f>N55*N52</f>
        <v>12.68284434</v>
      </c>
    </row>
    <row r="56">
      <c r="J56" s="5" t="s">
        <v>84</v>
      </c>
      <c r="N56" s="5">
        <v>51.0</v>
      </c>
      <c r="O56">
        <f>N56*N52</f>
        <v>21.56083538</v>
      </c>
    </row>
    <row r="57">
      <c r="J57" s="5" t="s">
        <v>85</v>
      </c>
      <c r="K57" s="5" t="s">
        <v>78</v>
      </c>
    </row>
    <row r="58">
      <c r="D58" s="24">
        <v>0.25084264679794216</v>
      </c>
      <c r="J58" s="5">
        <v>39.4</v>
      </c>
      <c r="K58" s="5">
        <v>1.0</v>
      </c>
      <c r="N58" s="5">
        <v>0.04</v>
      </c>
    </row>
    <row r="59">
      <c r="D59" s="24">
        <v>0.2448410285755159</v>
      </c>
      <c r="J59">
        <f>J58*2</f>
        <v>78.8</v>
      </c>
      <c r="K59" s="5">
        <v>2.0</v>
      </c>
      <c r="N59" s="5" t="s">
        <v>86</v>
      </c>
      <c r="O59">
        <f>O55*N58</f>
        <v>0.5073137736</v>
      </c>
      <c r="P59">
        <f>O56*N58</f>
        <v>0.8624334151</v>
      </c>
    </row>
    <row r="60">
      <c r="J60">
        <f t="shared" ref="J60:K60" si="14">J59*1.25</f>
        <v>98.5</v>
      </c>
      <c r="K60">
        <f t="shared" si="14"/>
        <v>2.5</v>
      </c>
      <c r="N60" s="5" t="s">
        <v>87</v>
      </c>
      <c r="O60">
        <f>O55*N58</f>
        <v>0.5073137736</v>
      </c>
      <c r="P60">
        <f>O56*N58</f>
        <v>0.8624334151</v>
      </c>
    </row>
    <row r="61">
      <c r="J61">
        <f>103/J60</f>
        <v>1.045685279</v>
      </c>
      <c r="K61">
        <f>K60*J61</f>
        <v>2.614213198</v>
      </c>
      <c r="N61" s="5" t="s">
        <v>88</v>
      </c>
      <c r="O61">
        <f>O55*N58</f>
        <v>0.5073137736</v>
      </c>
      <c r="P61">
        <f>O56*N58</f>
        <v>0.8624334151</v>
      </c>
    </row>
    <row r="62">
      <c r="O62">
        <f t="shared" ref="O62:P62" si="15">SUM(O59:O61)</f>
        <v>1.521941321</v>
      </c>
      <c r="P62">
        <f t="shared" si="15"/>
        <v>2.587300245</v>
      </c>
    </row>
    <row r="63">
      <c r="F63" s="5" t="s">
        <v>89</v>
      </c>
      <c r="G63" s="5">
        <v>60.0</v>
      </c>
      <c r="J63" s="5" t="s">
        <v>89</v>
      </c>
      <c r="K63" s="5" t="s">
        <v>90</v>
      </c>
      <c r="P63">
        <f>P62-O62</f>
        <v>1.065358924</v>
      </c>
    </row>
    <row r="64">
      <c r="F64" s="5" t="s">
        <v>85</v>
      </c>
      <c r="G64" s="5">
        <v>39.4</v>
      </c>
      <c r="J64" s="5"/>
    </row>
    <row r="65">
      <c r="F65" s="5" t="s">
        <v>91</v>
      </c>
      <c r="G65" s="5">
        <v>1.0</v>
      </c>
      <c r="J65" s="5" t="s">
        <v>92</v>
      </c>
    </row>
    <row r="68">
      <c r="B68" s="5">
        <v>100.0</v>
      </c>
      <c r="E68" s="5" t="s">
        <v>89</v>
      </c>
      <c r="F68" s="9">
        <v>99.0</v>
      </c>
      <c r="G68">
        <f>F68/G63</f>
        <v>1.65</v>
      </c>
      <c r="J68" s="5">
        <v>156.0</v>
      </c>
      <c r="K68" s="5">
        <v>2.6142</v>
      </c>
    </row>
    <row r="69">
      <c r="B69" s="5">
        <v>0.5</v>
      </c>
      <c r="J69" s="5" t="s">
        <v>93</v>
      </c>
      <c r="K69">
        <f>K68/J68</f>
        <v>0.01675769231</v>
      </c>
      <c r="L69" s="5" t="s">
        <v>94</v>
      </c>
    </row>
    <row r="70">
      <c r="B70">
        <f>B68/B69</f>
        <v>200</v>
      </c>
      <c r="E70" s="5" t="s">
        <v>85</v>
      </c>
      <c r="F70" s="9">
        <v>42.0</v>
      </c>
      <c r="G70">
        <f>F70/G64</f>
        <v>1.065989848</v>
      </c>
    </row>
    <row r="72">
      <c r="E72" s="5" t="s">
        <v>95</v>
      </c>
      <c r="G72">
        <f>G70+G68</f>
        <v>2.715989848</v>
      </c>
    </row>
    <row r="73">
      <c r="E73" s="5" t="s">
        <v>96</v>
      </c>
      <c r="G73" s="5">
        <v>2.614213198</v>
      </c>
    </row>
    <row r="74">
      <c r="E74" s="5" t="s">
        <v>97</v>
      </c>
      <c r="G74">
        <f>G73-G72</f>
        <v>-0.1017766497</v>
      </c>
      <c r="J74" s="10" t="s">
        <v>98</v>
      </c>
      <c r="K74" s="5"/>
      <c r="L74" s="5"/>
    </row>
    <row r="75">
      <c r="I75" s="5"/>
      <c r="J75" s="5" t="s">
        <v>99</v>
      </c>
      <c r="K75" s="5">
        <v>2.3654</v>
      </c>
      <c r="L75" s="5">
        <v>21.0</v>
      </c>
      <c r="M75" s="5">
        <v>18.0</v>
      </c>
      <c r="N75" s="5"/>
      <c r="O75" s="5"/>
    </row>
    <row r="76">
      <c r="D76" s="5">
        <v>18.0</v>
      </c>
      <c r="E76" s="5" t="s">
        <v>100</v>
      </c>
      <c r="F76" s="5" t="s">
        <v>101</v>
      </c>
      <c r="I76" s="5"/>
      <c r="J76" s="5" t="s">
        <v>102</v>
      </c>
      <c r="K76" s="5">
        <v>1.0</v>
      </c>
      <c r="L76" s="5">
        <f>L75/K75</f>
        <v>8.877991037</v>
      </c>
      <c r="M76" s="5">
        <f>M75/K75</f>
        <v>7.609706604</v>
      </c>
    </row>
    <row r="77">
      <c r="D77" s="5">
        <v>15.0</v>
      </c>
      <c r="E77" s="5" t="s">
        <v>103</v>
      </c>
      <c r="F77" s="5" t="s">
        <v>104</v>
      </c>
      <c r="I77" s="5"/>
      <c r="J77" s="5" t="s">
        <v>105</v>
      </c>
      <c r="K77" s="5">
        <v>0.4</v>
      </c>
      <c r="L77" s="5">
        <f>(L76*K77)/10</f>
        <v>0.3551196415</v>
      </c>
      <c r="M77" s="5">
        <f>(M76*K77)/10</f>
        <v>0.3043882641</v>
      </c>
    </row>
    <row r="78">
      <c r="D78">
        <f>D77+D76</f>
        <v>33</v>
      </c>
      <c r="E78" s="5" t="s">
        <v>106</v>
      </c>
      <c r="F78" s="5" t="s">
        <v>101</v>
      </c>
      <c r="J78" s="5" t="s">
        <v>107</v>
      </c>
      <c r="K78">
        <f>(K75/4)*100</f>
        <v>59.135</v>
      </c>
      <c r="M78" s="5" t="s">
        <v>108</v>
      </c>
    </row>
    <row r="79">
      <c r="J79" s="5">
        <v>1.0</v>
      </c>
      <c r="K79" s="5">
        <v>39.4231</v>
      </c>
    </row>
    <row r="80">
      <c r="I80" s="5"/>
      <c r="J80" s="5"/>
      <c r="K80" s="5">
        <v>26.0</v>
      </c>
      <c r="L80">
        <f>K80/K79</f>
        <v>0.6595118091</v>
      </c>
      <c r="M80" s="5"/>
    </row>
    <row r="81">
      <c r="J81" s="5">
        <v>5.6</v>
      </c>
      <c r="K81" s="5" t="s">
        <v>109</v>
      </c>
      <c r="L81" s="5"/>
      <c r="M81" s="5"/>
    </row>
    <row r="82">
      <c r="J82" s="5">
        <v>0.8</v>
      </c>
      <c r="K82" s="5" t="s">
        <v>110</v>
      </c>
      <c r="L82" s="5"/>
      <c r="M82" s="5"/>
    </row>
    <row r="83">
      <c r="E83" s="5" t="s">
        <v>111</v>
      </c>
      <c r="F83" s="5">
        <f>78+21</f>
        <v>99</v>
      </c>
      <c r="J83">
        <f>J81-J82</f>
        <v>4.8</v>
      </c>
      <c r="K83" s="5" t="s">
        <v>112</v>
      </c>
    </row>
    <row r="84">
      <c r="E84" s="5" t="s">
        <v>101</v>
      </c>
      <c r="F84" s="5">
        <f>17+25</f>
        <v>42</v>
      </c>
      <c r="G84" s="5" t="s">
        <v>113</v>
      </c>
      <c r="J84" s="5"/>
    </row>
    <row r="85">
      <c r="J85" s="5"/>
      <c r="L85" s="5"/>
    </row>
    <row r="86">
      <c r="J86" s="5"/>
    </row>
    <row r="88">
      <c r="E88" s="5" t="s">
        <v>114</v>
      </c>
      <c r="F88" s="5">
        <v>15.0</v>
      </c>
    </row>
    <row r="89">
      <c r="E89" s="5" t="s">
        <v>115</v>
      </c>
      <c r="F89" s="5">
        <v>9.0</v>
      </c>
    </row>
    <row r="90">
      <c r="E90" s="5" t="s">
        <v>116</v>
      </c>
      <c r="F90" s="5">
        <v>11.0</v>
      </c>
    </row>
    <row r="91">
      <c r="E91" s="5" t="s">
        <v>117</v>
      </c>
      <c r="F91" s="5">
        <v>21.0</v>
      </c>
    </row>
    <row r="92">
      <c r="E92" s="5" t="s">
        <v>106</v>
      </c>
      <c r="F92" s="5">
        <v>45.0</v>
      </c>
    </row>
    <row r="93">
      <c r="E93" s="5" t="s">
        <v>118</v>
      </c>
      <c r="F93" s="5">
        <v>30.0</v>
      </c>
    </row>
    <row r="94">
      <c r="E94" s="5" t="s">
        <v>119</v>
      </c>
      <c r="F94" s="5">
        <v>-7.0</v>
      </c>
    </row>
    <row r="95">
      <c r="E95" s="5" t="s">
        <v>120</v>
      </c>
      <c r="F95" s="5">
        <v>19.0</v>
      </c>
      <c r="H95" s="5" t="s">
        <v>121</v>
      </c>
      <c r="I95" s="5" t="s">
        <v>122</v>
      </c>
    </row>
    <row r="96">
      <c r="F96">
        <f>SUM(F88:F95)</f>
        <v>143</v>
      </c>
      <c r="G96">
        <f>(F96*1.48)*10</f>
        <v>2116.4</v>
      </c>
      <c r="H96" s="5">
        <v>17633.0</v>
      </c>
      <c r="I96">
        <f>H96+G96</f>
        <v>19749.4</v>
      </c>
    </row>
    <row r="97">
      <c r="F97" s="21">
        <v>0.48</v>
      </c>
    </row>
    <row r="98">
      <c r="F98" s="21"/>
    </row>
    <row r="99">
      <c r="F99" s="5">
        <v>11.0</v>
      </c>
      <c r="J99">
        <f>I96/I102</f>
        <v>1.049606718</v>
      </c>
      <c r="K99">
        <v>1.049606717687075</v>
      </c>
    </row>
    <row r="100">
      <c r="F100" s="5">
        <v>15.0</v>
      </c>
    </row>
    <row r="101">
      <c r="F101">
        <f>F100*F99</f>
        <v>165</v>
      </c>
    </row>
    <row r="102">
      <c r="F102">
        <f>F101-6+33</f>
        <v>192</v>
      </c>
      <c r="G102">
        <f>(F102*1.05)*10</f>
        <v>2016</v>
      </c>
      <c r="H102" s="5">
        <v>16800.0</v>
      </c>
      <c r="I102">
        <f>H102+G102</f>
        <v>18816</v>
      </c>
    </row>
    <row r="105">
      <c r="F105" s="5" t="s">
        <v>89</v>
      </c>
      <c r="G105" s="5">
        <v>60.0</v>
      </c>
    </row>
    <row r="106">
      <c r="F106" s="5" t="s">
        <v>85</v>
      </c>
      <c r="G106" s="5">
        <v>39.4</v>
      </c>
    </row>
    <row r="107">
      <c r="F107" s="5" t="s">
        <v>91</v>
      </c>
      <c r="G107" s="5">
        <v>1.0</v>
      </c>
    </row>
    <row r="110">
      <c r="E110" s="5" t="s">
        <v>89</v>
      </c>
      <c r="F110" s="9">
        <v>101.0</v>
      </c>
      <c r="G110">
        <f>F110/G105</f>
        <v>1.683333333</v>
      </c>
    </row>
    <row r="112">
      <c r="E112" s="5" t="s">
        <v>85</v>
      </c>
      <c r="F112" s="9">
        <v>32.0</v>
      </c>
      <c r="G112">
        <f>F112/G106</f>
        <v>0.8121827411</v>
      </c>
    </row>
    <row r="114">
      <c r="E114" s="5" t="s">
        <v>95</v>
      </c>
      <c r="G114">
        <f>G112+G110</f>
        <v>2.495516074</v>
      </c>
    </row>
    <row r="115">
      <c r="E115" s="5" t="s">
        <v>96</v>
      </c>
      <c r="G115" s="5">
        <v>2.614213198</v>
      </c>
    </row>
    <row r="116">
      <c r="E116" s="5" t="s">
        <v>97</v>
      </c>
      <c r="G116">
        <f>G115-G114</f>
        <v>0.1186971235</v>
      </c>
    </row>
    <row r="123">
      <c r="B123" s="5" t="s">
        <v>123</v>
      </c>
    </row>
    <row r="124">
      <c r="B124" s="5" t="s">
        <v>124</v>
      </c>
    </row>
    <row r="135">
      <c r="B135" s="5">
        <v>44000.0</v>
      </c>
      <c r="C135" s="5">
        <v>30.0</v>
      </c>
      <c r="D135">
        <f t="shared" ref="D135:D149" si="16">B135/C135</f>
        <v>1466.666667</v>
      </c>
    </row>
    <row r="136">
      <c r="B136" s="5">
        <v>43500.0</v>
      </c>
      <c r="C136" s="5">
        <v>30.0</v>
      </c>
      <c r="D136">
        <f t="shared" si="16"/>
        <v>1450</v>
      </c>
      <c r="E136" s="5" t="s">
        <v>125</v>
      </c>
    </row>
    <row r="137">
      <c r="B137" s="5">
        <v>41500.0</v>
      </c>
      <c r="C137" s="5">
        <v>30.0</v>
      </c>
      <c r="D137">
        <f t="shared" si="16"/>
        <v>1383.333333</v>
      </c>
      <c r="E137" s="5" t="s">
        <v>125</v>
      </c>
    </row>
    <row r="138">
      <c r="B138" s="5">
        <v>46200.0</v>
      </c>
      <c r="C138" s="5">
        <v>30.0</v>
      </c>
      <c r="D138">
        <f t="shared" si="16"/>
        <v>1540</v>
      </c>
      <c r="E138" s="5" t="s">
        <v>126</v>
      </c>
    </row>
    <row r="139">
      <c r="D139" t="str">
        <f t="shared" si="16"/>
        <v>#DIV/0!</v>
      </c>
    </row>
    <row r="140">
      <c r="A140" s="5">
        <v>56900.0</v>
      </c>
      <c r="B140" s="5">
        <v>56900.0</v>
      </c>
      <c r="C140" s="5">
        <v>30.0</v>
      </c>
      <c r="D140">
        <f t="shared" si="16"/>
        <v>1896.666667</v>
      </c>
    </row>
    <row r="141">
      <c r="A141" s="5">
        <v>100000.0</v>
      </c>
      <c r="B141" s="5">
        <f t="shared" ref="B141:B145" si="17">A141-A140</f>
        <v>43100</v>
      </c>
      <c r="C141" s="5">
        <v>30.0</v>
      </c>
      <c r="D141">
        <f t="shared" si="16"/>
        <v>1436.666667</v>
      </c>
      <c r="E141" s="5" t="s">
        <v>126</v>
      </c>
    </row>
    <row r="142">
      <c r="A142" s="5">
        <v>140800.0</v>
      </c>
      <c r="B142" s="5">
        <f t="shared" si="17"/>
        <v>40800</v>
      </c>
      <c r="C142" s="5">
        <v>30.0</v>
      </c>
      <c r="D142">
        <f t="shared" si="16"/>
        <v>1360</v>
      </c>
    </row>
    <row r="143">
      <c r="A143" s="5">
        <v>176900.0</v>
      </c>
      <c r="B143" s="5">
        <f t="shared" si="17"/>
        <v>36100</v>
      </c>
      <c r="C143" s="5">
        <v>30.0</v>
      </c>
      <c r="D143">
        <f t="shared" si="16"/>
        <v>1203.333333</v>
      </c>
      <c r="E143" s="5" t="s">
        <v>126</v>
      </c>
    </row>
    <row r="144">
      <c r="A144" s="5">
        <v>210600.0</v>
      </c>
      <c r="B144" s="5">
        <f t="shared" si="17"/>
        <v>33700</v>
      </c>
      <c r="C144" s="5">
        <v>30.0</v>
      </c>
      <c r="D144">
        <f t="shared" si="16"/>
        <v>1123.333333</v>
      </c>
    </row>
    <row r="145">
      <c r="A145" s="5">
        <v>245200.0</v>
      </c>
      <c r="B145" s="5">
        <f t="shared" si="17"/>
        <v>34600</v>
      </c>
      <c r="C145" s="5">
        <v>30.0</v>
      </c>
      <c r="D145">
        <f t="shared" si="16"/>
        <v>1153.333333</v>
      </c>
      <c r="E145" s="5" t="s">
        <v>126</v>
      </c>
    </row>
    <row r="146">
      <c r="D146" t="str">
        <f t="shared" si="16"/>
        <v>#DIV/0!</v>
      </c>
    </row>
    <row r="147">
      <c r="A147" s="5">
        <v>67100.0</v>
      </c>
      <c r="B147">
        <f>A147</f>
        <v>67100</v>
      </c>
      <c r="C147" s="5">
        <v>30.0</v>
      </c>
      <c r="D147">
        <f t="shared" si="16"/>
        <v>2236.666667</v>
      </c>
    </row>
    <row r="148">
      <c r="A148" s="5">
        <v>109400.0</v>
      </c>
      <c r="B148">
        <f t="shared" ref="B148:B149" si="18">A148-A147</f>
        <v>42300</v>
      </c>
      <c r="C148" s="5">
        <v>30.0</v>
      </c>
      <c r="D148">
        <f t="shared" si="16"/>
        <v>1410</v>
      </c>
      <c r="E148" s="5" t="s">
        <v>127</v>
      </c>
    </row>
    <row r="149">
      <c r="A149" s="5">
        <v>168400.0</v>
      </c>
      <c r="B149">
        <f t="shared" si="18"/>
        <v>59000</v>
      </c>
      <c r="C149" s="5">
        <v>30.0</v>
      </c>
      <c r="D149">
        <f t="shared" si="16"/>
        <v>1966.666667</v>
      </c>
    </row>
    <row r="150">
      <c r="C150" s="5">
        <v>30.0</v>
      </c>
    </row>
    <row r="151">
      <c r="C151" s="5">
        <v>30.0</v>
      </c>
    </row>
    <row r="157">
      <c r="B157" s="5" t="s">
        <v>128</v>
      </c>
      <c r="C157">
        <f>5*60</f>
        <v>300</v>
      </c>
    </row>
    <row r="158">
      <c r="C158">
        <f>C157+11</f>
        <v>311</v>
      </c>
      <c r="D158">
        <f>C158-60</f>
        <v>251</v>
      </c>
    </row>
    <row r="160">
      <c r="B160" s="5" t="s">
        <v>129</v>
      </c>
    </row>
    <row r="161">
      <c r="B161" s="5">
        <v>307190.0</v>
      </c>
    </row>
    <row r="162">
      <c r="B162">
        <f>B161/D158</f>
        <v>1223.864542</v>
      </c>
    </row>
    <row r="164">
      <c r="B164" s="5">
        <v>185.0</v>
      </c>
    </row>
    <row r="166">
      <c r="B166" s="5">
        <v>315008.0</v>
      </c>
      <c r="D166" s="5">
        <v>245.0</v>
      </c>
    </row>
    <row r="167">
      <c r="B167">
        <f>B166/B164</f>
        <v>1702.745946</v>
      </c>
      <c r="D167">
        <f>D166-60</f>
        <v>185</v>
      </c>
    </row>
    <row r="170">
      <c r="B170">
        <f>B167/B162</f>
        <v>1.39128628</v>
      </c>
    </row>
    <row r="172">
      <c r="B172" s="25">
        <v>0.28355324074074073</v>
      </c>
    </row>
    <row r="173">
      <c r="B173" s="5" t="s">
        <v>130</v>
      </c>
      <c r="E173" s="5">
        <v>0.0</v>
      </c>
    </row>
    <row r="174">
      <c r="B174" s="5" t="s">
        <v>130</v>
      </c>
      <c r="E174" s="5">
        <v>0.0</v>
      </c>
    </row>
    <row r="175">
      <c r="B175" s="5" t="s">
        <v>131</v>
      </c>
      <c r="E175" s="5">
        <v>416.0</v>
      </c>
      <c r="F175" s="5">
        <v>1.0</v>
      </c>
    </row>
    <row r="176">
      <c r="B176" s="5" t="s">
        <v>132</v>
      </c>
      <c r="E176" s="5">
        <v>215.0</v>
      </c>
      <c r="F176" s="5">
        <v>1.0</v>
      </c>
    </row>
    <row r="177">
      <c r="B177" s="5">
        <v>398.0</v>
      </c>
      <c r="C177" s="5" t="s">
        <v>133</v>
      </c>
      <c r="E177" s="5">
        <v>398.0</v>
      </c>
      <c r="F177" s="5">
        <v>1.0</v>
      </c>
    </row>
    <row r="178">
      <c r="B178" s="5">
        <v>407.0</v>
      </c>
      <c r="C178" s="5" t="s">
        <v>54</v>
      </c>
      <c r="E178" s="5">
        <v>407.0</v>
      </c>
      <c r="F178" s="5">
        <v>1.0</v>
      </c>
    </row>
    <row r="179">
      <c r="B179" s="5" t="s">
        <v>87</v>
      </c>
      <c r="E179" s="5">
        <v>0.0</v>
      </c>
    </row>
    <row r="180">
      <c r="B180" s="5">
        <v>501.0</v>
      </c>
      <c r="C180" s="5" t="s">
        <v>54</v>
      </c>
      <c r="E180" s="5">
        <v>501.0</v>
      </c>
      <c r="F180" s="5">
        <v>1.0</v>
      </c>
    </row>
    <row r="181">
      <c r="B181" s="5">
        <v>383.0</v>
      </c>
      <c r="C181" s="5" t="s">
        <v>133</v>
      </c>
      <c r="E181" s="5">
        <v>383.0</v>
      </c>
      <c r="F181" s="5">
        <v>1.0</v>
      </c>
    </row>
    <row r="182">
      <c r="B182" s="5" t="s">
        <v>134</v>
      </c>
      <c r="E182" s="5">
        <v>0.0</v>
      </c>
    </row>
    <row r="183">
      <c r="B183" s="5">
        <v>397.0</v>
      </c>
      <c r="C183" s="5" t="s">
        <v>133</v>
      </c>
      <c r="E183" s="5">
        <v>397.0</v>
      </c>
      <c r="F183" s="5">
        <v>1.0</v>
      </c>
    </row>
    <row r="184">
      <c r="B184" s="5" t="s">
        <v>130</v>
      </c>
      <c r="E184" s="5">
        <v>0.0</v>
      </c>
    </row>
    <row r="185">
      <c r="B185" s="5" t="s">
        <v>135</v>
      </c>
      <c r="E185" s="5">
        <v>396.0</v>
      </c>
      <c r="F185" s="5">
        <v>1.0</v>
      </c>
    </row>
    <row r="186">
      <c r="B186" s="5" t="s">
        <v>130</v>
      </c>
      <c r="E186" s="5">
        <v>0.0</v>
      </c>
    </row>
    <row r="187">
      <c r="B187" s="5" t="s">
        <v>136</v>
      </c>
      <c r="E187" s="5">
        <v>636.0</v>
      </c>
      <c r="F187" s="5">
        <v>1.0</v>
      </c>
    </row>
    <row r="188">
      <c r="B188" s="5" t="s">
        <v>137</v>
      </c>
      <c r="C188" s="5" t="s">
        <v>138</v>
      </c>
      <c r="E188" s="5">
        <v>1472.0</v>
      </c>
      <c r="F188" s="5">
        <v>1.0</v>
      </c>
    </row>
    <row r="189">
      <c r="B189" s="5">
        <v>1589.0</v>
      </c>
      <c r="C189" s="5" t="s">
        <v>139</v>
      </c>
      <c r="D189" s="5" t="s">
        <v>140</v>
      </c>
      <c r="E189" s="5">
        <v>1589.0</v>
      </c>
      <c r="F189" s="5">
        <v>1.0</v>
      </c>
    </row>
    <row r="190">
      <c r="B190" s="5">
        <v>355.0</v>
      </c>
      <c r="C190" s="5" t="s">
        <v>141</v>
      </c>
      <c r="E190" s="5">
        <v>355.0</v>
      </c>
      <c r="F190" s="5">
        <v>1.0</v>
      </c>
    </row>
    <row r="191">
      <c r="B191" s="5">
        <v>1470.0</v>
      </c>
      <c r="C191" s="5" t="s">
        <v>54</v>
      </c>
      <c r="E191" s="5">
        <v>1470.0</v>
      </c>
      <c r="F191" s="5">
        <v>1.0</v>
      </c>
    </row>
    <row r="192">
      <c r="B192" s="5">
        <v>1809.0</v>
      </c>
      <c r="C192" s="5" t="s">
        <v>54</v>
      </c>
      <c r="E192" s="5">
        <v>1809.0</v>
      </c>
      <c r="F192" s="5">
        <v>1.0</v>
      </c>
    </row>
    <row r="193">
      <c r="B193" s="5">
        <v>1763.0</v>
      </c>
      <c r="E193" s="5">
        <v>1763.0</v>
      </c>
      <c r="F193" s="5">
        <v>1.0</v>
      </c>
    </row>
    <row r="194">
      <c r="B194" s="5">
        <v>1684.0</v>
      </c>
      <c r="C194" s="5" t="s">
        <v>142</v>
      </c>
      <c r="E194" s="5">
        <v>1684.0</v>
      </c>
      <c r="F194" s="5">
        <v>1.0</v>
      </c>
    </row>
    <row r="195">
      <c r="B195" s="5">
        <v>1652.0</v>
      </c>
      <c r="C195" s="5" t="s">
        <v>142</v>
      </c>
      <c r="E195" s="5">
        <v>1652.0</v>
      </c>
      <c r="F195" s="5">
        <v>1.0</v>
      </c>
    </row>
    <row r="196">
      <c r="B196" s="5" t="s">
        <v>130</v>
      </c>
      <c r="E196" s="5">
        <v>0.0</v>
      </c>
    </row>
    <row r="197">
      <c r="B197" s="5" t="s">
        <v>130</v>
      </c>
      <c r="E197" s="5">
        <v>0.0</v>
      </c>
    </row>
    <row r="198">
      <c r="B198" s="5" t="s">
        <v>130</v>
      </c>
      <c r="E198" s="5">
        <v>0.0</v>
      </c>
    </row>
    <row r="199">
      <c r="B199" s="5">
        <v>3449.0</v>
      </c>
      <c r="C199" s="5" t="s">
        <v>143</v>
      </c>
      <c r="E199" s="5">
        <v>3449.0</v>
      </c>
      <c r="F199" s="5">
        <v>1.0</v>
      </c>
    </row>
    <row r="200">
      <c r="B200" s="5">
        <v>1610.0</v>
      </c>
      <c r="C200" s="5" t="s">
        <v>142</v>
      </c>
      <c r="E200" s="5">
        <v>1610.0</v>
      </c>
      <c r="F200" s="5">
        <v>1.0</v>
      </c>
    </row>
    <row r="201">
      <c r="C201" s="5" t="s">
        <v>144</v>
      </c>
      <c r="E201">
        <f>SUM(E173:E200)</f>
        <v>20602</v>
      </c>
      <c r="F201" s="5">
        <v>1.0</v>
      </c>
    </row>
    <row r="202">
      <c r="B202" s="25">
        <v>0.28822916666666665</v>
      </c>
    </row>
    <row r="203">
      <c r="E203">
        <f>E201/B204</f>
        <v>2746.933333</v>
      </c>
      <c r="F203">
        <f>SUM(F173:F202)</f>
        <v>20</v>
      </c>
    </row>
    <row r="204">
      <c r="B204" s="5">
        <v>7.5</v>
      </c>
      <c r="F204">
        <f>F203*20</f>
        <v>400</v>
      </c>
    </row>
    <row r="209">
      <c r="B209" s="5" t="s">
        <v>145</v>
      </c>
    </row>
    <row r="210">
      <c r="A210" s="5" t="s">
        <v>146</v>
      </c>
      <c r="B210" s="5" t="s">
        <v>147</v>
      </c>
      <c r="C210" s="5">
        <v>3.0</v>
      </c>
    </row>
    <row r="211">
      <c r="B211" s="5" t="s">
        <v>148</v>
      </c>
      <c r="C211" s="5">
        <v>755.0</v>
      </c>
    </row>
    <row r="212">
      <c r="B212" s="5" t="s">
        <v>149</v>
      </c>
      <c r="C212" s="5">
        <v>252.0</v>
      </c>
      <c r="D212">
        <f>(C212+196)*1.45</f>
        <v>649.6</v>
      </c>
    </row>
    <row r="213">
      <c r="A213" s="5" t="s">
        <v>150</v>
      </c>
      <c r="B213" s="5" t="s">
        <v>147</v>
      </c>
      <c r="C213" s="5">
        <v>3.0</v>
      </c>
    </row>
    <row r="214">
      <c r="B214" s="5" t="s">
        <v>148</v>
      </c>
      <c r="C214" s="5">
        <v>379.0</v>
      </c>
    </row>
    <row r="215">
      <c r="B215" s="5" t="s">
        <v>149</v>
      </c>
      <c r="C215" s="5">
        <v>226.0</v>
      </c>
      <c r="D215" s="5">
        <v>301.0</v>
      </c>
      <c r="E215">
        <f>(C215+D215)*1.45</f>
        <v>764.15</v>
      </c>
    </row>
    <row r="217">
      <c r="B217" s="5" t="s">
        <v>151</v>
      </c>
      <c r="F217" s="5">
        <v>1.4</v>
      </c>
    </row>
    <row r="218">
      <c r="A218" s="5" t="s">
        <v>146</v>
      </c>
      <c r="B218" s="5" t="s">
        <v>147</v>
      </c>
      <c r="C218" s="5">
        <v>3.0</v>
      </c>
      <c r="F218" s="5">
        <v>1.3</v>
      </c>
    </row>
    <row r="219">
      <c r="B219" s="5" t="s">
        <v>148</v>
      </c>
      <c r="C219" s="5">
        <v>677.0</v>
      </c>
      <c r="F219">
        <f>F217/F218</f>
        <v>1.076923077</v>
      </c>
    </row>
    <row r="220">
      <c r="B220" s="5" t="s">
        <v>149</v>
      </c>
      <c r="C220" s="5">
        <v>226.0</v>
      </c>
      <c r="D220">
        <f>(C220*F219)+(196*F219)</f>
        <v>454.4615385</v>
      </c>
      <c r="H220" s="5">
        <f>1.3*1.0769</f>
        <v>1.39997</v>
      </c>
    </row>
    <row r="221">
      <c r="A221" s="5" t="s">
        <v>150</v>
      </c>
      <c r="B221" s="5" t="s">
        <v>147</v>
      </c>
      <c r="C221" s="5">
        <v>3.0</v>
      </c>
    </row>
    <row r="222">
      <c r="B222" s="5" t="s">
        <v>148</v>
      </c>
      <c r="C222" s="5">
        <v>615.0</v>
      </c>
    </row>
    <row r="223">
      <c r="B223" s="5" t="s">
        <v>149</v>
      </c>
      <c r="C223" s="5">
        <v>205.0</v>
      </c>
      <c r="D223" s="5">
        <v>301.0</v>
      </c>
      <c r="E223">
        <f>(D223+C223)*1.45</f>
        <v>733.7</v>
      </c>
    </row>
    <row r="225">
      <c r="D225">
        <f>D212/D220</f>
        <v>1.429383886</v>
      </c>
      <c r="E225">
        <f>E215/E223</f>
        <v>1.041501976</v>
      </c>
    </row>
    <row r="229">
      <c r="A229" s="26">
        <v>42739.0</v>
      </c>
      <c r="B229" s="5">
        <v>93.0</v>
      </c>
      <c r="C229" s="5" t="s">
        <v>152</v>
      </c>
      <c r="D229">
        <f t="shared" ref="D229:D230" si="19">B229/B231</f>
        <v>1.148148148</v>
      </c>
    </row>
    <row r="230">
      <c r="B230" s="5">
        <v>245.0</v>
      </c>
      <c r="C230" s="5" t="s">
        <v>153</v>
      </c>
      <c r="D230">
        <f t="shared" si="19"/>
        <v>1.069868996</v>
      </c>
    </row>
    <row r="231">
      <c r="B231" s="5">
        <v>81.0</v>
      </c>
    </row>
    <row r="232">
      <c r="B232" s="5">
        <v>229.0</v>
      </c>
      <c r="C232" s="5" t="s">
        <v>153</v>
      </c>
    </row>
    <row r="234">
      <c r="A234" s="5"/>
    </row>
    <row r="238">
      <c r="A238" s="5">
        <v>1.3</v>
      </c>
      <c r="B238" s="5">
        <v>68.0</v>
      </c>
      <c r="C238" s="5" t="s">
        <v>152</v>
      </c>
      <c r="D238" s="5">
        <v>740.0</v>
      </c>
      <c r="E238" s="5"/>
    </row>
    <row r="239">
      <c r="B239" s="5">
        <v>94.0</v>
      </c>
      <c r="C239" s="5" t="s">
        <v>54</v>
      </c>
      <c r="D239" s="5">
        <v>140.0</v>
      </c>
    </row>
    <row r="240">
      <c r="B240" s="5">
        <v>222.0</v>
      </c>
      <c r="C240" s="5" t="s">
        <v>153</v>
      </c>
      <c r="D240" s="5">
        <f>620*F219</f>
        <v>667.6923077</v>
      </c>
      <c r="E240" s="5"/>
    </row>
    <row r="241">
      <c r="D241" s="5">
        <v>301.0</v>
      </c>
    </row>
    <row r="242">
      <c r="D242" s="5">
        <f>196*F219</f>
        <v>211.0769231</v>
      </c>
    </row>
    <row r="243">
      <c r="D243">
        <f>SUM(D238:D242)</f>
        <v>2059.769231</v>
      </c>
      <c r="E243">
        <f>D243*1.45</f>
        <v>2986.665385</v>
      </c>
    </row>
    <row r="244">
      <c r="B244" s="5">
        <v>93.0</v>
      </c>
      <c r="C244" s="5" t="s">
        <v>152</v>
      </c>
      <c r="D244" s="5">
        <v>700.0</v>
      </c>
      <c r="H244" s="5">
        <v>213.0</v>
      </c>
      <c r="I244" s="5" t="s">
        <v>153</v>
      </c>
      <c r="J244" s="5">
        <v>600.0</v>
      </c>
    </row>
    <row r="245">
      <c r="B245" s="5">
        <v>141.0</v>
      </c>
      <c r="C245" s="5" t="s">
        <v>54</v>
      </c>
      <c r="D245" s="5">
        <v>200.0</v>
      </c>
      <c r="H245" s="5">
        <v>93.0</v>
      </c>
      <c r="I245" s="5" t="s">
        <v>152</v>
      </c>
      <c r="J245" s="5">
        <v>700.0</v>
      </c>
    </row>
    <row r="246">
      <c r="B246" s="5">
        <v>213.0</v>
      </c>
      <c r="C246" s="5" t="s">
        <v>153</v>
      </c>
      <c r="D246" s="5">
        <v>600.0</v>
      </c>
      <c r="H246" s="5">
        <v>141.0</v>
      </c>
      <c r="I246" s="5" t="s">
        <v>54</v>
      </c>
      <c r="J246" s="5">
        <v>200.0</v>
      </c>
    </row>
    <row r="247">
      <c r="D247" s="5">
        <v>196.0</v>
      </c>
    </row>
    <row r="248">
      <c r="D248" s="5">
        <v>301.0</v>
      </c>
    </row>
    <row r="249">
      <c r="D249">
        <f>SUM(D244:D248)</f>
        <v>1997</v>
      </c>
      <c r="E249">
        <f>D249*1.45</f>
        <v>2895.65</v>
      </c>
    </row>
    <row r="252">
      <c r="A252" s="5">
        <v>1.4</v>
      </c>
      <c r="C252" s="5" t="s">
        <v>147</v>
      </c>
      <c r="D252" s="5" t="s">
        <v>154</v>
      </c>
      <c r="E252" s="5" t="s">
        <v>149</v>
      </c>
    </row>
    <row r="253">
      <c r="B253" s="5" t="s">
        <v>54</v>
      </c>
      <c r="C253" s="5">
        <v>20.0</v>
      </c>
      <c r="D253" s="5">
        <v>3047.0</v>
      </c>
      <c r="E253">
        <f>D253/C253</f>
        <v>152.35</v>
      </c>
      <c r="G253" s="5">
        <v>1.45</v>
      </c>
    </row>
    <row r="254">
      <c r="B254" s="5" t="s">
        <v>155</v>
      </c>
      <c r="C254" s="5">
        <v>9.0</v>
      </c>
      <c r="D254" s="5">
        <v>1658.0</v>
      </c>
      <c r="E254">
        <f>(D254/C254)/1.5</f>
        <v>122.8148148</v>
      </c>
      <c r="F254" s="5">
        <v>301.0</v>
      </c>
      <c r="G254" s="5">
        <v>1.45</v>
      </c>
      <c r="H254">
        <f t="shared" ref="H254:H255" si="20">(E254+F254)*G254</f>
        <v>614.5314815</v>
      </c>
    </row>
    <row r="255">
      <c r="B255" s="27" t="s">
        <v>153</v>
      </c>
      <c r="C255" s="27">
        <v>6.0</v>
      </c>
      <c r="D255" s="27">
        <v>1548.0</v>
      </c>
      <c r="E255" s="28">
        <f>(D255/C255)/1.4</f>
        <v>184.2857143</v>
      </c>
      <c r="F255" s="27">
        <v>196.0</v>
      </c>
      <c r="G255" s="27">
        <v>1.45</v>
      </c>
      <c r="H255" s="28">
        <f t="shared" si="20"/>
        <v>551.4142857</v>
      </c>
    </row>
    <row r="256">
      <c r="B256" s="5" t="s">
        <v>156</v>
      </c>
      <c r="C256" s="5">
        <v>3.0</v>
      </c>
      <c r="D256" s="5">
        <v>987.0</v>
      </c>
      <c r="E256">
        <f>D256/C256</f>
        <v>329</v>
      </c>
      <c r="F256" s="5">
        <v>200.0</v>
      </c>
      <c r="G256" s="5">
        <v>1.45</v>
      </c>
    </row>
    <row r="257">
      <c r="H257">
        <f>AVERAGE(H254:H256)</f>
        <v>582.9728836</v>
      </c>
    </row>
    <row r="258">
      <c r="A258" s="5">
        <v>1.3</v>
      </c>
      <c r="C258" s="5" t="s">
        <v>147</v>
      </c>
      <c r="D258" s="5" t="s">
        <v>154</v>
      </c>
    </row>
    <row r="259">
      <c r="B259" s="5" t="s">
        <v>54</v>
      </c>
      <c r="C259" s="5">
        <v>22.0</v>
      </c>
      <c r="D259" s="5"/>
    </row>
    <row r="260">
      <c r="B260" s="5" t="s">
        <v>155</v>
      </c>
      <c r="C260" s="5">
        <v>9.0</v>
      </c>
      <c r="D260" s="5">
        <v>1511.0</v>
      </c>
      <c r="E260">
        <f>(D260/C260)/1.5</f>
        <v>111.9259259</v>
      </c>
      <c r="F260" s="5">
        <v>301.0</v>
      </c>
      <c r="G260" s="5">
        <v>1.45</v>
      </c>
      <c r="H260">
        <f t="shared" ref="H260:H261" si="21">(E260+F260)*G260</f>
        <v>598.7425926</v>
      </c>
    </row>
    <row r="261">
      <c r="B261" s="27" t="s">
        <v>153</v>
      </c>
      <c r="C261" s="27">
        <v>5.0</v>
      </c>
      <c r="D261" s="27">
        <v>1321.0</v>
      </c>
      <c r="E261" s="28">
        <f>(D261/C261)/1.3</f>
        <v>203.2307692</v>
      </c>
      <c r="F261" s="27">
        <v>196.0</v>
      </c>
      <c r="G261" s="27">
        <v>1.45</v>
      </c>
      <c r="H261" s="28">
        <f t="shared" si="21"/>
        <v>578.8846154</v>
      </c>
    </row>
    <row r="262">
      <c r="B262" s="5" t="s">
        <v>156</v>
      </c>
      <c r="C262" s="5">
        <v>4.0</v>
      </c>
      <c r="D262" s="5">
        <v>1324.0</v>
      </c>
      <c r="E262">
        <f>D262/C262</f>
        <v>331</v>
      </c>
      <c r="F262" s="5">
        <v>200.0</v>
      </c>
      <c r="G262" s="5">
        <v>1.45</v>
      </c>
    </row>
    <row r="263">
      <c r="H263">
        <f>AVERAGE(H260:H262)</f>
        <v>588.813604</v>
      </c>
    </row>
    <row r="264">
      <c r="D264" s="5">
        <v>1.5</v>
      </c>
    </row>
    <row r="265">
      <c r="D265" s="5">
        <v>1.3</v>
      </c>
    </row>
    <row r="266">
      <c r="D266">
        <f>D264/D265</f>
        <v>1.153846154</v>
      </c>
    </row>
    <row r="269">
      <c r="D269" s="5">
        <v>1.4</v>
      </c>
      <c r="E269" s="5">
        <v>1.0</v>
      </c>
      <c r="F269" s="5">
        <f>D269/E269</f>
        <v>1.4</v>
      </c>
    </row>
    <row r="270">
      <c r="D270" s="5">
        <v>1.3</v>
      </c>
      <c r="E270" s="5">
        <v>1.0</v>
      </c>
    </row>
    <row r="277">
      <c r="B277" s="5" t="s">
        <v>157</v>
      </c>
      <c r="C277" s="5">
        <v>17.0</v>
      </c>
    </row>
    <row r="278">
      <c r="B278" s="5" t="s">
        <v>158</v>
      </c>
      <c r="C278" s="5">
        <v>33.0</v>
      </c>
    </row>
    <row r="279">
      <c r="B279" s="5" t="s">
        <v>159</v>
      </c>
      <c r="C279" s="5">
        <v>19.0</v>
      </c>
    </row>
    <row r="280">
      <c r="B280" s="5" t="s">
        <v>160</v>
      </c>
      <c r="C280" s="5">
        <v>22.0</v>
      </c>
    </row>
    <row r="281">
      <c r="B281" s="5" t="s">
        <v>161</v>
      </c>
      <c r="C281" s="5">
        <v>25.0</v>
      </c>
    </row>
    <row r="288">
      <c r="C288">
        <f>SUM(C276:C287)</f>
        <v>116</v>
      </c>
    </row>
  </sheetData>
  <hyperlinks>
    <hyperlink r:id="rId1" ref="B15"/>
    <hyperlink r:id="rId2" ref="B1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31.14"/>
    <col customWidth="1" min="4" max="4" width="6.57"/>
    <col customWidth="1" min="5" max="5" width="12.14"/>
    <col customWidth="1" min="6" max="6" width="8.14"/>
    <col customWidth="1" min="7" max="7" width="18.0"/>
  </cols>
  <sheetData>
    <row r="1">
      <c r="A1" s="80"/>
      <c r="B1" s="80"/>
      <c r="C1" s="80"/>
      <c r="D1" s="80"/>
      <c r="E1" s="80"/>
      <c r="F1" s="80"/>
    </row>
    <row r="2">
      <c r="A2" s="157" t="s">
        <v>742</v>
      </c>
      <c r="B2" s="80"/>
      <c r="C2" s="80"/>
      <c r="D2" s="80"/>
      <c r="E2" s="80"/>
      <c r="F2" s="80"/>
    </row>
    <row r="3">
      <c r="A3" s="80"/>
      <c r="B3" s="158" t="s">
        <v>743</v>
      </c>
      <c r="C3" s="159"/>
      <c r="D3" s="159"/>
      <c r="E3" s="159"/>
      <c r="F3" s="159"/>
    </row>
    <row r="4">
      <c r="A4" s="160"/>
      <c r="B4" s="161" t="s">
        <v>744</v>
      </c>
      <c r="C4" s="162" t="s">
        <v>745</v>
      </c>
      <c r="D4" s="162" t="s">
        <v>746</v>
      </c>
      <c r="E4" s="162" t="s">
        <v>25</v>
      </c>
      <c r="F4" s="162" t="s">
        <v>747</v>
      </c>
      <c r="G4" s="5" t="s">
        <v>748</v>
      </c>
      <c r="H4" s="5" t="s">
        <v>749</v>
      </c>
      <c r="I4" s="5" t="s">
        <v>750</v>
      </c>
      <c r="J4" s="5" t="s">
        <v>751</v>
      </c>
      <c r="K4" s="5" t="s">
        <v>752</v>
      </c>
      <c r="L4" s="5" t="s">
        <v>753</v>
      </c>
      <c r="M4" s="5" t="s">
        <v>754</v>
      </c>
      <c r="N4" s="5" t="s">
        <v>755</v>
      </c>
    </row>
    <row r="5">
      <c r="A5" s="160"/>
      <c r="B5" s="23" t="s">
        <v>158</v>
      </c>
      <c r="C5" s="163" t="s">
        <v>756</v>
      </c>
      <c r="D5" s="164">
        <v>50.0</v>
      </c>
      <c r="E5" s="164">
        <v>64.0</v>
      </c>
      <c r="F5" s="164">
        <v>20.0</v>
      </c>
      <c r="G5" s="5">
        <v>12.0</v>
      </c>
      <c r="H5" s="5">
        <v>12.0</v>
      </c>
      <c r="I5" s="5">
        <v>8.0</v>
      </c>
      <c r="J5" s="5">
        <v>1.0</v>
      </c>
    </row>
    <row r="6">
      <c r="A6" s="160"/>
      <c r="B6" s="23" t="s">
        <v>757</v>
      </c>
      <c r="C6" s="165" t="s">
        <v>758</v>
      </c>
      <c r="D6" s="164">
        <v>20.0</v>
      </c>
      <c r="E6" s="23"/>
      <c r="F6" s="23"/>
    </row>
    <row r="7">
      <c r="A7" s="160"/>
      <c r="B7" s="23" t="s">
        <v>49</v>
      </c>
      <c r="C7" s="166" t="s">
        <v>759</v>
      </c>
      <c r="D7" s="164">
        <v>30.0</v>
      </c>
      <c r="E7" s="164">
        <v>18.0</v>
      </c>
      <c r="F7" s="23"/>
      <c r="G7" s="5">
        <v>6.0</v>
      </c>
      <c r="H7" s="5">
        <v>4.0</v>
      </c>
      <c r="K7" s="5">
        <v>2.0</v>
      </c>
      <c r="L7" s="5">
        <v>1.0</v>
      </c>
      <c r="M7" s="5">
        <v>4.0</v>
      </c>
    </row>
    <row r="8">
      <c r="A8" s="160"/>
      <c r="B8" s="23" t="s">
        <v>760</v>
      </c>
      <c r="C8" s="165" t="s">
        <v>761</v>
      </c>
      <c r="D8" s="164">
        <v>7.0</v>
      </c>
      <c r="E8" s="23"/>
      <c r="F8" s="23"/>
    </row>
    <row r="9">
      <c r="A9" s="160"/>
      <c r="B9" s="23" t="s">
        <v>762</v>
      </c>
      <c r="C9" s="167" t="s">
        <v>763</v>
      </c>
      <c r="D9" s="164">
        <v>7.0</v>
      </c>
      <c r="E9" s="23"/>
      <c r="F9" s="23"/>
    </row>
    <row r="10">
      <c r="A10" s="160"/>
      <c r="B10" s="23" t="s">
        <v>356</v>
      </c>
      <c r="C10" s="163" t="s">
        <v>764</v>
      </c>
      <c r="D10" s="164">
        <v>60.0</v>
      </c>
      <c r="E10" s="164">
        <v>49.0</v>
      </c>
      <c r="F10" s="164">
        <v>10.0</v>
      </c>
      <c r="G10" s="5">
        <v>12.0</v>
      </c>
      <c r="H10" s="5">
        <v>12.0</v>
      </c>
      <c r="I10" s="5">
        <v>8.0</v>
      </c>
      <c r="J10" s="5">
        <v>1.0</v>
      </c>
    </row>
    <row r="11">
      <c r="A11" s="160"/>
      <c r="B11" s="23" t="s">
        <v>363</v>
      </c>
      <c r="C11" s="163" t="s">
        <v>765</v>
      </c>
      <c r="D11" s="164">
        <v>60.0</v>
      </c>
      <c r="E11" s="164">
        <v>55.0</v>
      </c>
      <c r="F11" s="23"/>
      <c r="G11" s="5">
        <v>12.0</v>
      </c>
      <c r="H11" s="5">
        <v>12.0</v>
      </c>
      <c r="I11" s="5">
        <v>8.0</v>
      </c>
      <c r="J11" s="5">
        <v>1.0</v>
      </c>
    </row>
    <row r="12">
      <c r="A12" s="160"/>
      <c r="B12" s="23" t="s">
        <v>766</v>
      </c>
      <c r="C12" s="163" t="s">
        <v>767</v>
      </c>
      <c r="D12" s="164">
        <v>35.0</v>
      </c>
      <c r="E12" s="164">
        <v>18.0</v>
      </c>
      <c r="F12" s="23"/>
      <c r="G12" s="5">
        <v>6.0</v>
      </c>
      <c r="H12" s="5">
        <v>6.0</v>
      </c>
      <c r="I12" s="5">
        <v>2.0</v>
      </c>
      <c r="L12" s="5">
        <v>1.0</v>
      </c>
      <c r="M12" s="5">
        <v>4.0</v>
      </c>
    </row>
    <row r="13">
      <c r="A13" s="160"/>
      <c r="B13" s="23" t="s">
        <v>768</v>
      </c>
      <c r="C13" s="165" t="s">
        <v>769</v>
      </c>
      <c r="D13" s="164">
        <v>32.0</v>
      </c>
      <c r="E13" s="23"/>
      <c r="F13" s="23"/>
      <c r="G13" s="5">
        <v>16.0</v>
      </c>
      <c r="N13" s="5">
        <v>20.0</v>
      </c>
    </row>
    <row r="14">
      <c r="A14" s="160"/>
      <c r="B14" s="23" t="s">
        <v>770</v>
      </c>
      <c r="C14" s="167" t="s">
        <v>771</v>
      </c>
      <c r="D14" s="164">
        <v>8.0</v>
      </c>
      <c r="E14" s="23"/>
      <c r="F14" s="23"/>
    </row>
    <row r="15">
      <c r="A15" s="160"/>
      <c r="B15" s="23" t="s">
        <v>772</v>
      </c>
      <c r="C15" s="167" t="s">
        <v>773</v>
      </c>
      <c r="D15" s="164">
        <v>70.0</v>
      </c>
      <c r="E15" s="23"/>
      <c r="F15" s="23"/>
    </row>
    <row r="16">
      <c r="A16" s="160"/>
      <c r="B16" s="23" t="s">
        <v>772</v>
      </c>
      <c r="C16" s="167" t="s">
        <v>774</v>
      </c>
      <c r="D16" s="164">
        <v>0.0</v>
      </c>
      <c r="E16" s="164" t="s">
        <v>775</v>
      </c>
      <c r="F16" s="23"/>
      <c r="G16" s="5" t="s">
        <v>748</v>
      </c>
      <c r="H16" s="5" t="s">
        <v>749</v>
      </c>
      <c r="I16" s="5" t="s">
        <v>750</v>
      </c>
      <c r="J16" s="5" t="s">
        <v>751</v>
      </c>
      <c r="K16" s="5" t="s">
        <v>752</v>
      </c>
      <c r="L16" s="5" t="s">
        <v>753</v>
      </c>
      <c r="M16" s="5" t="s">
        <v>754</v>
      </c>
      <c r="N16" s="5" t="s">
        <v>755</v>
      </c>
    </row>
    <row r="17">
      <c r="A17" s="80"/>
      <c r="B17" s="160"/>
      <c r="C17" s="168" t="s">
        <v>95</v>
      </c>
      <c r="D17" s="169">
        <f t="shared" ref="D17:F17" si="1">sum(D5:D16)</f>
        <v>379</v>
      </c>
      <c r="E17" s="169">
        <f t="shared" si="1"/>
        <v>204</v>
      </c>
      <c r="F17" s="169">
        <f t="shared" si="1"/>
        <v>30</v>
      </c>
      <c r="G17">
        <f t="shared" ref="G17:N17" si="2">SUM(G5:G16)</f>
        <v>64</v>
      </c>
      <c r="H17">
        <f t="shared" si="2"/>
        <v>46</v>
      </c>
      <c r="I17">
        <f t="shared" si="2"/>
        <v>26</v>
      </c>
      <c r="J17">
        <f t="shared" si="2"/>
        <v>3</v>
      </c>
      <c r="K17">
        <f t="shared" si="2"/>
        <v>2</v>
      </c>
      <c r="L17">
        <f t="shared" si="2"/>
        <v>2</v>
      </c>
      <c r="M17">
        <f t="shared" si="2"/>
        <v>8</v>
      </c>
      <c r="N17">
        <f t="shared" si="2"/>
        <v>20</v>
      </c>
    </row>
    <row r="20">
      <c r="B20" s="5" t="s">
        <v>46</v>
      </c>
      <c r="C20" s="5">
        <v>50.0</v>
      </c>
      <c r="G20" s="17" t="s">
        <v>776</v>
      </c>
    </row>
    <row r="21">
      <c r="B21" s="5" t="s">
        <v>777</v>
      </c>
      <c r="C21" s="5">
        <v>20.0</v>
      </c>
      <c r="G21" s="5" t="s">
        <v>778</v>
      </c>
    </row>
    <row r="22">
      <c r="B22" s="5" t="s">
        <v>49</v>
      </c>
      <c r="C22" s="5">
        <v>30.0</v>
      </c>
      <c r="G22" s="5" t="s">
        <v>779</v>
      </c>
    </row>
    <row r="23">
      <c r="B23" s="5" t="s">
        <v>780</v>
      </c>
      <c r="C23" s="5">
        <v>12.0</v>
      </c>
      <c r="G23" s="5" t="s">
        <v>781</v>
      </c>
    </row>
    <row r="24">
      <c r="B24" s="5" t="s">
        <v>782</v>
      </c>
      <c r="C24" s="5">
        <v>7.0</v>
      </c>
      <c r="G24" s="5">
        <v>1.0</v>
      </c>
      <c r="H24" s="5" t="s">
        <v>783</v>
      </c>
    </row>
    <row r="25">
      <c r="B25" s="5" t="s">
        <v>356</v>
      </c>
      <c r="C25" s="5">
        <v>60.0</v>
      </c>
      <c r="G25" s="5">
        <v>7.0</v>
      </c>
      <c r="H25" s="5" t="s">
        <v>784</v>
      </c>
    </row>
    <row r="26">
      <c r="B26" s="5" t="s">
        <v>785</v>
      </c>
      <c r="C26" s="5">
        <v>8.0</v>
      </c>
      <c r="G26" s="5">
        <v>3.0</v>
      </c>
      <c r="H26" s="5" t="s">
        <v>786</v>
      </c>
    </row>
    <row r="27">
      <c r="B27" s="5" t="s">
        <v>787</v>
      </c>
      <c r="C27" s="5">
        <v>8.0</v>
      </c>
      <c r="G27" s="5">
        <v>1.0</v>
      </c>
      <c r="H27" s="5" t="s">
        <v>788</v>
      </c>
    </row>
    <row r="28">
      <c r="B28" s="5" t="s">
        <v>789</v>
      </c>
      <c r="C28" s="5">
        <v>60.0</v>
      </c>
    </row>
    <row r="29">
      <c r="B29" s="5" t="s">
        <v>790</v>
      </c>
      <c r="C29" s="5">
        <v>8.0</v>
      </c>
    </row>
    <row r="30">
      <c r="B30" s="5" t="s">
        <v>366</v>
      </c>
      <c r="C30" s="5">
        <v>35.0</v>
      </c>
    </row>
    <row r="31">
      <c r="B31" s="5" t="s">
        <v>791</v>
      </c>
      <c r="C31" s="5">
        <v>70.0</v>
      </c>
    </row>
    <row r="32">
      <c r="C32">
        <f>SUM(C20:C31)</f>
        <v>368</v>
      </c>
    </row>
    <row r="34">
      <c r="B34" s="158" t="s">
        <v>743</v>
      </c>
      <c r="C34" s="159"/>
      <c r="D34" s="159"/>
      <c r="E34" s="159"/>
      <c r="F34" s="159"/>
    </row>
    <row r="35">
      <c r="B35" s="161" t="s">
        <v>744</v>
      </c>
      <c r="C35" s="162" t="s">
        <v>745</v>
      </c>
      <c r="D35" s="162" t="s">
        <v>746</v>
      </c>
      <c r="E35" s="162" t="s">
        <v>25</v>
      </c>
      <c r="F35" s="162" t="s">
        <v>747</v>
      </c>
      <c r="G35" s="5" t="s">
        <v>792</v>
      </c>
      <c r="H35" s="5" t="s">
        <v>793</v>
      </c>
      <c r="I35" s="5" t="s">
        <v>794</v>
      </c>
      <c r="J35" s="5" t="s">
        <v>751</v>
      </c>
      <c r="K35" s="5" t="s">
        <v>752</v>
      </c>
      <c r="L35" s="5" t="s">
        <v>753</v>
      </c>
      <c r="M35" s="5" t="s">
        <v>754</v>
      </c>
      <c r="N35" s="5" t="s">
        <v>755</v>
      </c>
    </row>
    <row r="36">
      <c r="B36" s="23" t="s">
        <v>158</v>
      </c>
      <c r="C36" s="170" t="s">
        <v>795</v>
      </c>
      <c r="D36" s="164">
        <v>50.0</v>
      </c>
      <c r="E36" s="164">
        <v>64.0</v>
      </c>
      <c r="F36" s="164">
        <v>20.0</v>
      </c>
      <c r="G36" s="5">
        <v>12.0</v>
      </c>
      <c r="H36" s="5">
        <v>12.0</v>
      </c>
      <c r="J36" s="5">
        <v>1.0</v>
      </c>
      <c r="K36" s="5">
        <v>8.0</v>
      </c>
    </row>
    <row r="37">
      <c r="B37" s="23" t="s">
        <v>757</v>
      </c>
      <c r="C37" s="171" t="s">
        <v>796</v>
      </c>
      <c r="D37" s="164">
        <v>20.0</v>
      </c>
      <c r="E37" s="23"/>
      <c r="F37" s="23"/>
    </row>
    <row r="38">
      <c r="B38" s="23" t="s">
        <v>49</v>
      </c>
      <c r="C38" s="172" t="s">
        <v>797</v>
      </c>
      <c r="D38" s="164">
        <v>30.0</v>
      </c>
      <c r="E38" s="164">
        <v>18.0</v>
      </c>
      <c r="F38" s="23"/>
      <c r="G38" s="5">
        <v>4.0</v>
      </c>
      <c r="H38" s="5">
        <v>6.0</v>
      </c>
      <c r="K38" s="5">
        <v>2.0</v>
      </c>
      <c r="L38" s="5">
        <v>1.0</v>
      </c>
      <c r="M38" s="5">
        <v>4.0</v>
      </c>
    </row>
    <row r="39">
      <c r="B39" s="23" t="s">
        <v>760</v>
      </c>
      <c r="C39" s="165" t="s">
        <v>761</v>
      </c>
      <c r="D39" s="164">
        <v>7.0</v>
      </c>
      <c r="E39" s="23"/>
      <c r="F39" s="23"/>
    </row>
    <row r="40">
      <c r="B40" s="23" t="s">
        <v>762</v>
      </c>
      <c r="C40" s="167" t="s">
        <v>763</v>
      </c>
      <c r="D40" s="164">
        <v>7.0</v>
      </c>
      <c r="E40" s="23"/>
      <c r="F40" s="23"/>
    </row>
    <row r="41">
      <c r="B41" s="23" t="s">
        <v>356</v>
      </c>
      <c r="C41" s="163" t="s">
        <v>764</v>
      </c>
      <c r="D41" s="164">
        <v>60.0</v>
      </c>
      <c r="E41" s="164">
        <v>49.0</v>
      </c>
      <c r="F41" s="164">
        <v>10.0</v>
      </c>
      <c r="G41" s="5">
        <v>12.0</v>
      </c>
      <c r="H41" s="5">
        <v>12.0</v>
      </c>
      <c r="J41" s="5">
        <v>1.0</v>
      </c>
      <c r="K41" s="5">
        <v>8.0</v>
      </c>
    </row>
    <row r="42">
      <c r="B42" s="23" t="s">
        <v>363</v>
      </c>
      <c r="C42" s="163" t="s">
        <v>765</v>
      </c>
      <c r="D42" s="164">
        <v>60.0</v>
      </c>
      <c r="E42" s="164">
        <v>55.0</v>
      </c>
      <c r="F42" s="23"/>
      <c r="G42" s="5">
        <v>12.0</v>
      </c>
      <c r="H42" s="5">
        <v>12.0</v>
      </c>
      <c r="J42" s="5">
        <v>1.0</v>
      </c>
      <c r="K42" s="5">
        <v>8.0</v>
      </c>
    </row>
    <row r="43">
      <c r="B43" s="23" t="s">
        <v>766</v>
      </c>
      <c r="C43" s="163" t="s">
        <v>767</v>
      </c>
      <c r="D43" s="164">
        <v>35.0</v>
      </c>
      <c r="E43" s="164">
        <v>18.0</v>
      </c>
      <c r="F43" s="23"/>
      <c r="G43" s="5">
        <v>6.0</v>
      </c>
      <c r="H43" s="5">
        <v>6.0</v>
      </c>
      <c r="K43" s="5">
        <v>2.0</v>
      </c>
      <c r="L43" s="5">
        <v>1.0</v>
      </c>
      <c r="M43" s="5">
        <v>4.0</v>
      </c>
    </row>
    <row r="44">
      <c r="B44" s="23" t="s">
        <v>768</v>
      </c>
      <c r="C44" s="165" t="s">
        <v>769</v>
      </c>
      <c r="D44" s="164">
        <v>32.0</v>
      </c>
      <c r="E44" s="23"/>
      <c r="F44" s="23"/>
      <c r="H44" s="5">
        <v>16.0</v>
      </c>
      <c r="N44" s="5">
        <v>20.0</v>
      </c>
    </row>
    <row r="45">
      <c r="B45" s="23" t="s">
        <v>770</v>
      </c>
      <c r="C45" s="167" t="s">
        <v>771</v>
      </c>
      <c r="D45" s="164">
        <v>8.0</v>
      </c>
      <c r="E45" s="23"/>
      <c r="F45" s="23"/>
    </row>
    <row r="46">
      <c r="B46" s="23" t="s">
        <v>772</v>
      </c>
      <c r="C46" s="167" t="s">
        <v>773</v>
      </c>
      <c r="D46" s="164">
        <v>70.0</v>
      </c>
      <c r="E46" s="23"/>
      <c r="F46" s="23"/>
    </row>
    <row r="47">
      <c r="B47" s="23" t="s">
        <v>772</v>
      </c>
      <c r="C47" s="167" t="s">
        <v>774</v>
      </c>
      <c r="D47" s="164">
        <v>0.0</v>
      </c>
      <c r="E47" s="164" t="s">
        <v>775</v>
      </c>
      <c r="F47" s="23"/>
      <c r="G47" s="5" t="s">
        <v>792</v>
      </c>
      <c r="H47" s="5" t="s">
        <v>793</v>
      </c>
      <c r="I47" s="5" t="s">
        <v>794</v>
      </c>
      <c r="J47" s="5" t="s">
        <v>751</v>
      </c>
      <c r="K47" s="5" t="s">
        <v>752</v>
      </c>
      <c r="L47" s="5" t="s">
        <v>753</v>
      </c>
      <c r="M47" s="5" t="s">
        <v>754</v>
      </c>
      <c r="N47" s="5" t="s">
        <v>755</v>
      </c>
    </row>
    <row r="48">
      <c r="B48" s="160"/>
      <c r="C48" s="168" t="s">
        <v>95</v>
      </c>
      <c r="D48" s="169">
        <f t="shared" ref="D48:F48" si="3">sum(D36:D47)</f>
        <v>379</v>
      </c>
      <c r="E48" s="169">
        <f t="shared" si="3"/>
        <v>204</v>
      </c>
      <c r="F48" s="169">
        <f t="shared" si="3"/>
        <v>30</v>
      </c>
      <c r="G48">
        <f t="shared" ref="G48:N48" si="4">SUM(G36:G47)</f>
        <v>46</v>
      </c>
      <c r="H48">
        <f t="shared" si="4"/>
        <v>64</v>
      </c>
      <c r="I48">
        <f t="shared" si="4"/>
        <v>0</v>
      </c>
      <c r="J48">
        <f t="shared" si="4"/>
        <v>3</v>
      </c>
      <c r="K48">
        <f t="shared" si="4"/>
        <v>28</v>
      </c>
      <c r="L48">
        <f t="shared" si="4"/>
        <v>2</v>
      </c>
      <c r="M48">
        <f t="shared" si="4"/>
        <v>8</v>
      </c>
      <c r="N48">
        <f t="shared" si="4"/>
        <v>20</v>
      </c>
    </row>
    <row r="49">
      <c r="G49" s="5" t="s">
        <v>748</v>
      </c>
      <c r="H49" s="5" t="s">
        <v>749</v>
      </c>
      <c r="I49" s="5" t="s">
        <v>750</v>
      </c>
      <c r="J49" s="5" t="s">
        <v>751</v>
      </c>
      <c r="K49" s="5" t="s">
        <v>752</v>
      </c>
      <c r="L49" s="5" t="s">
        <v>753</v>
      </c>
      <c r="M49" s="5" t="s">
        <v>754</v>
      </c>
      <c r="N49" s="5" t="s">
        <v>755</v>
      </c>
    </row>
    <row r="50">
      <c r="G50">
        <f t="shared" ref="G50:N50" si="5">G17</f>
        <v>64</v>
      </c>
      <c r="H50">
        <f t="shared" si="5"/>
        <v>46</v>
      </c>
      <c r="I50">
        <f t="shared" si="5"/>
        <v>26</v>
      </c>
      <c r="J50">
        <f t="shared" si="5"/>
        <v>3</v>
      </c>
      <c r="K50">
        <f t="shared" si="5"/>
        <v>2</v>
      </c>
      <c r="L50">
        <f t="shared" si="5"/>
        <v>2</v>
      </c>
      <c r="M50">
        <f t="shared" si="5"/>
        <v>8</v>
      </c>
      <c r="N50">
        <f t="shared" si="5"/>
        <v>20</v>
      </c>
    </row>
    <row r="51">
      <c r="C51" s="5" t="s">
        <v>46</v>
      </c>
      <c r="D51" s="5">
        <v>50.0</v>
      </c>
      <c r="H51" s="10" t="s">
        <v>798</v>
      </c>
      <c r="I51" s="5" t="s">
        <v>203</v>
      </c>
      <c r="J51" s="5" t="s">
        <v>95</v>
      </c>
    </row>
    <row r="52">
      <c r="C52" s="5" t="s">
        <v>799</v>
      </c>
      <c r="D52" s="5">
        <v>20.0</v>
      </c>
      <c r="G52" t="str">
        <f>G49</f>
        <v>Primal Fire</v>
      </c>
      <c r="H52" s="15">
        <f t="shared" ref="H52:H61" si="6">J52-I52</f>
        <v>-1</v>
      </c>
      <c r="I52" s="5">
        <v>65.0</v>
      </c>
      <c r="J52">
        <f>G50</f>
        <v>64</v>
      </c>
    </row>
    <row r="53">
      <c r="C53" s="5" t="s">
        <v>49</v>
      </c>
      <c r="D53" s="5">
        <v>30.0</v>
      </c>
      <c r="G53" t="str">
        <f>H49</f>
        <v>Primal Water</v>
      </c>
      <c r="H53" s="15">
        <f t="shared" si="6"/>
        <v>-10</v>
      </c>
      <c r="I53" s="5">
        <v>56.0</v>
      </c>
      <c r="J53">
        <f>H50</f>
        <v>46</v>
      </c>
    </row>
    <row r="54">
      <c r="C54" s="5" t="s">
        <v>356</v>
      </c>
      <c r="D54" s="5">
        <v>60.0</v>
      </c>
      <c r="G54" t="str">
        <f>G47</f>
        <v>Primal Life</v>
      </c>
      <c r="H54" s="15">
        <f t="shared" si="6"/>
        <v>-15</v>
      </c>
      <c r="I54" s="5">
        <v>61.0</v>
      </c>
      <c r="J54">
        <f>G48</f>
        <v>46</v>
      </c>
    </row>
    <row r="55">
      <c r="C55" s="5" t="s">
        <v>363</v>
      </c>
      <c r="D55" s="5">
        <v>60.0</v>
      </c>
      <c r="G55" t="str">
        <f>H47</f>
        <v>Primal Shadow</v>
      </c>
      <c r="H55" s="15">
        <f t="shared" si="6"/>
        <v>-3</v>
      </c>
      <c r="I55" s="5">
        <v>67.0</v>
      </c>
      <c r="J55">
        <f>H48</f>
        <v>64</v>
      </c>
    </row>
    <row r="56">
      <c r="C56" s="5" t="s">
        <v>366</v>
      </c>
      <c r="D56" s="5">
        <v>35.0</v>
      </c>
      <c r="G56" t="str">
        <f>I49</f>
        <v>Khorium Bar</v>
      </c>
      <c r="H56" s="173">
        <f t="shared" si="6"/>
        <v>8</v>
      </c>
      <c r="I56" s="5">
        <v>18.0</v>
      </c>
      <c r="J56">
        <f>I50</f>
        <v>26</v>
      </c>
    </row>
    <row r="57">
      <c r="C57" s="5" t="s">
        <v>800</v>
      </c>
      <c r="D57" s="5">
        <v>0.0</v>
      </c>
      <c r="E57" s="5">
        <v>40.0</v>
      </c>
      <c r="G57" t="str">
        <f>J47</f>
        <v>Primal Nether</v>
      </c>
      <c r="H57" s="15">
        <f t="shared" si="6"/>
        <v>0</v>
      </c>
      <c r="I57" s="5">
        <v>6.0</v>
      </c>
      <c r="J57">
        <f>J48+J50</f>
        <v>6</v>
      </c>
    </row>
    <row r="58">
      <c r="C58" s="5" t="s">
        <v>801</v>
      </c>
      <c r="D58" s="5">
        <v>0.0</v>
      </c>
      <c r="G58" t="str">
        <f>K47</f>
        <v>Felsteel Bar</v>
      </c>
      <c r="H58" s="173">
        <f t="shared" si="6"/>
        <v>15</v>
      </c>
      <c r="I58" s="5">
        <v>0.0</v>
      </c>
      <c r="J58" s="5">
        <v>15.0</v>
      </c>
    </row>
    <row r="59">
      <c r="C59" s="5" t="s">
        <v>802</v>
      </c>
      <c r="D59" s="5">
        <v>0.0</v>
      </c>
      <c r="G59" t="str">
        <f>L47</f>
        <v>Primal Earth</v>
      </c>
      <c r="H59" s="15">
        <f t="shared" si="6"/>
        <v>-4</v>
      </c>
      <c r="I59" s="5">
        <v>8.0</v>
      </c>
      <c r="J59">
        <f>L48+L50</f>
        <v>4</v>
      </c>
    </row>
    <row r="60">
      <c r="G60" t="str">
        <f>M47</f>
        <v>Adamantite Powder</v>
      </c>
      <c r="H60" s="173">
        <f t="shared" si="6"/>
        <v>16</v>
      </c>
      <c r="I60" s="5">
        <v>0.0</v>
      </c>
      <c r="J60">
        <f>M48+M50</f>
        <v>16</v>
      </c>
    </row>
    <row r="61">
      <c r="G61" t="str">
        <f>N49</f>
        <v>Heavy Knothide Leather</v>
      </c>
      <c r="H61" s="15">
        <f t="shared" si="6"/>
        <v>0</v>
      </c>
      <c r="I61" s="5">
        <v>40.0</v>
      </c>
      <c r="J61">
        <f>N48+N50</f>
        <v>40</v>
      </c>
    </row>
    <row r="62">
      <c r="D62">
        <f>SUM(D51:D61)</f>
        <v>255</v>
      </c>
      <c r="E62" s="5">
        <v>295.0</v>
      </c>
    </row>
    <row r="63">
      <c r="C63" s="5" t="s">
        <v>803</v>
      </c>
      <c r="D63" s="5">
        <v>20.0</v>
      </c>
      <c r="E63" s="5">
        <v>31.0</v>
      </c>
    </row>
    <row r="64">
      <c r="C64" s="5" t="s">
        <v>804</v>
      </c>
      <c r="D64" s="5">
        <v>25.0</v>
      </c>
      <c r="E64" s="5">
        <v>39.0</v>
      </c>
    </row>
    <row r="65">
      <c r="C65" s="5" t="s">
        <v>366</v>
      </c>
      <c r="D65" s="5">
        <v>22.0</v>
      </c>
      <c r="E65" s="5">
        <v>0.0</v>
      </c>
    </row>
    <row r="66">
      <c r="D66">
        <f>E62-D62</f>
        <v>40</v>
      </c>
    </row>
  </sheetData>
  <hyperlinks>
    <hyperlink r:id="rId1" location="teaches-recipe" ref="G20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46</v>
      </c>
      <c r="C1" s="5"/>
      <c r="D1" s="5"/>
      <c r="E1" s="5"/>
      <c r="F1" s="5" t="s">
        <v>46</v>
      </c>
      <c r="H1" s="5"/>
    </row>
    <row r="2">
      <c r="H2" s="5"/>
      <c r="I2" s="5"/>
    </row>
    <row r="3">
      <c r="A3" s="155" t="s">
        <v>741</v>
      </c>
      <c r="B3" s="156"/>
      <c r="C3" s="5" t="s">
        <v>805</v>
      </c>
      <c r="F3" s="155"/>
      <c r="G3" s="156"/>
      <c r="H3" s="5"/>
      <c r="I3" s="5"/>
    </row>
    <row r="4">
      <c r="A4" s="155" t="s">
        <v>1</v>
      </c>
      <c r="B4" s="155">
        <v>1532.0</v>
      </c>
      <c r="F4" s="155"/>
      <c r="G4" s="155"/>
      <c r="H4" s="5"/>
      <c r="I4" s="5"/>
    </row>
    <row r="5">
      <c r="A5" s="155" t="s">
        <v>25</v>
      </c>
      <c r="B5" s="155">
        <v>115.0</v>
      </c>
      <c r="F5" s="155"/>
      <c r="G5" s="155"/>
      <c r="H5" s="5"/>
      <c r="I5" s="5"/>
    </row>
    <row r="6">
      <c r="A6" s="155" t="s">
        <v>495</v>
      </c>
      <c r="B6" s="155">
        <v>45.0</v>
      </c>
      <c r="C6" s="5"/>
      <c r="F6" s="155"/>
      <c r="G6" s="155"/>
      <c r="H6" s="5"/>
    </row>
    <row r="7">
      <c r="A7" s="155" t="s">
        <v>28</v>
      </c>
      <c r="B7" s="155">
        <v>0.0</v>
      </c>
      <c r="C7" s="5"/>
      <c r="F7" s="155"/>
      <c r="G7" s="155"/>
      <c r="H7" s="5"/>
    </row>
    <row r="8">
      <c r="A8" s="155" t="s">
        <v>11</v>
      </c>
      <c r="B8" s="156">
        <f>(((Sheet1!$B$3+(B6*Sheet1!$G$7*Sheet1!$G$8))+B5*Sheet1!$G$2)+((B4+(B7*2))*Sheet1!$G$5))/(1-(Sheet1!$C$2))-(Sheet1!$B$3)/(1-(Sheet1!$C$2))</f>
        <v>7505.599666</v>
      </c>
      <c r="C8" s="151"/>
      <c r="D8" s="5"/>
      <c r="F8" s="155"/>
      <c r="G8" s="156"/>
    </row>
    <row r="9">
      <c r="A9" s="153"/>
      <c r="B9" s="81"/>
      <c r="C9" s="151"/>
    </row>
    <row r="10">
      <c r="A10" s="5" t="s">
        <v>806</v>
      </c>
      <c r="C10" s="5" t="s">
        <v>807</v>
      </c>
      <c r="F10" s="155" t="s">
        <v>808</v>
      </c>
      <c r="G10" s="156"/>
      <c r="H10" s="5" t="s">
        <v>808</v>
      </c>
      <c r="I10" s="5"/>
    </row>
    <row r="11">
      <c r="A11" s="5" t="s">
        <v>1</v>
      </c>
      <c r="B11" s="5">
        <v>1611.0</v>
      </c>
      <c r="C11" s="5"/>
      <c r="F11" s="155" t="s">
        <v>1</v>
      </c>
      <c r="G11" s="155">
        <v>1080.0</v>
      </c>
      <c r="I11" s="5"/>
      <c r="J11" s="5"/>
    </row>
    <row r="12">
      <c r="A12" s="5" t="s">
        <v>25</v>
      </c>
      <c r="B12" s="5">
        <v>119.0</v>
      </c>
      <c r="F12" s="155" t="s">
        <v>25</v>
      </c>
      <c r="G12" s="155">
        <v>77.0</v>
      </c>
      <c r="H12" s="5"/>
      <c r="I12" s="5"/>
      <c r="J12" s="5"/>
    </row>
    <row r="13">
      <c r="A13" s="5" t="s">
        <v>28</v>
      </c>
      <c r="B13" s="5">
        <v>0.0</v>
      </c>
      <c r="E13" s="5"/>
      <c r="F13" s="155" t="s">
        <v>495</v>
      </c>
      <c r="G13" s="155">
        <v>33.0</v>
      </c>
      <c r="I13" s="5"/>
      <c r="J13" s="5"/>
    </row>
    <row r="14">
      <c r="A14" s="5" t="s">
        <v>11</v>
      </c>
      <c r="B14">
        <f>((Sheet1!B3+B12*Sheet1!G2)+((B11+(B13*2))*Sheet1!G5))/(1-(Sheet1!C2))-(Sheet1!B3)/(1-(Sheet1!C2))</f>
        <v>7683.179599</v>
      </c>
      <c r="C14" s="10"/>
      <c r="F14" s="155" t="s">
        <v>28</v>
      </c>
      <c r="G14" s="155">
        <v>14.0</v>
      </c>
      <c r="H14" s="5"/>
      <c r="I14" s="5"/>
      <c r="J14" s="5"/>
    </row>
    <row r="15">
      <c r="A15" s="5"/>
      <c r="F15" s="155" t="s">
        <v>11</v>
      </c>
      <c r="G15" s="156">
        <f>(((Sheet1!$B$3+(G13*Sheet1!$G$7*Sheet1!$G$8))+G12*Sheet1!$G$2)+((G11+(G14*2))*Sheet1!$G$5))/(1-(Sheet1!$C$2))-(Sheet1!$B$3)/(1-(Sheet1!$C$2))</f>
        <v>5269.283278</v>
      </c>
      <c r="H15" s="5"/>
      <c r="I15" s="5"/>
    </row>
    <row r="16">
      <c r="A16" s="5" t="s">
        <v>809</v>
      </c>
      <c r="C16" s="5" t="s">
        <v>810</v>
      </c>
      <c r="F16" s="5"/>
      <c r="H16" s="5"/>
    </row>
    <row r="17">
      <c r="A17" s="5" t="s">
        <v>1</v>
      </c>
      <c r="B17" s="5">
        <v>1611.0</v>
      </c>
      <c r="F17" s="155" t="s">
        <v>811</v>
      </c>
      <c r="G17" s="156"/>
      <c r="H17" s="5" t="s">
        <v>812</v>
      </c>
      <c r="I17" s="5"/>
    </row>
    <row r="18">
      <c r="A18" s="5" t="s">
        <v>25</v>
      </c>
      <c r="B18" s="5">
        <v>124.0</v>
      </c>
      <c r="D18" s="151"/>
      <c r="F18" s="155" t="s">
        <v>1</v>
      </c>
      <c r="G18" s="155">
        <v>1284.0</v>
      </c>
      <c r="I18" s="5"/>
      <c r="J18" s="5"/>
    </row>
    <row r="19">
      <c r="A19" s="5" t="s">
        <v>28</v>
      </c>
      <c r="B19" s="5">
        <v>0.0</v>
      </c>
      <c r="F19" s="155" t="s">
        <v>25</v>
      </c>
      <c r="G19" s="155">
        <v>63.0</v>
      </c>
      <c r="I19" s="5"/>
      <c r="J19" s="5"/>
    </row>
    <row r="20">
      <c r="A20" s="5" t="s">
        <v>11</v>
      </c>
      <c r="B20">
        <f>((Sheet1!$B$3+B18*Sheet1!$G$2)+((B17+(B19*2))*Sheet1!$G$5))/(1-(Sheet1!$C$2))-(Sheet1!$B$3)/(1-(Sheet1!$C$2))</f>
        <v>7813.258194</v>
      </c>
      <c r="F20" s="155" t="s">
        <v>495</v>
      </c>
      <c r="G20" s="155">
        <v>0.0</v>
      </c>
      <c r="I20" s="5"/>
      <c r="J20" s="5"/>
    </row>
    <row r="21">
      <c r="A21" s="154"/>
      <c r="B21" s="80"/>
      <c r="F21" s="155" t="s">
        <v>28</v>
      </c>
      <c r="G21" s="155">
        <v>0.0</v>
      </c>
      <c r="I21" s="5"/>
      <c r="J21" s="5"/>
    </row>
    <row r="22">
      <c r="A22" s="5" t="s">
        <v>813</v>
      </c>
      <c r="C22" s="5" t="s">
        <v>814</v>
      </c>
      <c r="F22" s="155" t="s">
        <v>11</v>
      </c>
      <c r="G22" s="156">
        <f>(((Sheet1!$B$3+(G20*Sheet1!$G$7*Sheet1!$G$8))+G19*Sheet1!$G$2)+((G18+(G21*2))*Sheet1!$G$5))/(1-(Sheet1!$C$2))-(Sheet1!$B$3)/(1-(Sheet1!$C$2))</f>
        <v>5295.169565</v>
      </c>
      <c r="I22" s="5">
        <f>6400/G22</f>
        <v>1.208648736</v>
      </c>
    </row>
    <row r="23">
      <c r="A23" s="5" t="s">
        <v>1</v>
      </c>
      <c r="B23" s="5">
        <v>1178.0</v>
      </c>
      <c r="F23" s="5"/>
    </row>
    <row r="24">
      <c r="A24" s="5" t="s">
        <v>25</v>
      </c>
      <c r="B24" s="5">
        <v>84.0</v>
      </c>
      <c r="F24" s="155" t="s">
        <v>815</v>
      </c>
      <c r="G24" s="156"/>
      <c r="H24" s="5" t="s">
        <v>816</v>
      </c>
      <c r="I24" s="5"/>
    </row>
    <row r="25">
      <c r="A25" s="5" t="s">
        <v>28</v>
      </c>
      <c r="B25" s="5">
        <v>0.0</v>
      </c>
      <c r="C25" s="5"/>
      <c r="D25" s="5"/>
      <c r="E25" s="5"/>
      <c r="F25" s="155" t="s">
        <v>1</v>
      </c>
      <c r="G25" s="155">
        <v>946.0</v>
      </c>
      <c r="I25" s="5"/>
      <c r="J25" s="5"/>
    </row>
    <row r="26">
      <c r="A26" s="5" t="s">
        <v>11</v>
      </c>
      <c r="B26">
        <f>((Sheet1!$B$3+B24*Sheet1!$G$2)+((B23+(B25*2))*Sheet1!$G$5))/(1-(Sheet1!$C$2))-(Sheet1!$B$3)/(1-(Sheet1!$C$2))</f>
        <v>5539.665552</v>
      </c>
      <c r="C26" s="5"/>
      <c r="E26" s="5"/>
      <c r="F26" s="155" t="s">
        <v>25</v>
      </c>
      <c r="G26" s="155">
        <v>71.0</v>
      </c>
      <c r="I26" s="5"/>
      <c r="J26" s="5"/>
    </row>
    <row r="27">
      <c r="D27" s="5"/>
      <c r="F27" s="155" t="s">
        <v>495</v>
      </c>
      <c r="G27" s="155">
        <v>0.0</v>
      </c>
      <c r="I27" s="5"/>
      <c r="J27" s="5"/>
    </row>
    <row r="28">
      <c r="A28" s="5" t="s">
        <v>817</v>
      </c>
      <c r="C28" s="5" t="s">
        <v>808</v>
      </c>
      <c r="F28" s="155" t="s">
        <v>28</v>
      </c>
      <c r="G28" s="155">
        <v>0.0</v>
      </c>
      <c r="I28" s="5"/>
      <c r="J28" s="5"/>
    </row>
    <row r="29">
      <c r="A29" s="5" t="s">
        <v>1</v>
      </c>
      <c r="B29" s="5">
        <v>1227.0</v>
      </c>
      <c r="F29" s="155" t="s">
        <v>11</v>
      </c>
      <c r="G29" s="156">
        <f>(((Sheet1!$B$3+(G27*Sheet1!$G$7*Sheet1!$G$8))+G26*Sheet1!$G$2)+((G25+(G28*2))*Sheet1!$G$5))/(1-(Sheet1!$C$2))-(Sheet1!$B$3)/(1-(Sheet1!$C$2))</f>
        <v>4540.843144</v>
      </c>
      <c r="I29" s="5"/>
    </row>
    <row r="30">
      <c r="A30" s="5" t="s">
        <v>25</v>
      </c>
      <c r="B30" s="5">
        <v>83.0</v>
      </c>
      <c r="I30" s="5"/>
    </row>
    <row r="31">
      <c r="A31" s="5" t="s">
        <v>28</v>
      </c>
      <c r="B31" s="5">
        <v>17.0</v>
      </c>
      <c r="F31" s="174" t="s">
        <v>818</v>
      </c>
      <c r="G31" s="175"/>
      <c r="H31" s="5" t="s">
        <v>489</v>
      </c>
    </row>
    <row r="32">
      <c r="A32" s="5" t="s">
        <v>11</v>
      </c>
      <c r="B32">
        <f>((Sheet1!$B$3+B30*Sheet1!$G$2)+((B29+(B31*2))*Sheet1!$G$5))/(1-(Sheet1!$C$2))-(Sheet1!$B$3)/(1-(Sheet1!$C$2))</f>
        <v>5749.991639</v>
      </c>
      <c r="F32" s="155" t="s">
        <v>1</v>
      </c>
      <c r="G32" s="155">
        <v>1227.0</v>
      </c>
    </row>
    <row r="33">
      <c r="F33" s="155" t="s">
        <v>25</v>
      </c>
      <c r="G33" s="155">
        <v>67.0</v>
      </c>
    </row>
    <row r="34">
      <c r="A34" s="11" t="s">
        <v>819</v>
      </c>
      <c r="B34" s="80"/>
      <c r="C34" s="5" t="s">
        <v>812</v>
      </c>
      <c r="F34" s="155" t="s">
        <v>495</v>
      </c>
      <c r="G34" s="155">
        <v>0.0</v>
      </c>
    </row>
    <row r="35">
      <c r="A35" s="80" t="s">
        <v>1</v>
      </c>
      <c r="B35" s="176">
        <v>1336.0</v>
      </c>
      <c r="F35" s="155" t="s">
        <v>28</v>
      </c>
      <c r="G35" s="155">
        <v>24.0</v>
      </c>
    </row>
    <row r="36">
      <c r="A36" s="80" t="s">
        <v>25</v>
      </c>
      <c r="B36" s="176">
        <v>83.0</v>
      </c>
      <c r="F36" s="155" t="s">
        <v>11</v>
      </c>
      <c r="G36" s="156">
        <f>(((Sheet1!$B$3+(G34*Sheet1!$G$7*Sheet1!$G$8))+G33*Sheet1!$G$2)+((G32+(G35*2))*Sheet1!$G$5))/(1-(Sheet1!$C$2))-(Sheet1!$B$3)/(1-(Sheet1!$C$2))</f>
        <v>5373.605017</v>
      </c>
      <c r="I36">
        <f>G36/G22</f>
        <v>1.014812642</v>
      </c>
    </row>
    <row r="37">
      <c r="A37" s="80" t="s">
        <v>28</v>
      </c>
      <c r="B37" s="81">
        <v>0.0</v>
      </c>
    </row>
    <row r="38">
      <c r="A38" s="80" t="s">
        <v>11</v>
      </c>
      <c r="B38" s="81">
        <f>((Sheet1!$B$3+B36*Sheet1!$G$2)+((B35+(B37*2))*Sheet1!$G$5))/(1-(Sheet1!$C$2))-(Sheet1!$B$3)/(1-(Sheet1!$C$2))</f>
        <v>5963.553512</v>
      </c>
      <c r="F38" s="155" t="s">
        <v>813</v>
      </c>
      <c r="G38" s="156"/>
      <c r="H38" s="5" t="s">
        <v>820</v>
      </c>
    </row>
    <row r="39">
      <c r="F39" s="155" t="s">
        <v>1</v>
      </c>
      <c r="G39" s="155">
        <v>1030.0</v>
      </c>
    </row>
    <row r="40">
      <c r="A40" s="177" t="s">
        <v>818</v>
      </c>
      <c r="B40" s="178"/>
      <c r="C40" s="5" t="s">
        <v>489</v>
      </c>
      <c r="F40" s="155" t="s">
        <v>25</v>
      </c>
      <c r="G40" s="155">
        <v>78.0</v>
      </c>
    </row>
    <row r="41">
      <c r="A41" s="178" t="s">
        <v>1</v>
      </c>
      <c r="B41" s="179">
        <v>1355.0</v>
      </c>
      <c r="F41" s="155" t="s">
        <v>495</v>
      </c>
      <c r="G41" s="155">
        <v>0.0</v>
      </c>
    </row>
    <row r="42">
      <c r="A42" s="178" t="s">
        <v>25</v>
      </c>
      <c r="B42" s="179">
        <v>78.0</v>
      </c>
      <c r="F42" s="155" t="s">
        <v>28</v>
      </c>
      <c r="G42" s="155">
        <v>0.0</v>
      </c>
    </row>
    <row r="43">
      <c r="A43" s="178" t="s">
        <v>28</v>
      </c>
      <c r="B43" s="179">
        <v>28.0</v>
      </c>
      <c r="F43" s="155" t="s">
        <v>11</v>
      </c>
      <c r="G43" s="156">
        <f>(((Sheet1!$B$3+(G41*Sheet1!$G$7*Sheet1!$G$8))+G40*Sheet1!$G$2)+((G39+(G42*2))*Sheet1!$G$5))/(1-(Sheet1!$C$2))-(Sheet1!$B$3)/(1-(Sheet1!$C$2))</f>
        <v>4962.142475</v>
      </c>
    </row>
    <row r="44">
      <c r="A44" s="178" t="s">
        <v>11</v>
      </c>
      <c r="B44" s="180">
        <f>((Sheet1!$B$3+B42*Sheet1!$G$2)+((B41+(B43*2))*Sheet1!$G$5))/(1-(Sheet1!$C$2))-(Sheet1!$B$3)/(1-(Sheet1!$C$2))</f>
        <v>6047.036789</v>
      </c>
    </row>
    <row r="45">
      <c r="F45" s="155" t="s">
        <v>821</v>
      </c>
      <c r="G45" s="156"/>
      <c r="H45" s="5" t="s">
        <v>822</v>
      </c>
    </row>
    <row r="46">
      <c r="A46" s="11" t="s">
        <v>821</v>
      </c>
      <c r="B46" s="80"/>
      <c r="C46" s="5" t="s">
        <v>822</v>
      </c>
      <c r="F46" s="155" t="s">
        <v>1</v>
      </c>
      <c r="G46" s="155">
        <v>1080.0</v>
      </c>
    </row>
    <row r="47">
      <c r="A47" s="80" t="s">
        <v>1</v>
      </c>
      <c r="B47" s="176">
        <v>1227.0</v>
      </c>
      <c r="F47" s="155" t="s">
        <v>25</v>
      </c>
      <c r="G47" s="155">
        <v>78.0</v>
      </c>
    </row>
    <row r="48">
      <c r="A48" s="80" t="s">
        <v>25</v>
      </c>
      <c r="B48" s="176">
        <v>85.0</v>
      </c>
      <c r="F48" s="155" t="s">
        <v>495</v>
      </c>
      <c r="G48" s="155">
        <v>0.0</v>
      </c>
    </row>
    <row r="49">
      <c r="A49" s="80" t="s">
        <v>28</v>
      </c>
      <c r="B49" s="176">
        <v>0.0</v>
      </c>
      <c r="F49" s="155" t="s">
        <v>28</v>
      </c>
      <c r="G49" s="155">
        <v>0.0</v>
      </c>
    </row>
    <row r="50">
      <c r="A50" s="80" t="s">
        <v>11</v>
      </c>
      <c r="B50" s="81">
        <f>((Sheet1!$B$3+B48*Sheet1!$G$2)+((B47+(B49*2))*Sheet1!$G$5))/(1-(Sheet1!$C$2))-(Sheet1!$B$3)/(1-(Sheet1!$C$2))</f>
        <v>5705.208361</v>
      </c>
      <c r="F50" s="155" t="s">
        <v>11</v>
      </c>
      <c r="G50" s="156">
        <f>(((Sheet1!$B$3+(G48*Sheet1!$G$7*Sheet1!$G$8))+G47*Sheet1!$G$2)+((G46+(G49*2))*Sheet1!$G$5))/(1-(Sheet1!$C$2))-(Sheet1!$B$3)/(1-(Sheet1!$C$2))</f>
        <v>5104.517057</v>
      </c>
    </row>
    <row r="52">
      <c r="A52" s="177" t="s">
        <v>815</v>
      </c>
      <c r="B52" s="178"/>
      <c r="C52" s="5" t="s">
        <v>823</v>
      </c>
      <c r="F52" s="5" t="s">
        <v>819</v>
      </c>
      <c r="H52" s="5" t="s">
        <v>812</v>
      </c>
      <c r="J52" s="5" t="s">
        <v>824</v>
      </c>
    </row>
    <row r="53">
      <c r="A53" s="178" t="s">
        <v>1</v>
      </c>
      <c r="B53" s="179">
        <v>1296.0</v>
      </c>
      <c r="F53" s="155" t="s">
        <v>1</v>
      </c>
      <c r="G53" s="155">
        <v>1366.0</v>
      </c>
      <c r="J53" s="5" t="s">
        <v>753</v>
      </c>
    </row>
    <row r="54">
      <c r="A54" s="178" t="s">
        <v>25</v>
      </c>
      <c r="B54" s="179">
        <v>87.0</v>
      </c>
      <c r="F54" s="155" t="s">
        <v>25</v>
      </c>
      <c r="G54" s="155">
        <v>83.0</v>
      </c>
      <c r="J54" s="5" t="s">
        <v>825</v>
      </c>
    </row>
    <row r="55">
      <c r="A55" s="178" t="s">
        <v>28</v>
      </c>
      <c r="B55" s="179">
        <v>0.0</v>
      </c>
      <c r="F55" s="155" t="s">
        <v>495</v>
      </c>
      <c r="G55" s="155">
        <v>45.0</v>
      </c>
      <c r="J55" s="5" t="s">
        <v>751</v>
      </c>
    </row>
    <row r="56">
      <c r="A56" s="178" t="s">
        <v>11</v>
      </c>
      <c r="B56" s="180">
        <f>((Sheet1!$B$3+B54*Sheet1!$G$2)+((B53+(B55*2))*Sheet1!$G$5))/(1-(Sheet1!$C$2))-(Sheet1!$B$3)/(1-(Sheet1!$C$2))</f>
        <v>5953.716722</v>
      </c>
      <c r="F56" s="155" t="s">
        <v>28</v>
      </c>
      <c r="G56" s="155">
        <v>0.0</v>
      </c>
    </row>
    <row r="57">
      <c r="F57" s="155" t="s">
        <v>11</v>
      </c>
      <c r="G57" s="156">
        <f>(((Sheet1!$B$3+(G55*Sheet1!$G$7*Sheet1!$G$8))+G54*Sheet1!$G$2)+((G53+(G56*2))*Sheet1!$G$5))/(1-(Sheet1!$C$2))-(Sheet1!$B$3)/(1-(Sheet1!$C$2))</f>
        <v>6200.413043</v>
      </c>
    </row>
    <row r="58">
      <c r="A58" s="155" t="s">
        <v>741</v>
      </c>
      <c r="B58" s="156"/>
      <c r="C58" s="5" t="s">
        <v>496</v>
      </c>
    </row>
    <row r="59">
      <c r="A59" s="155" t="s">
        <v>1</v>
      </c>
      <c r="B59" s="155">
        <v>1483.0</v>
      </c>
      <c r="F59" s="5" t="s">
        <v>826</v>
      </c>
      <c r="H59" s="5" t="s">
        <v>827</v>
      </c>
    </row>
    <row r="60">
      <c r="A60" s="155" t="s">
        <v>25</v>
      </c>
      <c r="B60" s="155">
        <v>78.0</v>
      </c>
      <c r="F60" s="155" t="s">
        <v>1</v>
      </c>
      <c r="G60" s="155">
        <v>1129.0</v>
      </c>
    </row>
    <row r="61">
      <c r="A61" s="155" t="s">
        <v>495</v>
      </c>
      <c r="B61" s="155">
        <v>35.0</v>
      </c>
      <c r="F61" s="155" t="s">
        <v>25</v>
      </c>
      <c r="G61" s="155">
        <v>78.0</v>
      </c>
    </row>
    <row r="62">
      <c r="A62" s="155" t="s">
        <v>28</v>
      </c>
      <c r="B62" s="155">
        <v>28.0</v>
      </c>
      <c r="D62" s="5"/>
      <c r="F62" s="155" t="s">
        <v>495</v>
      </c>
      <c r="G62" s="155">
        <v>0.0</v>
      </c>
    </row>
    <row r="63">
      <c r="A63" s="155" t="s">
        <v>11</v>
      </c>
      <c r="B63" s="156">
        <f>(((Sheet1!$B$3+(B61*Sheet1!$G$7*Sheet1!$G$8))+B60*Sheet1!$G$2)+((B59+(B62*2))*Sheet1!$G$5))/(1-(Sheet1!$C$2))-(Sheet1!$B$3)/(1-(Sheet1!$C$2))</f>
        <v>6529.298328</v>
      </c>
      <c r="F63" s="155" t="s">
        <v>28</v>
      </c>
      <c r="G63" s="155">
        <v>0.0</v>
      </c>
    </row>
    <row r="64">
      <c r="A64" s="5"/>
      <c r="F64" s="155" t="s">
        <v>11</v>
      </c>
      <c r="G64" s="156">
        <f>(((Sheet1!$B$3+(G62*Sheet1!$G$7*Sheet1!$G$8))+G61*Sheet1!$G$2)+((G60+(G63*2))*Sheet1!$G$5))/(1-(Sheet1!$C$2))-(Sheet1!$B$3)/(1-(Sheet1!$C$2))</f>
        <v>5244.044147</v>
      </c>
    </row>
    <row r="65">
      <c r="A65" s="155" t="s">
        <v>811</v>
      </c>
      <c r="B65" s="156"/>
      <c r="C65" s="5" t="s">
        <v>812</v>
      </c>
    </row>
    <row r="66">
      <c r="A66" s="155" t="s">
        <v>1</v>
      </c>
      <c r="B66" s="155">
        <v>1284.0</v>
      </c>
      <c r="F66" s="181" t="s">
        <v>828</v>
      </c>
      <c r="H66" s="5" t="s">
        <v>829</v>
      </c>
    </row>
    <row r="67">
      <c r="A67" s="155" t="s">
        <v>25</v>
      </c>
      <c r="B67" s="155">
        <v>63.0</v>
      </c>
      <c r="F67" s="155" t="s">
        <v>1</v>
      </c>
      <c r="G67" s="155">
        <v>1385.0</v>
      </c>
    </row>
    <row r="68">
      <c r="A68" s="155" t="s">
        <v>495</v>
      </c>
      <c r="B68" s="155">
        <v>0.0</v>
      </c>
      <c r="F68" s="155" t="s">
        <v>25</v>
      </c>
      <c r="G68" s="155">
        <v>84.0</v>
      </c>
    </row>
    <row r="69">
      <c r="A69" s="155" t="s">
        <v>28</v>
      </c>
      <c r="B69" s="155">
        <v>0.0</v>
      </c>
      <c r="F69" s="155" t="s">
        <v>495</v>
      </c>
      <c r="G69" s="155">
        <v>0.0</v>
      </c>
    </row>
    <row r="70">
      <c r="A70" s="155" t="s">
        <v>11</v>
      </c>
      <c r="B70" s="156">
        <f>(((Sheet1!$B$3+(B68*Sheet1!$G$7*Sheet1!$G$8))+B67*Sheet1!$G$2)+((B66+(B69*2))*Sheet1!$G$5))/(1-(Sheet1!$C$2))-(Sheet1!$B$3)/(1-(Sheet1!$C$2))</f>
        <v>5295.169565</v>
      </c>
      <c r="F70" s="155" t="s">
        <v>28</v>
      </c>
      <c r="G70" s="155">
        <v>0.0</v>
      </c>
    </row>
    <row r="71">
      <c r="F71" s="155" t="s">
        <v>11</v>
      </c>
      <c r="G71" s="156">
        <f>(((Sheet1!$B$3+(G69*Sheet1!$G$7*Sheet1!$G$8))+G68*Sheet1!$G$2)+((G67+(G70*2))*Sheet1!$G$5))/(1-(Sheet1!$C$2))-(Sheet1!$B$3)/(1-(Sheet1!$C$2))</f>
        <v>6129.096321</v>
      </c>
    </row>
    <row r="72">
      <c r="A72" s="5" t="s">
        <v>830</v>
      </c>
    </row>
    <row r="73">
      <c r="A73" s="5" t="s">
        <v>1</v>
      </c>
      <c r="B73" s="5">
        <v>1355.0</v>
      </c>
      <c r="F73" s="5" t="s">
        <v>831</v>
      </c>
    </row>
    <row r="74">
      <c r="A74" s="5" t="s">
        <v>25</v>
      </c>
      <c r="B74" s="5">
        <v>105.0</v>
      </c>
      <c r="C74" s="5" t="s">
        <v>832</v>
      </c>
      <c r="F74" s="155" t="s">
        <v>1</v>
      </c>
      <c r="G74" s="155">
        <v>0.0</v>
      </c>
    </row>
    <row r="75">
      <c r="A75" s="5" t="s">
        <v>495</v>
      </c>
      <c r="B75" s="5">
        <v>51.0</v>
      </c>
      <c r="F75" s="155" t="s">
        <v>25</v>
      </c>
      <c r="G75" s="155">
        <v>85.8</v>
      </c>
    </row>
    <row r="76">
      <c r="A76" s="5" t="s">
        <v>28</v>
      </c>
      <c r="B76" s="5">
        <v>0.0</v>
      </c>
      <c r="F76" s="155" t="s">
        <v>495</v>
      </c>
      <c r="G76" s="155">
        <v>0.0</v>
      </c>
    </row>
    <row r="77">
      <c r="A77" s="5" t="s">
        <v>11</v>
      </c>
      <c r="B77">
        <f>(((Sheet1!$B$3+(B75*Sheet1!$G$7*Sheet1!$G$8))+B74*Sheet1!$G$2)+((B73+(B76*2))*Sheet1!$G$5))/(1-(Sheet1!$C$2))-(Sheet1!$B$3)/(1-(Sheet1!$C$2))</f>
        <v>6761.627759</v>
      </c>
      <c r="F77" s="155" t="s">
        <v>28</v>
      </c>
      <c r="G77" s="155">
        <v>0.0</v>
      </c>
    </row>
    <row r="78">
      <c r="F78" s="155" t="s">
        <v>11</v>
      </c>
      <c r="G78" s="156">
        <f>(((Sheet1!$B$3+(G76*Sheet1!$G$7*Sheet1!$G$8))+G75*Sheet1!$G$2)+((G74+(G77*2))*Sheet1!$G$5))/(1-(Sheet1!$C$2))-(Sheet1!$B$3)/(1-(Sheet1!$C$2))</f>
        <v>2232.148696</v>
      </c>
    </row>
  </sheetData>
  <conditionalFormatting sqref="G15 G22 G29 G36 G43 G50 G57 G64 G71 G7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49</v>
      </c>
      <c r="C1" s="5"/>
      <c r="D1" s="5"/>
      <c r="E1" s="5"/>
      <c r="F1" s="5"/>
      <c r="G1" s="5"/>
      <c r="H1" s="5"/>
    </row>
    <row r="3">
      <c r="A3" s="5" t="s">
        <v>19</v>
      </c>
      <c r="G3" s="5" t="s">
        <v>833</v>
      </c>
    </row>
    <row r="4">
      <c r="A4" s="5" t="s">
        <v>1</v>
      </c>
      <c r="B4" s="5">
        <v>0.0</v>
      </c>
      <c r="G4" s="155" t="s">
        <v>1</v>
      </c>
      <c r="H4" s="155">
        <v>0.0</v>
      </c>
    </row>
    <row r="5">
      <c r="A5" s="5" t="s">
        <v>25</v>
      </c>
      <c r="B5" s="5">
        <v>48.0</v>
      </c>
      <c r="G5" s="155" t="s">
        <v>25</v>
      </c>
      <c r="H5" s="155">
        <v>40.0</v>
      </c>
    </row>
    <row r="6">
      <c r="A6" s="5" t="s">
        <v>28</v>
      </c>
      <c r="B6" s="5">
        <v>0.0</v>
      </c>
      <c r="C6" s="5"/>
      <c r="G6" s="155" t="s">
        <v>495</v>
      </c>
      <c r="H6" s="155">
        <v>0.0</v>
      </c>
    </row>
    <row r="7">
      <c r="A7" s="5" t="s">
        <v>11</v>
      </c>
      <c r="B7">
        <f>((Sheet1!B3+B5*Sheet1!G2)+((B4+(B6*2))*Sheet1!G5))/(1-(Sheet1!C2))-(Sheet1!B3)/(1-(Sheet1!C2))</f>
        <v>1248.754515</v>
      </c>
      <c r="C7" s="151"/>
      <c r="D7" s="5"/>
      <c r="G7" s="155" t="s">
        <v>28</v>
      </c>
      <c r="H7" s="155">
        <v>0.0</v>
      </c>
    </row>
    <row r="8">
      <c r="A8" s="153"/>
      <c r="B8" s="81"/>
      <c r="C8" s="151"/>
      <c r="G8" s="155" t="s">
        <v>11</v>
      </c>
      <c r="H8" s="156">
        <f>(((Sheet1!$B$3+(H6*Sheet1!$G$7*Sheet1!$G$8))+H5*Sheet1!$G$2)+((H4+(H7*2))*Sheet1!$G$5))/(1-(Sheet1!$C$2))-(Sheet1!$B$3)/(1-(Sheet1!$C$2))</f>
        <v>1040.628763</v>
      </c>
    </row>
    <row r="9">
      <c r="A9" s="5" t="s">
        <v>834</v>
      </c>
      <c r="C9" s="5"/>
    </row>
    <row r="10">
      <c r="A10" s="5" t="s">
        <v>1</v>
      </c>
      <c r="B10" s="5">
        <v>0.0</v>
      </c>
      <c r="C10" s="5"/>
      <c r="G10" s="5" t="s">
        <v>835</v>
      </c>
    </row>
    <row r="11">
      <c r="A11" s="5" t="s">
        <v>25</v>
      </c>
      <c r="B11" s="5">
        <v>50.0</v>
      </c>
      <c r="G11" s="155" t="s">
        <v>1</v>
      </c>
      <c r="H11" s="155">
        <v>0.0</v>
      </c>
    </row>
    <row r="12">
      <c r="A12" s="5" t="s">
        <v>28</v>
      </c>
      <c r="B12" s="5">
        <v>21.0</v>
      </c>
      <c r="E12" s="5"/>
      <c r="F12" s="5"/>
      <c r="G12" s="155" t="s">
        <v>25</v>
      </c>
      <c r="H12" s="155">
        <v>36.0</v>
      </c>
    </row>
    <row r="13">
      <c r="A13" s="5" t="s">
        <v>11</v>
      </c>
      <c r="B13">
        <f>((Sheet1!B3+B11*Sheet1!G2)+((B10+(B12*2))*Sheet1!G5))/(1-(Sheet1!C2))-(Sheet1!B3)/(1-(Sheet1!C2))</f>
        <v>1420.380602</v>
      </c>
      <c r="C13" s="10"/>
      <c r="F13" s="182"/>
      <c r="G13" s="155" t="s">
        <v>495</v>
      </c>
      <c r="H13" s="155">
        <v>0.0</v>
      </c>
    </row>
    <row r="14">
      <c r="A14" s="5"/>
      <c r="G14" s="155" t="s">
        <v>28</v>
      </c>
      <c r="H14" s="155">
        <v>0.0</v>
      </c>
    </row>
    <row r="15">
      <c r="A15" s="5" t="s">
        <v>836</v>
      </c>
      <c r="G15" s="155" t="s">
        <v>11</v>
      </c>
      <c r="H15" s="156">
        <f>(((Sheet1!$B$3+(H13*Sheet1!$G$7*Sheet1!$G$8))+H12*Sheet1!$G$2)+((H11+(H14*2))*Sheet1!$G$5))/(1-(Sheet1!$C$2))-(Sheet1!$B$3)/(1-(Sheet1!$C$2))</f>
        <v>936.5658863</v>
      </c>
    </row>
    <row r="16">
      <c r="A16" s="5" t="s">
        <v>1</v>
      </c>
      <c r="B16" s="5">
        <v>0.0</v>
      </c>
      <c r="G16" s="174" t="s">
        <v>837</v>
      </c>
      <c r="H16" s="175"/>
    </row>
    <row r="17">
      <c r="A17" s="5" t="s">
        <v>25</v>
      </c>
      <c r="B17" s="5">
        <v>63.0</v>
      </c>
      <c r="G17" s="155" t="s">
        <v>1</v>
      </c>
      <c r="H17" s="155">
        <v>0.0</v>
      </c>
    </row>
    <row r="18">
      <c r="A18" s="5" t="s">
        <v>28</v>
      </c>
      <c r="B18" s="5">
        <v>0.0</v>
      </c>
      <c r="G18" s="155" t="s">
        <v>25</v>
      </c>
      <c r="H18" s="155">
        <v>42.0</v>
      </c>
    </row>
    <row r="19">
      <c r="A19" s="5" t="s">
        <v>11</v>
      </c>
      <c r="B19">
        <f>((Sheet1!B3+B17*Sheet1!G2)+((B16+(B18*2))*Sheet1!G5))/(1-(Sheet1!C2))-(Sheet1!B3)/(1-(Sheet1!C2))</f>
        <v>1638.990301</v>
      </c>
      <c r="G19" s="155" t="s">
        <v>495</v>
      </c>
      <c r="H19" s="155">
        <v>0.0</v>
      </c>
    </row>
    <row r="20">
      <c r="A20" s="154"/>
      <c r="B20" s="80"/>
      <c r="G20" s="155" t="s">
        <v>28</v>
      </c>
      <c r="H20" s="155">
        <v>0.0</v>
      </c>
    </row>
    <row r="21">
      <c r="A21" s="11" t="s">
        <v>833</v>
      </c>
      <c r="B21" s="80"/>
      <c r="C21" s="5" t="s">
        <v>838</v>
      </c>
      <c r="G21" s="155" t="s">
        <v>11</v>
      </c>
      <c r="H21" s="156">
        <f>(((Sheet1!$B$3+(H19*Sheet1!$G$7*Sheet1!$G$8))+H18*Sheet1!$G$2)+((H17+(H20*2))*Sheet1!$G$5))/(1-(Sheet1!$C$2))-(Sheet1!$B$3)/(1-(Sheet1!$C$2))</f>
        <v>1092.660201</v>
      </c>
    </row>
    <row r="22">
      <c r="A22" s="80" t="s">
        <v>1</v>
      </c>
      <c r="B22" s="176">
        <v>0.0</v>
      </c>
    </row>
    <row r="23">
      <c r="A23" s="80" t="s">
        <v>25</v>
      </c>
      <c r="B23" s="176">
        <v>40.0</v>
      </c>
      <c r="G23" s="155"/>
      <c r="H23" s="155"/>
    </row>
    <row r="24">
      <c r="A24" s="80" t="s">
        <v>28</v>
      </c>
      <c r="B24" s="176">
        <v>0.0</v>
      </c>
      <c r="G24" s="155"/>
      <c r="H24" s="155"/>
    </row>
    <row r="25">
      <c r="A25" s="80" t="s">
        <v>11</v>
      </c>
      <c r="B25" s="81">
        <f>((Sheet1!$B$3+B23*Sheet1!$G$2)+((B22+(B24*2))*Sheet1!$G$5))/(1-(Sheet1!$C$2))-(Sheet1!$B$3)/(1-(Sheet1!$C$2))</f>
        <v>1040.628763</v>
      </c>
      <c r="G25" s="155"/>
      <c r="H25" s="155"/>
    </row>
    <row r="26">
      <c r="G26" s="155"/>
      <c r="H26" s="155"/>
    </row>
    <row r="27">
      <c r="A27" s="11" t="s">
        <v>835</v>
      </c>
      <c r="B27" s="80"/>
      <c r="C27" s="5" t="s">
        <v>839</v>
      </c>
      <c r="G27" s="155"/>
      <c r="H27" s="156"/>
    </row>
    <row r="28">
      <c r="A28" s="80" t="s">
        <v>1</v>
      </c>
      <c r="B28" s="176">
        <v>0.0</v>
      </c>
    </row>
    <row r="29">
      <c r="A29" s="80" t="s">
        <v>25</v>
      </c>
      <c r="B29" s="176">
        <v>39.0</v>
      </c>
      <c r="G29" s="183" t="s">
        <v>840</v>
      </c>
      <c r="I29" s="5" t="s">
        <v>829</v>
      </c>
    </row>
    <row r="30">
      <c r="A30" s="80" t="s">
        <v>28</v>
      </c>
      <c r="B30" s="176">
        <v>0.0</v>
      </c>
      <c r="G30" s="155" t="s">
        <v>1</v>
      </c>
      <c r="H30" s="155">
        <v>0.0</v>
      </c>
    </row>
    <row r="31">
      <c r="A31" s="80" t="s">
        <v>11</v>
      </c>
      <c r="B31" s="81">
        <f>((Sheet1!$B$3+B29*Sheet1!$G$2)+((B28+(B30*2))*Sheet1!$G$5))/(1-(Sheet1!$C$2))-(Sheet1!$B$3)/(1-(Sheet1!$C$2))</f>
        <v>1014.613043</v>
      </c>
      <c r="G31" s="155" t="s">
        <v>25</v>
      </c>
      <c r="H31" s="155">
        <v>43.0</v>
      </c>
    </row>
    <row r="32">
      <c r="G32" s="155" t="s">
        <v>495</v>
      </c>
      <c r="H32" s="155">
        <v>0.0</v>
      </c>
    </row>
    <row r="33">
      <c r="A33" s="177" t="s">
        <v>837</v>
      </c>
      <c r="B33" s="178"/>
      <c r="C33" s="5" t="s">
        <v>841</v>
      </c>
      <c r="G33" s="155" t="s">
        <v>28</v>
      </c>
      <c r="H33" s="155">
        <v>0.0</v>
      </c>
    </row>
    <row r="34">
      <c r="A34" s="178" t="s">
        <v>1</v>
      </c>
      <c r="B34" s="179">
        <v>0.0</v>
      </c>
      <c r="G34" s="155" t="s">
        <v>11</v>
      </c>
      <c r="H34" s="156">
        <f>(((Sheet1!$B$3+(H32*Sheet1!$G$7*Sheet1!$G$8))+H31*Sheet1!$G$2)+((H30+(H33*2))*Sheet1!$G$5))/(1-(Sheet1!$C$2))-(Sheet1!$B$3)/(1-(Sheet1!$C$2))</f>
        <v>1118.67592</v>
      </c>
    </row>
    <row r="35">
      <c r="A35" s="178" t="s">
        <v>25</v>
      </c>
      <c r="B35" s="179">
        <v>45.0</v>
      </c>
    </row>
    <row r="36">
      <c r="A36" s="178" t="s">
        <v>28</v>
      </c>
      <c r="B36" s="179">
        <v>0.0</v>
      </c>
    </row>
    <row r="37">
      <c r="A37" s="178" t="s">
        <v>11</v>
      </c>
      <c r="B37" s="180">
        <f>((Sheet1!$B$3+B35*Sheet1!$G$2)+((B34+(B36*2))*Sheet1!$G$5))/(1-(Sheet1!$C$2))-(Sheet1!$B$3)/(1-(Sheet1!$C$2))</f>
        <v>1170.707358</v>
      </c>
    </row>
    <row r="39">
      <c r="A39" s="184" t="s">
        <v>842</v>
      </c>
      <c r="B39" s="184"/>
      <c r="C39" s="5" t="s">
        <v>843</v>
      </c>
    </row>
    <row r="40">
      <c r="A40" s="185" t="s">
        <v>1</v>
      </c>
      <c r="B40" s="186">
        <v>0.0</v>
      </c>
    </row>
    <row r="41">
      <c r="A41" s="185" t="s">
        <v>25</v>
      </c>
      <c r="B41" s="186">
        <v>43.0</v>
      </c>
    </row>
    <row r="42">
      <c r="A42" s="185" t="s">
        <v>28</v>
      </c>
      <c r="B42" s="186">
        <v>0.0</v>
      </c>
    </row>
    <row r="43">
      <c r="A43" s="185" t="s">
        <v>11</v>
      </c>
      <c r="B43" s="187">
        <f>((Sheet1!$B$3+B41*Sheet1!$G$2)+((B40+(B42*2))*Sheet1!$G$5))/(1-(Sheet1!$C$2))-(Sheet1!$B$3)/(1-(Sheet1!$C$2))</f>
        <v>1118.67592</v>
      </c>
    </row>
    <row r="45">
      <c r="A45" s="11"/>
      <c r="B45" s="11"/>
      <c r="C45" s="5"/>
    </row>
    <row r="46">
      <c r="A46" s="80"/>
      <c r="B46" s="176"/>
    </row>
    <row r="47">
      <c r="A47" s="80"/>
      <c r="B47" s="176"/>
    </row>
    <row r="48">
      <c r="A48" s="80"/>
      <c r="B48" s="176"/>
    </row>
    <row r="49">
      <c r="A49" s="80"/>
      <c r="B49" s="8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490</v>
      </c>
      <c r="C1" s="5"/>
      <c r="D1" s="5"/>
      <c r="E1" s="5"/>
      <c r="F1" s="5"/>
      <c r="G1" s="5"/>
      <c r="H1" s="5"/>
    </row>
    <row r="3">
      <c r="A3" s="155" t="s">
        <v>844</v>
      </c>
      <c r="B3" s="156"/>
      <c r="C3" s="5" t="s">
        <v>496</v>
      </c>
      <c r="G3" s="155" t="s">
        <v>845</v>
      </c>
      <c r="H3" s="156"/>
      <c r="I3" s="5" t="s">
        <v>846</v>
      </c>
    </row>
    <row r="4">
      <c r="A4" s="155" t="s">
        <v>1</v>
      </c>
      <c r="B4" s="155">
        <v>1369.0</v>
      </c>
      <c r="G4" s="155" t="s">
        <v>1</v>
      </c>
      <c r="H4" s="155">
        <v>873.0</v>
      </c>
    </row>
    <row r="5">
      <c r="A5" s="155" t="s">
        <v>25</v>
      </c>
      <c r="B5" s="155">
        <v>83.0</v>
      </c>
      <c r="G5" s="155" t="s">
        <v>25</v>
      </c>
      <c r="H5" s="155">
        <v>49.0</v>
      </c>
    </row>
    <row r="6">
      <c r="A6" s="155" t="s">
        <v>28</v>
      </c>
      <c r="B6" s="155">
        <v>0.0</v>
      </c>
      <c r="C6" s="5"/>
      <c r="G6" s="155" t="s">
        <v>495</v>
      </c>
      <c r="H6" s="155">
        <v>0.0</v>
      </c>
    </row>
    <row r="7">
      <c r="A7" s="155" t="s">
        <v>11</v>
      </c>
      <c r="B7" s="156">
        <f>((Sheet1!B3+B5*Sheet1!G2)+((B4+(B6*2))*Sheet1!G5))/(1-(Sheet1!C2))-(Sheet1!B3)/(1-(Sheet1!C2))</f>
        <v>6057.520736</v>
      </c>
      <c r="C7" s="151"/>
      <c r="D7" s="5"/>
      <c r="G7" s="155" t="s">
        <v>28</v>
      </c>
      <c r="H7" s="155">
        <v>0.0</v>
      </c>
    </row>
    <row r="8">
      <c r="A8" s="153"/>
      <c r="B8" s="81"/>
      <c r="C8" s="151"/>
      <c r="G8" s="155" t="s">
        <v>11</v>
      </c>
      <c r="H8" s="156">
        <f>(((Sheet1!$B$3+(H6*Sheet1!$G$7*Sheet1!$G$8))+H5*Sheet1!$G$2)+((H4+(H7*2))*Sheet1!$G$5))/(1-(Sheet1!$C$2))-(Sheet1!$B$3)/(1-(Sheet1!$C$2))</f>
        <v>3760.630435</v>
      </c>
    </row>
    <row r="9">
      <c r="A9" s="5" t="s">
        <v>847</v>
      </c>
      <c r="C9" s="5" t="s">
        <v>848</v>
      </c>
    </row>
    <row r="10">
      <c r="A10" s="5" t="s">
        <v>1</v>
      </c>
      <c r="B10" s="5">
        <v>1487.0</v>
      </c>
      <c r="C10" s="5"/>
      <c r="G10" s="5" t="s">
        <v>849</v>
      </c>
      <c r="I10" s="5" t="s">
        <v>850</v>
      </c>
    </row>
    <row r="11">
      <c r="A11" s="5" t="s">
        <v>25</v>
      </c>
      <c r="B11" s="5">
        <v>90.0</v>
      </c>
      <c r="G11" s="155" t="s">
        <v>1</v>
      </c>
      <c r="H11" s="155">
        <v>873.0</v>
      </c>
    </row>
    <row r="12">
      <c r="A12" s="5" t="s">
        <v>495</v>
      </c>
      <c r="B12" s="5">
        <v>68.0</v>
      </c>
      <c r="E12" s="5"/>
      <c r="F12" s="5"/>
      <c r="G12" s="155" t="s">
        <v>25</v>
      </c>
      <c r="H12" s="155">
        <v>46.0</v>
      </c>
    </row>
    <row r="13">
      <c r="A13" s="5" t="s">
        <v>28</v>
      </c>
      <c r="B13" s="5">
        <v>0.0</v>
      </c>
      <c r="E13" s="5"/>
      <c r="F13" s="5"/>
      <c r="G13" s="155" t="s">
        <v>495</v>
      </c>
      <c r="H13" s="155">
        <v>0.0</v>
      </c>
    </row>
    <row r="14">
      <c r="A14" s="5" t="s">
        <v>11</v>
      </c>
      <c r="B14">
        <f>(((Sheet1!B3+(B12*Sheet1!G7*Sheet1!G8))+B11*Sheet1!G2)+((B10+(B13*2))*Sheet1!G5))/(1-(Sheet1!C2))-(Sheet1!B3)/(1-(Sheet1!C2))</f>
        <v>6804.469565</v>
      </c>
      <c r="C14" s="10"/>
      <c r="F14" s="182"/>
      <c r="G14" s="155" t="s">
        <v>28</v>
      </c>
      <c r="H14" s="155">
        <v>0.0</v>
      </c>
    </row>
    <row r="15">
      <c r="A15" s="5"/>
      <c r="G15" s="155" t="s">
        <v>11</v>
      </c>
      <c r="H15" s="156">
        <f>(((Sheet1!$B$3+(H13*Sheet1!$G$7*Sheet1!$G$8))+H12*Sheet1!$G$2)+((H11+(H14*2))*Sheet1!$G$5))/(1-(Sheet1!$C$2))-(Sheet1!$B$3)/(1-(Sheet1!$C$2))</f>
        <v>3682.583278</v>
      </c>
    </row>
    <row r="16">
      <c r="A16" s="177" t="s">
        <v>851</v>
      </c>
      <c r="B16" s="178"/>
      <c r="C16" s="5" t="s">
        <v>489</v>
      </c>
      <c r="G16" s="5"/>
      <c r="H16" s="5"/>
    </row>
    <row r="17">
      <c r="A17" s="178" t="s">
        <v>1</v>
      </c>
      <c r="B17" s="179">
        <v>1251.0</v>
      </c>
      <c r="G17" s="5" t="s">
        <v>852</v>
      </c>
      <c r="I17" s="5" t="s">
        <v>853</v>
      </c>
    </row>
    <row r="18">
      <c r="A18" s="178" t="s">
        <v>25</v>
      </c>
      <c r="B18" s="179">
        <v>68.0</v>
      </c>
      <c r="G18" s="155" t="s">
        <v>1</v>
      </c>
      <c r="H18" s="155">
        <v>887.0</v>
      </c>
    </row>
    <row r="19">
      <c r="A19" s="178" t="s">
        <v>28</v>
      </c>
      <c r="B19" s="179">
        <v>21.0</v>
      </c>
      <c r="G19" s="155" t="s">
        <v>25</v>
      </c>
      <c r="H19" s="155">
        <v>30.0</v>
      </c>
    </row>
    <row r="20">
      <c r="A20" s="178" t="s">
        <v>11</v>
      </c>
      <c r="B20" s="180">
        <f>((Sheet1!$B$3+B18*Sheet1!$G$2)+((B17+(B19*2))*Sheet1!$G$5))/(1-(Sheet1!$C$2))-(Sheet1!$B$3)/(1-(Sheet1!$C$2))</f>
        <v>5450.875585</v>
      </c>
      <c r="G20" s="155" t="s">
        <v>495</v>
      </c>
      <c r="H20" s="155">
        <v>0.0</v>
      </c>
    </row>
    <row r="21">
      <c r="A21" s="154"/>
      <c r="B21" s="80"/>
      <c r="G21" s="155" t="s">
        <v>28</v>
      </c>
      <c r="H21" s="155">
        <v>21.0</v>
      </c>
    </row>
    <row r="22">
      <c r="A22" s="11" t="s">
        <v>854</v>
      </c>
      <c r="B22" s="80"/>
      <c r="C22" s="5" t="s">
        <v>855</v>
      </c>
      <c r="E22" s="11"/>
      <c r="F22" s="80"/>
      <c r="G22" s="155" t="s">
        <v>11</v>
      </c>
      <c r="H22" s="156">
        <f>(((Sheet1!$B$3+(H20*Sheet1!$G$7*Sheet1!$G$8))+H19*Sheet1!$G$2)+((H18+(H21*2))*Sheet1!$G$5))/(1-(Sheet1!$C$2))-(Sheet1!$B$3)/(1-(Sheet1!$C$2))</f>
        <v>3425.791304</v>
      </c>
    </row>
    <row r="23">
      <c r="A23" s="80" t="s">
        <v>1</v>
      </c>
      <c r="B23" s="176">
        <v>1324.0</v>
      </c>
      <c r="E23" s="80"/>
      <c r="F23" s="176"/>
    </row>
    <row r="24">
      <c r="A24" s="80" t="s">
        <v>25</v>
      </c>
      <c r="B24" s="176">
        <v>72.0</v>
      </c>
      <c r="E24" s="80"/>
      <c r="F24" s="176"/>
      <c r="G24" s="5" t="s">
        <v>856</v>
      </c>
      <c r="I24" s="5" t="s">
        <v>857</v>
      </c>
    </row>
    <row r="25">
      <c r="A25" s="80" t="s">
        <v>28</v>
      </c>
      <c r="B25" s="176">
        <v>0.0</v>
      </c>
      <c r="E25" s="80"/>
      <c r="F25" s="176"/>
      <c r="G25" s="155" t="s">
        <v>1</v>
      </c>
      <c r="H25" s="155">
        <v>951.0</v>
      </c>
    </row>
    <row r="26">
      <c r="A26" s="80" t="s">
        <v>11</v>
      </c>
      <c r="B26" s="81">
        <f>((Sheet1!$B$3+B24*Sheet1!$G$2)+((B23+(B25*2))*Sheet1!$G$5))/(1-(Sheet1!$C$2))-(Sheet1!$B$3)/(1-(Sheet1!$C$2))</f>
        <v>5643.210702</v>
      </c>
      <c r="E26" s="80"/>
      <c r="F26" s="81"/>
      <c r="G26" s="155" t="s">
        <v>25</v>
      </c>
      <c r="H26" s="155">
        <v>61.0</v>
      </c>
    </row>
    <row r="27">
      <c r="G27" s="155" t="s">
        <v>495</v>
      </c>
      <c r="H27" s="155">
        <v>0.0</v>
      </c>
    </row>
    <row r="28">
      <c r="A28" s="11" t="s">
        <v>858</v>
      </c>
      <c r="B28" s="80"/>
      <c r="C28" s="5" t="s">
        <v>808</v>
      </c>
      <c r="G28" s="155" t="s">
        <v>28</v>
      </c>
      <c r="H28" s="155">
        <v>0.0</v>
      </c>
    </row>
    <row r="29">
      <c r="A29" s="80" t="s">
        <v>1</v>
      </c>
      <c r="B29" s="176">
        <v>1133.0</v>
      </c>
      <c r="G29" s="155" t="s">
        <v>11</v>
      </c>
      <c r="H29" s="156">
        <f>(((Sheet1!$B$3+(H27*Sheet1!$G$7*Sheet1!$G$8))+H26*Sheet1!$G$2)+((H25+(H28*2))*Sheet1!$G$5))/(1-(Sheet1!$C$2))-(Sheet1!$B$3)/(1-(Sheet1!$C$2))</f>
        <v>4294.923411</v>
      </c>
    </row>
    <row r="30">
      <c r="A30" s="80" t="s">
        <v>25</v>
      </c>
      <c r="B30" s="176">
        <v>52.0</v>
      </c>
    </row>
    <row r="31">
      <c r="A31" s="80" t="s">
        <v>28</v>
      </c>
      <c r="B31" s="176">
        <v>15.0</v>
      </c>
      <c r="G31" s="5" t="s">
        <v>858</v>
      </c>
      <c r="I31" s="5" t="s">
        <v>808</v>
      </c>
    </row>
    <row r="32">
      <c r="A32" s="80" t="s">
        <v>11</v>
      </c>
      <c r="B32" s="81">
        <f>((Sheet1!$B$3+B30*Sheet1!$G$2)+((B29+(B31*2))*Sheet1!$G$5))/(1-(Sheet1!$C$2))-(Sheet1!$B$3)/(1-(Sheet1!$C$2))</f>
        <v>4664.450167</v>
      </c>
      <c r="G32" s="155" t="s">
        <v>1</v>
      </c>
      <c r="H32" s="155">
        <v>997.0</v>
      </c>
    </row>
    <row r="33">
      <c r="G33" s="155" t="s">
        <v>25</v>
      </c>
      <c r="H33" s="155">
        <v>58.0</v>
      </c>
    </row>
    <row r="34">
      <c r="A34" s="11" t="s">
        <v>856</v>
      </c>
      <c r="B34" s="80"/>
      <c r="C34" s="5" t="s">
        <v>859</v>
      </c>
      <c r="G34" s="155" t="s">
        <v>495</v>
      </c>
      <c r="H34" s="155">
        <v>0.0</v>
      </c>
    </row>
    <row r="35">
      <c r="A35" s="80" t="s">
        <v>1</v>
      </c>
      <c r="B35" s="176">
        <v>1087.0</v>
      </c>
      <c r="G35" s="155" t="s">
        <v>28</v>
      </c>
      <c r="H35" s="155">
        <v>12.0</v>
      </c>
    </row>
    <row r="36">
      <c r="A36" s="80" t="s">
        <v>25</v>
      </c>
      <c r="B36" s="176">
        <v>67.0</v>
      </c>
      <c r="G36" s="155" t="s">
        <v>11</v>
      </c>
      <c r="H36" s="156">
        <f>(((Sheet1!$B$3+(H34*Sheet1!$G$7*Sheet1!$G$8))+H33*Sheet1!$G$2)+((H32+(H35*2))*Sheet1!$G$5))/(1-(Sheet1!$C$2))-(Sheet1!$B$3)/(1-(Sheet1!$C$2))</f>
        <v>4416.200669</v>
      </c>
    </row>
    <row r="37">
      <c r="A37" s="80" t="s">
        <v>28</v>
      </c>
      <c r="B37" s="176">
        <v>0.0</v>
      </c>
    </row>
    <row r="38">
      <c r="A38" s="80" t="s">
        <v>11</v>
      </c>
      <c r="B38" s="81">
        <f>((Sheet1!$B$3+B36*Sheet1!$G$2)+((B35+(B37*2))*Sheet1!$G$5))/(1-(Sheet1!$C$2))-(Sheet1!$B$3)/(1-(Sheet1!$C$2))</f>
        <v>4838.276589</v>
      </c>
      <c r="G38" s="5" t="s">
        <v>860</v>
      </c>
      <c r="I38" s="5" t="s">
        <v>827</v>
      </c>
    </row>
    <row r="39">
      <c r="G39" s="155" t="s">
        <v>1</v>
      </c>
      <c r="H39" s="155">
        <v>1042.0</v>
      </c>
    </row>
    <row r="40">
      <c r="A40" s="11" t="s">
        <v>849</v>
      </c>
      <c r="B40" s="80"/>
      <c r="C40" s="5" t="s">
        <v>861</v>
      </c>
      <c r="G40" s="155" t="s">
        <v>25</v>
      </c>
      <c r="H40" s="155">
        <v>63.0</v>
      </c>
    </row>
    <row r="41">
      <c r="A41" s="80" t="s">
        <v>1</v>
      </c>
      <c r="B41" s="176">
        <v>873.0</v>
      </c>
      <c r="G41" s="155" t="s">
        <v>495</v>
      </c>
      <c r="H41" s="155">
        <v>0.0</v>
      </c>
    </row>
    <row r="42">
      <c r="A42" s="80" t="s">
        <v>25</v>
      </c>
      <c r="B42" s="176">
        <v>46.0</v>
      </c>
      <c r="G42" s="155" t="s">
        <v>28</v>
      </c>
      <c r="H42" s="155">
        <v>0.0</v>
      </c>
    </row>
    <row r="43">
      <c r="A43" s="80" t="s">
        <v>28</v>
      </c>
      <c r="B43" s="176">
        <v>0.0</v>
      </c>
      <c r="G43" s="155" t="s">
        <v>11</v>
      </c>
      <c r="H43" s="156">
        <f>(((Sheet1!$B$3+(H41*Sheet1!$G$7*Sheet1!$G$8))+H40*Sheet1!$G$2)+((H39+(H42*2))*Sheet1!$G$5))/(1-(Sheet1!$C$2))-(Sheet1!$B$3)/(1-(Sheet1!$C$2))</f>
        <v>4606.076589</v>
      </c>
    </row>
    <row r="44">
      <c r="A44" s="80" t="s">
        <v>11</v>
      </c>
      <c r="B44" s="81">
        <f>((Sheet1!$B$3+B42*Sheet1!$G$2)+((B41+(B43*2))*Sheet1!$G$5))/(1-(Sheet1!$C$2))-(Sheet1!$B$3)/(1-(Sheet1!$C$2))</f>
        <v>3682.583278</v>
      </c>
    </row>
    <row r="45">
      <c r="G45" s="174" t="s">
        <v>851</v>
      </c>
      <c r="H45" s="175"/>
      <c r="I45" s="5" t="s">
        <v>489</v>
      </c>
    </row>
    <row r="46">
      <c r="G46" s="155" t="s">
        <v>1</v>
      </c>
      <c r="H46" s="155">
        <v>1133.0</v>
      </c>
    </row>
    <row r="47">
      <c r="G47" s="155" t="s">
        <v>25</v>
      </c>
      <c r="H47" s="155">
        <v>54.0</v>
      </c>
    </row>
    <row r="48">
      <c r="G48" s="155" t="s">
        <v>495</v>
      </c>
      <c r="H48" s="155">
        <v>38.0</v>
      </c>
    </row>
    <row r="49">
      <c r="G49" s="155" t="s">
        <v>28</v>
      </c>
      <c r="H49" s="155">
        <v>14.0</v>
      </c>
    </row>
    <row r="50">
      <c r="G50" s="155" t="s">
        <v>11</v>
      </c>
      <c r="H50" s="156">
        <f>(((Sheet1!$B$3+(H48*Sheet1!$G$7*Sheet1!$G$8))+H47*Sheet1!$G$2)+((H46+(H49*2))*Sheet1!$G$5))/(1-(Sheet1!$C$2))-(Sheet1!$B$3)/(1-(Sheet1!$C$2))</f>
        <v>4838.664883</v>
      </c>
    </row>
    <row r="51">
      <c r="A51" s="5"/>
    </row>
    <row r="52">
      <c r="A52" s="5"/>
      <c r="B52" s="5"/>
      <c r="G52" s="5" t="s">
        <v>862</v>
      </c>
      <c r="I52" s="5" t="s">
        <v>863</v>
      </c>
    </row>
    <row r="53">
      <c r="A53" s="5"/>
      <c r="B53" s="5"/>
      <c r="G53" s="155" t="s">
        <v>1</v>
      </c>
      <c r="H53" s="155">
        <v>873.0</v>
      </c>
    </row>
    <row r="54">
      <c r="A54" s="5"/>
      <c r="B54" s="5"/>
      <c r="G54" s="155" t="s">
        <v>25</v>
      </c>
      <c r="H54" s="155">
        <v>60.0</v>
      </c>
    </row>
    <row r="55">
      <c r="A55" s="5"/>
      <c r="B55" s="5"/>
      <c r="G55" s="155" t="s">
        <v>495</v>
      </c>
      <c r="H55" s="155">
        <v>0.0</v>
      </c>
    </row>
    <row r="56">
      <c r="A56" s="5"/>
      <c r="G56" s="155" t="s">
        <v>28</v>
      </c>
      <c r="H56" s="155">
        <v>0.0</v>
      </c>
    </row>
    <row r="57">
      <c r="G57" s="155" t="s">
        <v>11</v>
      </c>
      <c r="H57" s="156">
        <f>(((Sheet1!$B$3+(H55*Sheet1!$G$7*Sheet1!$G$8))+H54*Sheet1!$G$2)+((H53+(H56*2))*Sheet1!$G$5))/(1-(Sheet1!$C$2))-(Sheet1!$B$3)/(1-(Sheet1!$C$2))</f>
        <v>4046.803344</v>
      </c>
    </row>
    <row r="59">
      <c r="G59" s="183" t="s">
        <v>864</v>
      </c>
      <c r="I59" s="5" t="s">
        <v>829</v>
      </c>
    </row>
    <row r="60">
      <c r="G60" s="155" t="s">
        <v>1</v>
      </c>
      <c r="H60" s="155">
        <v>1278.0</v>
      </c>
    </row>
    <row r="61">
      <c r="G61" s="155" t="s">
        <v>25</v>
      </c>
      <c r="H61" s="155">
        <v>75.0</v>
      </c>
    </row>
    <row r="62">
      <c r="G62" s="155" t="s">
        <v>495</v>
      </c>
      <c r="H62" s="155">
        <v>0.0</v>
      </c>
    </row>
    <row r="63">
      <c r="G63" s="155" t="s">
        <v>28</v>
      </c>
      <c r="H63" s="155">
        <v>0.0</v>
      </c>
    </row>
    <row r="64">
      <c r="G64" s="155" t="s">
        <v>11</v>
      </c>
      <c r="H64" s="156">
        <f>(((Sheet1!$B$3+(H62*Sheet1!$G$7*Sheet1!$G$8))+H61*Sheet1!$G$2)+((H60+(H63*2))*Sheet1!$G$5))/(1-(Sheet1!$C$2))-(Sheet1!$B$3)/(1-(Sheet1!$C$2))</f>
        <v>5590.273244</v>
      </c>
    </row>
  </sheetData>
  <conditionalFormatting sqref="H64 H57 H50 H43 H36 H29 H22 H15 H8">
    <cfRule type="colorScale" priority="1">
      <colorScale>
        <cfvo type="min"/>
        <cfvo type="max"/>
        <color rgb="FFFFFFFF"/>
        <color rgb="FF57BB8A"/>
      </colorScale>
    </cfRule>
  </conditionalFormatting>
  <conditionalFormatting sqref="B7 B14 B20 B26 B32 B38 B44">
    <cfRule type="colorScale" priority="2">
      <colorScale>
        <cfvo type="min"/>
        <cfvo type="percentile" val="50"/>
        <cfvo type="max"/>
        <color rgb="FFB7B7B7"/>
        <color rgb="FF93C47D"/>
        <color rgb="FF00FF00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780</v>
      </c>
      <c r="C1" s="5"/>
      <c r="D1" s="5"/>
      <c r="E1" s="5"/>
      <c r="F1" s="5"/>
      <c r="G1" s="5"/>
      <c r="H1" s="5"/>
    </row>
    <row r="3">
      <c r="A3" s="155" t="s">
        <v>865</v>
      </c>
      <c r="B3" s="156"/>
      <c r="F3" s="11" t="s">
        <v>866</v>
      </c>
      <c r="G3" s="80"/>
      <c r="H3" s="5" t="s">
        <v>867</v>
      </c>
    </row>
    <row r="4">
      <c r="A4" s="155" t="s">
        <v>1</v>
      </c>
      <c r="B4" s="155">
        <v>118.0</v>
      </c>
      <c r="F4" s="80" t="s">
        <v>1</v>
      </c>
      <c r="G4" s="176">
        <v>216.0</v>
      </c>
    </row>
    <row r="5">
      <c r="A5" s="155" t="s">
        <v>25</v>
      </c>
      <c r="B5" s="155">
        <v>45.0</v>
      </c>
      <c r="F5" s="80" t="s">
        <v>25</v>
      </c>
      <c r="G5" s="176">
        <v>15.0</v>
      </c>
      <c r="H5" s="5"/>
    </row>
    <row r="6">
      <c r="A6" s="155" t="s">
        <v>28</v>
      </c>
      <c r="B6" s="155">
        <v>0.0</v>
      </c>
      <c r="C6" s="5"/>
      <c r="F6" s="80" t="s">
        <v>28</v>
      </c>
      <c r="G6" s="176">
        <v>0.0</v>
      </c>
      <c r="H6" s="5"/>
    </row>
    <row r="7">
      <c r="A7" s="155" t="s">
        <v>11</v>
      </c>
      <c r="B7" s="156">
        <f>((Sheet1!B3+B5*Sheet1!G2)+((B4+(B6*2))*Sheet1!G5))/(1-(Sheet1!C2))-(Sheet1!B3)/(1-(Sheet1!C2))</f>
        <v>1506.711371</v>
      </c>
      <c r="C7" s="151"/>
      <c r="D7" s="5"/>
      <c r="F7" s="80" t="s">
        <v>11</v>
      </c>
      <c r="G7" s="81">
        <f>((Sheet1!$B$3+G5*Sheet1!$G$2)+((G4+(G6*2))*Sheet1!$G$5))/(1-(Sheet1!$C$2))-(Sheet1!$B$3)/(1-(Sheet1!$C$2))</f>
        <v>1005.29398</v>
      </c>
    </row>
    <row r="8">
      <c r="A8" s="153"/>
      <c r="B8" s="81"/>
      <c r="C8" s="151"/>
    </row>
    <row r="9">
      <c r="A9" s="5" t="s">
        <v>868</v>
      </c>
      <c r="C9" s="5"/>
      <c r="F9" s="11" t="s">
        <v>869</v>
      </c>
      <c r="G9" s="80"/>
      <c r="H9" s="5" t="s">
        <v>870</v>
      </c>
    </row>
    <row r="10">
      <c r="A10" s="5" t="s">
        <v>1</v>
      </c>
      <c r="B10" s="5">
        <v>346.0</v>
      </c>
      <c r="C10" s="5"/>
      <c r="F10" s="80" t="s">
        <v>1</v>
      </c>
      <c r="G10" s="176">
        <v>78.0</v>
      </c>
    </row>
    <row r="11">
      <c r="A11" s="5" t="s">
        <v>25</v>
      </c>
      <c r="B11" s="5">
        <v>37.0</v>
      </c>
      <c r="F11" s="80" t="s">
        <v>25</v>
      </c>
      <c r="G11" s="176">
        <v>22.0</v>
      </c>
      <c r="H11" s="5"/>
    </row>
    <row r="12">
      <c r="A12" s="5" t="s">
        <v>28</v>
      </c>
      <c r="B12" s="5">
        <v>0.0</v>
      </c>
      <c r="E12" s="5"/>
      <c r="F12" s="80" t="s">
        <v>28</v>
      </c>
      <c r="G12" s="176">
        <v>0.0</v>
      </c>
    </row>
    <row r="13">
      <c r="A13" s="5" t="s">
        <v>11</v>
      </c>
      <c r="B13">
        <f>((Sheet1!B3+B11*Sheet1!G2)+((B10+(B12*2))*Sheet1!G5))/(1-(Sheet1!C2))-(Sheet1!B3)/(1-(Sheet1!C2))</f>
        <v>1947.813712</v>
      </c>
      <c r="C13" s="10"/>
      <c r="F13" s="80" t="s">
        <v>11</v>
      </c>
      <c r="G13" s="81">
        <f>((Sheet1!$B$3+G11*Sheet1!$G$2)+((G10+(G12*2))*Sheet1!$G$5))/(1-(Sheet1!$C$2))-(Sheet1!$B$3)/(1-(Sheet1!$C$2))</f>
        <v>794.4501672</v>
      </c>
      <c r="H13" s="5"/>
    </row>
    <row r="14">
      <c r="A14" s="5"/>
      <c r="G14" s="5"/>
      <c r="H14" s="5"/>
    </row>
    <row r="15">
      <c r="A15" s="5" t="s">
        <v>871</v>
      </c>
      <c r="F15" s="11" t="s">
        <v>872</v>
      </c>
      <c r="G15" s="80"/>
      <c r="H15" s="5" t="s">
        <v>857</v>
      </c>
    </row>
    <row r="16">
      <c r="A16" s="5" t="s">
        <v>1</v>
      </c>
      <c r="B16" s="5">
        <v>129.0</v>
      </c>
      <c r="F16" s="80" t="s">
        <v>1</v>
      </c>
      <c r="G16" s="176">
        <v>285.0</v>
      </c>
    </row>
    <row r="17">
      <c r="A17" s="5" t="s">
        <v>25</v>
      </c>
      <c r="B17" s="5">
        <v>61.0</v>
      </c>
      <c r="F17" s="80" t="s">
        <v>25</v>
      </c>
      <c r="G17" s="176">
        <v>27.0</v>
      </c>
    </row>
    <row r="18">
      <c r="A18" s="5" t="s">
        <v>28</v>
      </c>
      <c r="B18" s="5">
        <v>0.0</v>
      </c>
      <c r="F18" s="80" t="s">
        <v>28</v>
      </c>
      <c r="G18" s="176">
        <v>0.0</v>
      </c>
    </row>
    <row r="19">
      <c r="A19" s="5" t="s">
        <v>11</v>
      </c>
      <c r="B19">
        <f>((Sheet1!B3+B17*Sheet1!G2)+((B16+(B18*2))*Sheet1!G5))/(1-(Sheet1!C2))-(Sheet1!B3)/(1-(Sheet1!C2))</f>
        <v>1954.285284</v>
      </c>
      <c r="F19" s="80" t="s">
        <v>11</v>
      </c>
      <c r="G19" s="81">
        <f>((Sheet1!$B$3+G17*Sheet1!$G$2)+((G16+(G18*2))*Sheet1!$G$5))/(1-(Sheet1!$C$2))-(Sheet1!$B$3)/(1-(Sheet1!$C$2))</f>
        <v>1513.959532</v>
      </c>
    </row>
    <row r="20">
      <c r="A20" s="154"/>
      <c r="B20" s="80"/>
      <c r="G20" s="5"/>
    </row>
    <row r="21">
      <c r="A21" s="11" t="s">
        <v>873</v>
      </c>
      <c r="B21" s="80"/>
      <c r="C21" s="5" t="s">
        <v>874</v>
      </c>
      <c r="F21" s="188" t="s">
        <v>873</v>
      </c>
      <c r="G21" s="189"/>
      <c r="H21" s="5" t="s">
        <v>875</v>
      </c>
    </row>
    <row r="22">
      <c r="A22" s="80" t="s">
        <v>1</v>
      </c>
      <c r="B22" s="176">
        <v>108.0</v>
      </c>
      <c r="F22" s="80" t="s">
        <v>1</v>
      </c>
      <c r="G22" s="176">
        <v>97.0</v>
      </c>
    </row>
    <row r="23">
      <c r="A23" s="80" t="s">
        <v>25</v>
      </c>
      <c r="B23" s="176">
        <v>37.0</v>
      </c>
      <c r="F23" s="80" t="s">
        <v>25</v>
      </c>
      <c r="G23" s="176">
        <v>34.0</v>
      </c>
    </row>
    <row r="24">
      <c r="A24" s="80" t="s">
        <v>28</v>
      </c>
      <c r="B24" s="176">
        <v>0.0</v>
      </c>
      <c r="F24" s="80" t="s">
        <v>28</v>
      </c>
      <c r="G24" s="176">
        <v>0.0</v>
      </c>
    </row>
    <row r="25">
      <c r="A25" s="80" t="s">
        <v>11</v>
      </c>
      <c r="B25" s="81">
        <f>((Sheet1!$B$3+B23*Sheet1!$G$2)+((B22+(B24*2))*Sheet1!$G$5))/(1-(Sheet1!$C$2))-(Sheet1!$B$3)/(1-(Sheet1!$C$2))</f>
        <v>1270.110702</v>
      </c>
      <c r="F25" s="80" t="s">
        <v>11</v>
      </c>
      <c r="G25" s="81">
        <f>((Sheet1!$B$3+G23*Sheet1!$G$2)+((G22+(G24*2))*Sheet1!$G$5))/(1-(Sheet1!$C$2))-(Sheet1!$B$3)/(1-(Sheet1!$C$2))</f>
        <v>1160.741137</v>
      </c>
    </row>
    <row r="27">
      <c r="A27" s="177" t="s">
        <v>869</v>
      </c>
      <c r="B27" s="178"/>
      <c r="C27" s="5" t="s">
        <v>870</v>
      </c>
      <c r="F27" s="11" t="s">
        <v>876</v>
      </c>
      <c r="G27" s="80"/>
      <c r="H27" s="5" t="s">
        <v>270</v>
      </c>
    </row>
    <row r="28">
      <c r="A28" s="178" t="s">
        <v>1</v>
      </c>
      <c r="B28" s="179">
        <v>78.0</v>
      </c>
      <c r="F28" s="80" t="s">
        <v>1</v>
      </c>
      <c r="G28" s="176">
        <v>99.0</v>
      </c>
    </row>
    <row r="29">
      <c r="A29" s="178" t="s">
        <v>25</v>
      </c>
      <c r="B29" s="179">
        <v>22.0</v>
      </c>
      <c r="F29" s="80" t="s">
        <v>25</v>
      </c>
      <c r="G29" s="176">
        <v>36.0</v>
      </c>
    </row>
    <row r="30">
      <c r="A30" s="178" t="s">
        <v>28</v>
      </c>
      <c r="B30" s="179">
        <v>0.0</v>
      </c>
      <c r="F30" s="80" t="s">
        <v>28</v>
      </c>
      <c r="G30" s="176">
        <v>0.0</v>
      </c>
    </row>
    <row r="31">
      <c r="A31" s="178" t="s">
        <v>11</v>
      </c>
      <c r="B31" s="180">
        <f>((Sheet1!$B$3+B29*Sheet1!$G$2)+((B28+(B30*2))*Sheet1!$G$5))/(1-(Sheet1!$C$2))-(Sheet1!$B$3)/(1-(Sheet1!$C$2))</f>
        <v>794.4501672</v>
      </c>
      <c r="F31" s="80" t="s">
        <v>11</v>
      </c>
      <c r="G31" s="81">
        <f>((Sheet1!$B$3+G29*Sheet1!$G$2)+((G28+(G30*2))*Sheet1!$G$5))/(1-(Sheet1!$C$2))-(Sheet1!$B$3)/(1-(Sheet1!$C$2))</f>
        <v>1218.467559</v>
      </c>
    </row>
    <row r="33">
      <c r="A33" s="11" t="s">
        <v>877</v>
      </c>
      <c r="B33" s="80"/>
      <c r="F33" s="11" t="s">
        <v>876</v>
      </c>
      <c r="G33" s="80"/>
    </row>
    <row r="34">
      <c r="A34" s="80" t="s">
        <v>1</v>
      </c>
      <c r="B34" s="176">
        <v>390.0</v>
      </c>
      <c r="F34" s="80" t="s">
        <v>1</v>
      </c>
      <c r="G34" s="176">
        <v>99.0</v>
      </c>
    </row>
    <row r="35">
      <c r="A35" s="80" t="s">
        <v>25</v>
      </c>
      <c r="B35" s="176">
        <v>25.0</v>
      </c>
      <c r="F35" s="80" t="s">
        <v>25</v>
      </c>
      <c r="G35" s="176">
        <v>36.0</v>
      </c>
    </row>
    <row r="36">
      <c r="A36" s="80" t="s">
        <v>28</v>
      </c>
      <c r="B36" s="176">
        <v>0.0</v>
      </c>
      <c r="F36" s="80" t="s">
        <v>28</v>
      </c>
      <c r="G36" s="176">
        <v>0.0</v>
      </c>
    </row>
    <row r="37">
      <c r="A37" s="80" t="s">
        <v>11</v>
      </c>
      <c r="B37" s="81">
        <f>((Sheet1!$B$3+B35*Sheet1!$G$2)+((B34+(B36*2))*Sheet1!$G$5))/(1-(Sheet1!$C$2))-(Sheet1!$B$3)/(1-(Sheet1!$C$2))</f>
        <v>1760.914716</v>
      </c>
      <c r="F37" s="80" t="s">
        <v>11</v>
      </c>
      <c r="G37" s="81">
        <f>((Sheet1!$B$3+G35*Sheet1!$G$2)+((G34+(G36*2))*Sheet1!$G$5))/(1-(Sheet1!$C$2))-(Sheet1!$B$3)/(1-(Sheet1!$C$2))</f>
        <v>1218.467559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356</v>
      </c>
      <c r="C1" s="5"/>
      <c r="D1" s="5"/>
      <c r="E1" s="5"/>
      <c r="F1" s="5"/>
      <c r="G1" s="5"/>
      <c r="H1" s="5"/>
    </row>
    <row r="3">
      <c r="A3" s="155" t="s">
        <v>878</v>
      </c>
      <c r="B3" s="156"/>
      <c r="C3" s="5" t="s">
        <v>496</v>
      </c>
      <c r="G3" s="155" t="s">
        <v>879</v>
      </c>
      <c r="H3" s="156"/>
      <c r="I3" s="5" t="s">
        <v>808</v>
      </c>
    </row>
    <row r="4">
      <c r="A4" s="155" t="s">
        <v>1</v>
      </c>
      <c r="B4" s="155">
        <v>1825.0</v>
      </c>
      <c r="G4" s="155" t="s">
        <v>1</v>
      </c>
      <c r="H4" s="155">
        <v>1329.0</v>
      </c>
    </row>
    <row r="5">
      <c r="A5" s="155" t="s">
        <v>25</v>
      </c>
      <c r="B5" s="155">
        <v>114.0</v>
      </c>
      <c r="G5" s="155" t="s">
        <v>25</v>
      </c>
      <c r="H5" s="155">
        <v>78.0</v>
      </c>
    </row>
    <row r="6">
      <c r="A6" s="155" t="s">
        <v>28</v>
      </c>
      <c r="B6" s="155">
        <v>37.0</v>
      </c>
      <c r="C6" s="5"/>
      <c r="G6" s="155" t="s">
        <v>495</v>
      </c>
      <c r="H6" s="155">
        <v>39.0</v>
      </c>
    </row>
    <row r="7">
      <c r="A7" s="155" t="s">
        <v>11</v>
      </c>
      <c r="B7" s="156">
        <f>((Sheet1!B3+B5*Sheet1!G2)+((B4+(B6*2))*Sheet1!G5))/(1-(Sheet1!C2))-(Sheet1!B3)/(1-(Sheet1!C2))</f>
        <v>8373.178595</v>
      </c>
      <c r="C7" s="151"/>
      <c r="D7" s="5"/>
      <c r="G7" s="155" t="s">
        <v>28</v>
      </c>
      <c r="H7" s="155">
        <v>14.0</v>
      </c>
    </row>
    <row r="8">
      <c r="A8" s="153"/>
      <c r="B8" s="81"/>
      <c r="C8" s="151"/>
      <c r="G8" s="155" t="s">
        <v>11</v>
      </c>
      <c r="H8" s="156">
        <f>(((Sheet1!$B$3+(H6*Sheet1!$G$7*Sheet1!$G$8))+H5*Sheet1!$G$2)+((H4+(H7*2))*Sheet1!$G$5))/(1-(Sheet1!$C$2))-(Sheet1!$B$3)/(1-(Sheet1!$C$2))</f>
        <v>6024.515719</v>
      </c>
    </row>
    <row r="9">
      <c r="A9" s="5" t="s">
        <v>880</v>
      </c>
      <c r="C9" s="5" t="s">
        <v>848</v>
      </c>
    </row>
    <row r="10">
      <c r="A10" s="5" t="s">
        <v>1</v>
      </c>
      <c r="B10" s="5">
        <v>1983.0</v>
      </c>
      <c r="C10" s="5"/>
      <c r="G10" s="5" t="s">
        <v>881</v>
      </c>
      <c r="I10" s="5" t="s">
        <v>882</v>
      </c>
    </row>
    <row r="11">
      <c r="A11" s="5" t="s">
        <v>25</v>
      </c>
      <c r="B11" s="5">
        <v>123.0</v>
      </c>
      <c r="G11" s="155" t="s">
        <v>1</v>
      </c>
      <c r="H11" s="155">
        <v>1268.0</v>
      </c>
    </row>
    <row r="12">
      <c r="A12" s="5" t="s">
        <v>28</v>
      </c>
      <c r="B12" s="5">
        <v>0.0</v>
      </c>
      <c r="E12" s="5"/>
      <c r="F12" s="5"/>
      <c r="G12" s="155" t="s">
        <v>25</v>
      </c>
      <c r="H12" s="155">
        <v>81.0</v>
      </c>
    </row>
    <row r="13">
      <c r="A13" s="5" t="s">
        <v>11</v>
      </c>
      <c r="B13">
        <f>((Sheet1!B3+B11*Sheet1!G2)+((B10+(B12*2))*Sheet1!G5))/(1-(Sheet1!C2))-(Sheet1!B3)/(1-(Sheet1!C2))</f>
        <v>8846.509365</v>
      </c>
      <c r="C13" s="10"/>
      <c r="F13" s="182"/>
      <c r="G13" s="155" t="s">
        <v>495</v>
      </c>
      <c r="H13" s="155">
        <v>33.0</v>
      </c>
    </row>
    <row r="14">
      <c r="A14" s="5"/>
      <c r="G14" s="155" t="s">
        <v>28</v>
      </c>
      <c r="H14" s="155">
        <v>0.0</v>
      </c>
    </row>
    <row r="15">
      <c r="A15" s="190" t="s">
        <v>879</v>
      </c>
      <c r="B15" s="191"/>
      <c r="C15" s="5" t="s">
        <v>489</v>
      </c>
      <c r="G15" s="155" t="s">
        <v>11</v>
      </c>
      <c r="H15" s="156">
        <f>(((Sheet1!$B$3+(H13*Sheet1!$G$7*Sheet1!$G$8))+H12*Sheet1!$G$2)+((H11+(H14*2))*Sheet1!$G$5))/(1-(Sheet1!$C$2))-(Sheet1!$B$3)/(1-(Sheet1!$C$2))</f>
        <v>5828.944816</v>
      </c>
    </row>
    <row r="16">
      <c r="A16" s="190" t="s">
        <v>1</v>
      </c>
      <c r="B16" s="190">
        <v>1668.0</v>
      </c>
    </row>
    <row r="17">
      <c r="A17" s="190" t="s">
        <v>25</v>
      </c>
      <c r="B17" s="190">
        <v>93.0</v>
      </c>
      <c r="G17" s="5" t="s">
        <v>883</v>
      </c>
      <c r="I17" s="5" t="s">
        <v>489</v>
      </c>
    </row>
    <row r="18">
      <c r="A18" s="190" t="s">
        <v>28</v>
      </c>
      <c r="B18" s="190">
        <v>26.0</v>
      </c>
      <c r="G18" s="155" t="s">
        <v>1</v>
      </c>
      <c r="H18" s="155">
        <v>1510.0</v>
      </c>
    </row>
    <row r="19">
      <c r="A19" s="190" t="s">
        <v>11</v>
      </c>
      <c r="B19" s="191">
        <f>((Sheet1!B3+B17*Sheet1!G2)+((B16+(B18*2))*Sheet1!G5))/(1-(Sheet1!C2))-(Sheet1!B3)/(1-(Sheet1!C2))</f>
        <v>7317.147492</v>
      </c>
      <c r="G19" s="155" t="s">
        <v>25</v>
      </c>
      <c r="H19" s="155">
        <v>75.0</v>
      </c>
    </row>
    <row r="20">
      <c r="A20" s="154"/>
      <c r="B20" s="80"/>
      <c r="G20" s="155" t="s">
        <v>495</v>
      </c>
      <c r="H20" s="155">
        <v>0.0</v>
      </c>
    </row>
    <row r="21">
      <c r="A21" s="11" t="s">
        <v>883</v>
      </c>
      <c r="B21" s="80"/>
      <c r="C21" s="5" t="s">
        <v>808</v>
      </c>
      <c r="G21" s="155" t="s">
        <v>28</v>
      </c>
      <c r="H21" s="155">
        <v>22.0</v>
      </c>
    </row>
    <row r="22">
      <c r="A22" s="80" t="s">
        <v>1</v>
      </c>
      <c r="B22" s="176">
        <v>1510.0</v>
      </c>
      <c r="G22" s="155" t="s">
        <v>11</v>
      </c>
      <c r="H22" s="156">
        <f>(((Sheet1!$B$3+(H20*Sheet1!$G$7*Sheet1!$G$8))+H19*Sheet1!$G$2)+((H18+(H21*2))*Sheet1!$G$5))/(1-(Sheet1!$C$2))-(Sheet1!$B$3)/(1-(Sheet1!$C$2))</f>
        <v>6376.180936</v>
      </c>
    </row>
    <row r="23">
      <c r="A23" s="80" t="s">
        <v>25</v>
      </c>
      <c r="B23" s="176">
        <v>84.0</v>
      </c>
    </row>
    <row r="24">
      <c r="A24" s="80" t="s">
        <v>28</v>
      </c>
      <c r="B24" s="176">
        <v>17.0</v>
      </c>
      <c r="G24" s="5" t="s">
        <v>884</v>
      </c>
      <c r="I24" s="5" t="s">
        <v>827</v>
      </c>
    </row>
    <row r="25">
      <c r="A25" s="80" t="s">
        <v>11</v>
      </c>
      <c r="B25" s="81">
        <f>((Sheet1!$B$3+B23*Sheet1!$G$2)+((B22+(B24*2))*Sheet1!$G$5))/(1-(Sheet1!$C$2))-(Sheet1!$B$3)/(1-(Sheet1!$C$2))</f>
        <v>6581.847492</v>
      </c>
      <c r="G25" s="155" t="s">
        <v>1</v>
      </c>
      <c r="H25" s="155">
        <v>1450.0</v>
      </c>
    </row>
    <row r="26">
      <c r="G26" s="155" t="s">
        <v>25</v>
      </c>
      <c r="H26" s="155">
        <v>74.0</v>
      </c>
    </row>
    <row r="27">
      <c r="A27" s="11" t="s">
        <v>881</v>
      </c>
      <c r="B27" s="80"/>
      <c r="C27" s="5" t="s">
        <v>885</v>
      </c>
      <c r="G27" s="155" t="s">
        <v>495</v>
      </c>
      <c r="H27" s="155">
        <v>0.0</v>
      </c>
    </row>
    <row r="28">
      <c r="A28" s="80" t="s">
        <v>1</v>
      </c>
      <c r="B28" s="176">
        <v>1450.0</v>
      </c>
      <c r="G28" s="155" t="s">
        <v>28</v>
      </c>
      <c r="H28" s="155">
        <v>0.0</v>
      </c>
    </row>
    <row r="29">
      <c r="A29" s="80" t="s">
        <v>25</v>
      </c>
      <c r="B29" s="176">
        <v>87.0</v>
      </c>
      <c r="G29" s="155" t="s">
        <v>11</v>
      </c>
      <c r="H29" s="156">
        <f>(((Sheet1!$B$3+(H27*Sheet1!$G$7*Sheet1!$G$8))+H26*Sheet1!$G$2)+((H25+(H28*2))*Sheet1!$G$5))/(1-(Sheet1!$C$2))-(Sheet1!$B$3)/(1-(Sheet1!$C$2))</f>
        <v>6054.026087</v>
      </c>
    </row>
    <row r="30">
      <c r="A30" s="80" t="s">
        <v>28</v>
      </c>
      <c r="B30" s="176">
        <v>0.0</v>
      </c>
    </row>
    <row r="31">
      <c r="A31" s="80" t="s">
        <v>11</v>
      </c>
      <c r="B31" s="81">
        <f>((Sheet1!$B$3+B29*Sheet1!$G$2)+((B28+(B30*2))*Sheet1!$G$5))/(1-(Sheet1!$C$2))-(Sheet1!$B$3)/(1-(Sheet1!$C$2))</f>
        <v>6392.230435</v>
      </c>
      <c r="G31" s="174" t="s">
        <v>886</v>
      </c>
      <c r="H31" s="175"/>
      <c r="I31" s="5" t="s">
        <v>887</v>
      </c>
      <c r="J31" s="5">
        <v>2.0</v>
      </c>
      <c r="K31" s="5" t="s">
        <v>888</v>
      </c>
    </row>
    <row r="32">
      <c r="G32" s="155" t="s">
        <v>1</v>
      </c>
      <c r="H32" s="155">
        <v>1753.0</v>
      </c>
      <c r="I32" s="26">
        <v>43162.0</v>
      </c>
      <c r="K32" s="5"/>
      <c r="L32" s="5"/>
    </row>
    <row r="33">
      <c r="A33" s="11" t="s">
        <v>889</v>
      </c>
      <c r="B33" s="80"/>
      <c r="C33" s="5" t="s">
        <v>890</v>
      </c>
      <c r="G33" s="155" t="s">
        <v>25</v>
      </c>
      <c r="H33" s="155">
        <v>89.0</v>
      </c>
      <c r="I33" s="5" t="s">
        <v>891</v>
      </c>
      <c r="K33" s="5"/>
      <c r="L33" s="5"/>
    </row>
    <row r="34">
      <c r="A34" s="80" t="s">
        <v>1</v>
      </c>
      <c r="B34" s="176">
        <v>1765.0</v>
      </c>
      <c r="G34" s="155" t="s">
        <v>495</v>
      </c>
      <c r="H34" s="155">
        <v>0.0</v>
      </c>
      <c r="I34" s="5" t="s">
        <v>892</v>
      </c>
      <c r="K34" s="5"/>
      <c r="L34" s="5"/>
    </row>
    <row r="35">
      <c r="A35" s="80" t="s">
        <v>25</v>
      </c>
      <c r="B35" s="176">
        <v>75.0</v>
      </c>
      <c r="G35" s="155" t="s">
        <v>28</v>
      </c>
      <c r="H35" s="155">
        <v>0.0</v>
      </c>
      <c r="K35" s="5"/>
      <c r="L35" s="5"/>
    </row>
    <row r="36">
      <c r="A36" s="80" t="s">
        <v>28</v>
      </c>
      <c r="B36" s="176">
        <v>0.0</v>
      </c>
      <c r="G36" s="155" t="s">
        <v>11</v>
      </c>
      <c r="H36" s="156">
        <f>(((Sheet1!$B$3+(H34*Sheet1!$G$7*Sheet1!$G$8))+H33*Sheet1!$G$2)+((H32+(H35*2))*Sheet1!$G$5))/(1-(Sheet1!$C$2))-(Sheet1!$B$3)/(1-(Sheet1!$C$2))</f>
        <v>7307.051839</v>
      </c>
      <c r="K36" s="5"/>
    </row>
    <row r="37">
      <c r="A37" s="80" t="s">
        <v>11</v>
      </c>
      <c r="B37" s="81">
        <f>((Sheet1!$B$3+B35*Sheet1!$G$2)+((B34+(B36*2))*Sheet1!$G$5))/(1-(Sheet1!$C$2))-(Sheet1!$B$3)/(1-(Sheet1!$C$2))</f>
        <v>6977.001672</v>
      </c>
    </row>
    <row r="38">
      <c r="G38" s="5" t="s">
        <v>893</v>
      </c>
      <c r="I38" s="5" t="s">
        <v>887</v>
      </c>
      <c r="J38" s="5">
        <v>10.0</v>
      </c>
      <c r="K38" s="5" t="s">
        <v>751</v>
      </c>
    </row>
    <row r="39">
      <c r="A39" s="5" t="s">
        <v>894</v>
      </c>
      <c r="G39" s="155" t="s">
        <v>1</v>
      </c>
      <c r="H39" s="155">
        <v>1510.0</v>
      </c>
      <c r="I39" s="26">
        <v>43134.0</v>
      </c>
      <c r="J39" s="5">
        <v>10.0</v>
      </c>
      <c r="K39" s="5" t="s">
        <v>825</v>
      </c>
    </row>
    <row r="40">
      <c r="A40" s="5" t="s">
        <v>1</v>
      </c>
      <c r="B40" s="5">
        <v>1765.0</v>
      </c>
      <c r="G40" s="155" t="s">
        <v>25</v>
      </c>
      <c r="H40" s="155">
        <v>87.0</v>
      </c>
      <c r="I40" s="5" t="s">
        <v>895</v>
      </c>
    </row>
    <row r="41">
      <c r="A41" s="5" t="s">
        <v>25</v>
      </c>
      <c r="B41" s="5">
        <v>93.0</v>
      </c>
      <c r="G41" s="155" t="s">
        <v>495</v>
      </c>
      <c r="H41" s="155">
        <v>0.0</v>
      </c>
      <c r="I41" s="5" t="s">
        <v>892</v>
      </c>
    </row>
    <row r="42">
      <c r="A42" s="5" t="s">
        <v>495</v>
      </c>
      <c r="B42" s="5">
        <v>39.0</v>
      </c>
      <c r="G42" s="155" t="s">
        <v>28</v>
      </c>
      <c r="H42" s="155">
        <v>0.0</v>
      </c>
    </row>
    <row r="43">
      <c r="A43" s="5" t="s">
        <v>28</v>
      </c>
      <c r="B43" s="5">
        <v>0.0</v>
      </c>
      <c r="G43" s="155" t="s">
        <v>11</v>
      </c>
      <c r="H43" s="156">
        <f>(((Sheet1!$B$3+(H41*Sheet1!$G$7*Sheet1!$G$8))+H40*Sheet1!$G$2)+((H39+(H42*2))*Sheet1!$G$5))/(1-(Sheet1!$C$2))-(Sheet1!$B$3)/(1-(Sheet1!$C$2))</f>
        <v>6563.079933</v>
      </c>
      <c r="I43">
        <f>H43/H22</f>
        <v>1.02931206</v>
      </c>
    </row>
    <row r="44">
      <c r="A44" s="5" t="s">
        <v>11</v>
      </c>
      <c r="B44">
        <f>(((Sheet1!$B$3+(B42*Sheet1!$G$7*Sheet1!$G$8))+B41*Sheet1!$G$2)+((B40+(B43*2))*Sheet1!$G$5))/(1-(Sheet1!$C$2))-(Sheet1!$B$3)/(1-(Sheet1!$C$2))</f>
        <v>7576.528094</v>
      </c>
    </row>
    <row r="45">
      <c r="G45" s="5" t="s">
        <v>896</v>
      </c>
      <c r="I45" s="5" t="s">
        <v>887</v>
      </c>
      <c r="J45" s="5">
        <v>8.0</v>
      </c>
      <c r="K45" s="5" t="s">
        <v>897</v>
      </c>
    </row>
    <row r="46">
      <c r="A46" s="5" t="s">
        <v>898</v>
      </c>
      <c r="C46" s="5" t="s">
        <v>899</v>
      </c>
      <c r="G46" s="155" t="s">
        <v>1</v>
      </c>
      <c r="H46" s="155">
        <v>1268.0</v>
      </c>
      <c r="I46" s="26">
        <v>43103.0</v>
      </c>
      <c r="J46" s="5">
        <v>6.0</v>
      </c>
      <c r="K46" s="5" t="s">
        <v>900</v>
      </c>
    </row>
    <row r="47">
      <c r="A47" s="5" t="s">
        <v>1</v>
      </c>
      <c r="B47" s="5">
        <v>1164.0</v>
      </c>
      <c r="G47" s="155" t="s">
        <v>25</v>
      </c>
      <c r="H47" s="155">
        <v>81.0</v>
      </c>
      <c r="I47" s="5" t="s">
        <v>901</v>
      </c>
      <c r="J47" s="5">
        <v>6.0</v>
      </c>
      <c r="K47" s="5" t="s">
        <v>902</v>
      </c>
    </row>
    <row r="48">
      <c r="A48" s="5" t="s">
        <v>25</v>
      </c>
      <c r="B48" s="5">
        <v>75.0</v>
      </c>
      <c r="G48" s="155" t="s">
        <v>495</v>
      </c>
      <c r="H48" s="155">
        <v>0.0</v>
      </c>
      <c r="J48" s="5">
        <v>8.0</v>
      </c>
      <c r="K48" s="5" t="s">
        <v>750</v>
      </c>
    </row>
    <row r="49">
      <c r="A49" s="5" t="s">
        <v>495</v>
      </c>
      <c r="B49" s="5">
        <v>0.0</v>
      </c>
      <c r="G49" s="155" t="s">
        <v>28</v>
      </c>
      <c r="H49" s="155">
        <v>0.0</v>
      </c>
    </row>
    <row r="50">
      <c r="A50" s="5" t="s">
        <v>28</v>
      </c>
      <c r="B50" s="5">
        <v>0.0</v>
      </c>
      <c r="G50" s="155" t="s">
        <v>11</v>
      </c>
      <c r="H50" s="156">
        <f>(((Sheet1!$B$3+(H48*Sheet1!$G$7*Sheet1!$G$8))+H47*Sheet1!$G$2)+((H46+(H49*2))*Sheet1!$G$5))/(1-(Sheet1!$C$2))-(Sheet1!$B$3)/(1-(Sheet1!$C$2))</f>
        <v>5717.892642</v>
      </c>
      <c r="I50">
        <f>H50/H29</f>
        <v>0.9444777013</v>
      </c>
    </row>
    <row r="51">
      <c r="A51" s="5" t="s">
        <v>11</v>
      </c>
      <c r="B51">
        <f>(((Sheet1!$B$3+(B49*Sheet1!$G$7*Sheet1!$G$8))+B48*Sheet1!$G$2)+((B47+(B50*2))*Sheet1!$G$5))/(1-(Sheet1!$C$2))-(Sheet1!$B$3)/(1-(Sheet1!$C$2))</f>
        <v>5265.659197</v>
      </c>
    </row>
    <row r="52">
      <c r="G52" s="5" t="s">
        <v>903</v>
      </c>
      <c r="I52" s="5" t="s">
        <v>829</v>
      </c>
    </row>
    <row r="53">
      <c r="A53" s="5" t="s">
        <v>886</v>
      </c>
      <c r="G53" s="155" t="s">
        <v>1</v>
      </c>
      <c r="H53" s="155">
        <v>1704.0</v>
      </c>
    </row>
    <row r="54">
      <c r="A54" s="5" t="s">
        <v>1</v>
      </c>
      <c r="B54" s="5">
        <v>1825.0</v>
      </c>
      <c r="G54" s="155" t="s">
        <v>25</v>
      </c>
      <c r="H54" s="155">
        <v>96.0</v>
      </c>
    </row>
    <row r="55">
      <c r="A55" s="5" t="s">
        <v>25</v>
      </c>
      <c r="B55" s="5">
        <v>92.0</v>
      </c>
      <c r="G55" s="155" t="s">
        <v>495</v>
      </c>
      <c r="H55" s="155">
        <v>0.0</v>
      </c>
    </row>
    <row r="56">
      <c r="A56" s="5" t="s">
        <v>495</v>
      </c>
      <c r="B56" s="5">
        <v>0.0</v>
      </c>
      <c r="G56" s="155" t="s">
        <v>28</v>
      </c>
      <c r="H56" s="155">
        <v>0.0</v>
      </c>
    </row>
    <row r="57">
      <c r="A57" s="5" t="s">
        <v>28</v>
      </c>
      <c r="B57" s="5">
        <v>0.0</v>
      </c>
      <c r="G57" s="155" t="s">
        <v>11</v>
      </c>
      <c r="H57" s="156">
        <f>(((Sheet1!$B$3+(H55*Sheet1!$G$7*Sheet1!$G$8))+H54*Sheet1!$G$2)+((H53+(H56*2))*Sheet1!$G$5))/(1-(Sheet1!$C$2))-(Sheet1!$B$3)/(1-(Sheet1!$C$2))</f>
        <v>7349.634783</v>
      </c>
      <c r="I57">
        <f>H57/H36</f>
        <v>1.00582765</v>
      </c>
    </row>
    <row r="58">
      <c r="A58" s="5" t="s">
        <v>11</v>
      </c>
      <c r="B58">
        <f>(((Sheet1!$B$3+(B56*Sheet1!$G$7*Sheet1!$G$8))+B55*Sheet1!$G$2)+((B54+(B57*2))*Sheet1!$G$5))/(1-(Sheet1!$C$2))-(Sheet1!$B$3)/(1-(Sheet1!$C$2))</f>
        <v>7590.118395</v>
      </c>
      <c r="C58">
        <f>B58-B19</f>
        <v>272.970903</v>
      </c>
    </row>
  </sheetData>
  <conditionalFormatting sqref="H8 H15 H22 H29 H36 H43 H50 H5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157</v>
      </c>
      <c r="C1" s="5"/>
      <c r="D1" s="5"/>
      <c r="E1" s="5"/>
      <c r="F1" s="5"/>
      <c r="G1" s="5"/>
      <c r="H1" s="5"/>
    </row>
    <row r="3">
      <c r="A3" s="5" t="s">
        <v>904</v>
      </c>
      <c r="F3" s="155" t="s">
        <v>905</v>
      </c>
      <c r="G3" s="156"/>
      <c r="H3" s="5" t="s">
        <v>857</v>
      </c>
    </row>
    <row r="4">
      <c r="A4" s="5" t="s">
        <v>1</v>
      </c>
      <c r="B4" s="5">
        <v>703.0</v>
      </c>
      <c r="F4" s="155" t="s">
        <v>1</v>
      </c>
      <c r="G4" s="155">
        <v>555.0</v>
      </c>
    </row>
    <row r="5">
      <c r="A5" s="5" t="s">
        <v>25</v>
      </c>
      <c r="B5" s="5">
        <v>45.0</v>
      </c>
      <c r="F5" s="155" t="s">
        <v>25</v>
      </c>
      <c r="G5" s="155">
        <v>42.0</v>
      </c>
      <c r="H5" s="5"/>
    </row>
    <row r="6">
      <c r="A6" s="5" t="s">
        <v>28</v>
      </c>
      <c r="B6" s="5">
        <v>0.0</v>
      </c>
      <c r="C6" s="5"/>
      <c r="F6" s="155" t="s">
        <v>495</v>
      </c>
      <c r="G6" s="155">
        <v>0.0</v>
      </c>
      <c r="H6" s="5"/>
    </row>
    <row r="7">
      <c r="A7" s="5" t="s">
        <v>11</v>
      </c>
      <c r="B7">
        <f>((Sheet1!B3+B5*Sheet1!G2)+((B4+(B6*2))*Sheet1!G5))/(1-(Sheet1!C2))-(Sheet1!B3)/(1-(Sheet1!C2))</f>
        <v>3172.49398</v>
      </c>
      <c r="C7" s="151"/>
      <c r="D7" s="5"/>
      <c r="F7" s="155" t="s">
        <v>28</v>
      </c>
      <c r="G7" s="155">
        <v>0.0</v>
      </c>
    </row>
    <row r="8">
      <c r="A8" s="153"/>
      <c r="B8" s="81"/>
      <c r="C8" s="151"/>
      <c r="F8" s="155" t="s">
        <v>11</v>
      </c>
      <c r="G8" s="156">
        <f>(((Sheet1!$B$3+(G6*Sheet1!$G$7*Sheet1!$G$8))+G5*Sheet1!$G$2)+((G4+(G7*2))*Sheet1!$G$5))/(1-(Sheet1!$C$2))-(Sheet1!$B$3)/(1-(Sheet1!$C$2))</f>
        <v>2673.01806</v>
      </c>
    </row>
    <row r="9">
      <c r="A9" s="155" t="s">
        <v>906</v>
      </c>
      <c r="B9" s="156"/>
      <c r="C9" s="5"/>
    </row>
    <row r="10">
      <c r="A10" s="155" t="s">
        <v>1</v>
      </c>
      <c r="B10" s="155">
        <v>772.0</v>
      </c>
      <c r="C10" s="5"/>
      <c r="F10" s="5" t="s">
        <v>907</v>
      </c>
      <c r="H10" s="5" t="s">
        <v>908</v>
      </c>
    </row>
    <row r="11">
      <c r="A11" s="155" t="s">
        <v>25</v>
      </c>
      <c r="B11" s="155">
        <v>52.0</v>
      </c>
      <c r="F11" s="155" t="s">
        <v>1</v>
      </c>
      <c r="G11" s="155">
        <v>509.0</v>
      </c>
    </row>
    <row r="12">
      <c r="A12" s="155" t="s">
        <v>28</v>
      </c>
      <c r="B12" s="155">
        <v>0.0</v>
      </c>
      <c r="E12" s="5"/>
      <c r="F12" s="155" t="s">
        <v>25</v>
      </c>
      <c r="G12" s="155">
        <v>30.0</v>
      </c>
    </row>
    <row r="13">
      <c r="A13" s="155" t="s">
        <v>11</v>
      </c>
      <c r="B13" s="156">
        <f>((Sheet1!B3+B11*Sheet1!G2)+((B10+(B12*2))*Sheet1!G5))/(1-(Sheet1!C2))-(Sheet1!B3)/(1-(Sheet1!C2))</f>
        <v>3551.080936</v>
      </c>
      <c r="C13" s="10"/>
      <c r="F13" s="155" t="s">
        <v>495</v>
      </c>
      <c r="G13" s="155">
        <v>0.0</v>
      </c>
    </row>
    <row r="14">
      <c r="A14" s="5"/>
      <c r="F14" s="155" t="s">
        <v>28</v>
      </c>
      <c r="G14" s="155">
        <v>0.0</v>
      </c>
    </row>
    <row r="15">
      <c r="A15" s="5" t="s">
        <v>909</v>
      </c>
      <c r="F15" s="155" t="s">
        <v>11</v>
      </c>
      <c r="G15" s="156">
        <f>(((Sheet1!$B$3+(G13*Sheet1!$G$7*Sheet1!$G$8))+G12*Sheet1!$G$2)+((G11+(G14*2))*Sheet1!$G$5))/(1-(Sheet1!$C$2))-(Sheet1!$B$3)/(1-(Sheet1!$C$2))</f>
        <v>2229.844816</v>
      </c>
    </row>
    <row r="16">
      <c r="A16" s="5" t="s">
        <v>1</v>
      </c>
      <c r="B16" s="5">
        <v>841.0</v>
      </c>
    </row>
    <row r="17">
      <c r="A17" s="5" t="s">
        <v>25</v>
      </c>
      <c r="B17" s="5">
        <v>64.0</v>
      </c>
      <c r="F17" s="5" t="s">
        <v>910</v>
      </c>
      <c r="H17" s="5" t="s">
        <v>911</v>
      </c>
    </row>
    <row r="18">
      <c r="A18" s="5" t="s">
        <v>28</v>
      </c>
      <c r="B18" s="5">
        <v>0.0</v>
      </c>
      <c r="F18" s="155" t="s">
        <v>1</v>
      </c>
      <c r="G18" s="155">
        <v>529.0</v>
      </c>
    </row>
    <row r="19">
      <c r="A19" s="5" t="s">
        <v>11</v>
      </c>
      <c r="B19">
        <f>((Sheet1!$B$3+B17*Sheet1!$G$2)+((B16+(B18*2))*Sheet1!$G$5))/(1-(Sheet1!$C$2))-(Sheet1!$B$3)/(1-(Sheet1!$C$2))</f>
        <v>4059.746488</v>
      </c>
      <c r="F19" s="155" t="s">
        <v>25</v>
      </c>
      <c r="G19" s="155">
        <v>24.0</v>
      </c>
    </row>
    <row r="20">
      <c r="A20" s="154"/>
      <c r="B20" s="80"/>
      <c r="F20" s="155" t="s">
        <v>495</v>
      </c>
      <c r="G20" s="155">
        <v>0.0</v>
      </c>
    </row>
    <row r="21">
      <c r="A21" s="5" t="s">
        <v>907</v>
      </c>
      <c r="C21" s="5" t="s">
        <v>912</v>
      </c>
      <c r="F21" s="155" t="s">
        <v>28</v>
      </c>
      <c r="G21" s="155">
        <v>16.0</v>
      </c>
    </row>
    <row r="22">
      <c r="A22" s="5" t="s">
        <v>1</v>
      </c>
      <c r="B22" s="5">
        <v>509.0</v>
      </c>
      <c r="F22" s="155" t="s">
        <v>11</v>
      </c>
      <c r="G22" s="156">
        <f>(((Sheet1!$B$3+(G20*Sheet1!$G$7*Sheet1!$G$8))+G19*Sheet1!$G$2)+((G18+(G21*2))*Sheet1!$G$5))/(1-(Sheet1!$C$2))-(Sheet1!$B$3)/(1-(Sheet1!$C$2))</f>
        <v>2221.820067</v>
      </c>
    </row>
    <row r="23">
      <c r="A23" s="5" t="s">
        <v>25</v>
      </c>
      <c r="B23" s="5">
        <v>30.0</v>
      </c>
    </row>
    <row r="24">
      <c r="A24" s="5" t="s">
        <v>28</v>
      </c>
      <c r="B24" s="5">
        <v>0.0</v>
      </c>
      <c r="F24" s="5" t="s">
        <v>913</v>
      </c>
      <c r="H24" s="5" t="s">
        <v>827</v>
      </c>
    </row>
    <row r="25">
      <c r="A25" s="5" t="s">
        <v>11</v>
      </c>
      <c r="B25">
        <f>((Sheet1!$B$3+B23*Sheet1!$G$2)+((B22+(B24*2))*Sheet1!$G$5))/(1-(Sheet1!$C$2))-(Sheet1!$B$3)/(1-(Sheet1!$C$2))</f>
        <v>2229.844816</v>
      </c>
      <c r="F25" s="155" t="s">
        <v>1</v>
      </c>
      <c r="G25" s="155">
        <v>555.0</v>
      </c>
    </row>
    <row r="26">
      <c r="F26" s="155" t="s">
        <v>25</v>
      </c>
      <c r="G26" s="155">
        <v>36.0</v>
      </c>
    </row>
    <row r="27">
      <c r="A27" s="5" t="s">
        <v>905</v>
      </c>
      <c r="C27" s="5" t="s">
        <v>914</v>
      </c>
      <c r="F27" s="155" t="s">
        <v>495</v>
      </c>
      <c r="G27" s="155">
        <v>0.0</v>
      </c>
    </row>
    <row r="28">
      <c r="A28" s="5" t="s">
        <v>1</v>
      </c>
      <c r="B28" s="5">
        <v>634.0</v>
      </c>
      <c r="F28" s="155" t="s">
        <v>28</v>
      </c>
      <c r="G28" s="155">
        <v>0.0</v>
      </c>
    </row>
    <row r="29">
      <c r="A29" s="5" t="s">
        <v>25</v>
      </c>
      <c r="B29" s="5">
        <v>45.0</v>
      </c>
      <c r="F29" s="155" t="s">
        <v>11</v>
      </c>
      <c r="G29" s="156">
        <f>(((Sheet1!$B$3+(G27*Sheet1!$G$7*Sheet1!$G$8))+G26*Sheet1!$G$2)+((G25+(G28*2))*Sheet1!$G$5))/(1-(Sheet1!$C$2))-(Sheet1!$B$3)/(1-(Sheet1!$C$2))</f>
        <v>2516.923746</v>
      </c>
    </row>
    <row r="30">
      <c r="A30" s="5" t="s">
        <v>28</v>
      </c>
      <c r="B30" s="5">
        <v>0.0</v>
      </c>
    </row>
    <row r="31">
      <c r="A31" s="5" t="s">
        <v>11</v>
      </c>
      <c r="B31">
        <f>((Sheet1!$B$3+B29*Sheet1!$G$2)+((B28+(B30*2))*Sheet1!$G$5))/(1-(Sheet1!$C$2))-(Sheet1!$B$3)/(1-(Sheet1!$C$2))</f>
        <v>2976.017057</v>
      </c>
      <c r="F31" s="174" t="s">
        <v>915</v>
      </c>
      <c r="G31" s="175"/>
      <c r="H31" s="5" t="s">
        <v>875</v>
      </c>
    </row>
    <row r="32">
      <c r="F32" s="155" t="s">
        <v>1</v>
      </c>
      <c r="G32" s="155">
        <v>613.0</v>
      </c>
    </row>
    <row r="33">
      <c r="A33" s="5" t="s">
        <v>916</v>
      </c>
      <c r="C33" s="5" t="s">
        <v>812</v>
      </c>
      <c r="F33" s="155" t="s">
        <v>25</v>
      </c>
      <c r="G33" s="155">
        <v>32.0</v>
      </c>
    </row>
    <row r="34">
      <c r="A34" s="5" t="s">
        <v>1</v>
      </c>
      <c r="B34" s="5">
        <v>581.0</v>
      </c>
      <c r="F34" s="155" t="s">
        <v>495</v>
      </c>
      <c r="G34" s="155">
        <v>0.0</v>
      </c>
    </row>
    <row r="35">
      <c r="A35" s="5" t="s">
        <v>25</v>
      </c>
      <c r="B35" s="5">
        <v>39.0</v>
      </c>
      <c r="F35" s="155" t="s">
        <v>28</v>
      </c>
      <c r="G35" s="155">
        <v>0.0</v>
      </c>
    </row>
    <row r="36">
      <c r="A36" s="5" t="s">
        <v>28</v>
      </c>
      <c r="B36" s="5">
        <v>0.0</v>
      </c>
      <c r="F36" s="155" t="s">
        <v>11</v>
      </c>
      <c r="G36" s="156">
        <f>(((Sheet1!$B$3+(G34*Sheet1!$G$7*Sheet1!$G$8))+G33*Sheet1!$G$2)+((G32+(G35*2))*Sheet1!$G$5))/(1-(Sheet1!$C$2))-(Sheet1!$B$3)/(1-(Sheet1!$C$2))</f>
        <v>2578.015385</v>
      </c>
    </row>
    <row r="37">
      <c r="A37" s="5" t="s">
        <v>11</v>
      </c>
      <c r="B37">
        <f>((Sheet1!$B$3+B35*Sheet1!$G$2)+((B34+(B36*2))*Sheet1!$G$5))/(1-(Sheet1!$C$2))-(Sheet1!$B$3)/(1-(Sheet1!$C$2))</f>
        <v>2669.005686</v>
      </c>
    </row>
    <row r="38">
      <c r="F38" s="183" t="s">
        <v>917</v>
      </c>
      <c r="H38" s="5" t="s">
        <v>829</v>
      </c>
    </row>
    <row r="39">
      <c r="A39" s="190" t="s">
        <v>915</v>
      </c>
      <c r="B39" s="191"/>
      <c r="C39" s="5" t="s">
        <v>918</v>
      </c>
      <c r="F39" s="155" t="s">
        <v>1</v>
      </c>
      <c r="G39" s="155">
        <v>693.0</v>
      </c>
    </row>
    <row r="40">
      <c r="A40" s="190" t="s">
        <v>1</v>
      </c>
      <c r="B40" s="190">
        <v>703.0</v>
      </c>
      <c r="F40" s="155" t="s">
        <v>25</v>
      </c>
      <c r="G40" s="155">
        <v>42.0</v>
      </c>
    </row>
    <row r="41">
      <c r="A41" s="190" t="s">
        <v>25</v>
      </c>
      <c r="B41" s="190">
        <v>37.0</v>
      </c>
      <c r="F41" s="155" t="s">
        <v>495</v>
      </c>
      <c r="G41" s="155">
        <v>0.0</v>
      </c>
    </row>
    <row r="42">
      <c r="A42" s="190" t="s">
        <v>28</v>
      </c>
      <c r="B42" s="190">
        <v>0.0</v>
      </c>
      <c r="F42" s="155" t="s">
        <v>28</v>
      </c>
      <c r="G42" s="155">
        <v>0.0</v>
      </c>
    </row>
    <row r="43">
      <c r="A43" s="190" t="s">
        <v>11</v>
      </c>
      <c r="B43" s="191">
        <f>((Sheet1!$B$3+B41*Sheet1!$G$2)+((B40+(B42*2))*Sheet1!$G$5))/(1-(Sheet1!$C$2))-(Sheet1!$B$3)/(1-(Sheet1!$C$2))</f>
        <v>2964.368227</v>
      </c>
      <c r="F43" s="155" t="s">
        <v>11</v>
      </c>
      <c r="G43" s="156">
        <f>(((Sheet1!$B$3+(G41*Sheet1!$G$7*Sheet1!$G$8))+G40*Sheet1!$G$2)+((G39+(G42*2))*Sheet1!$G$5))/(1-(Sheet1!$C$2))-(Sheet1!$B$3)/(1-(Sheet1!$C$2))</f>
        <v>3065.971906</v>
      </c>
    </row>
    <row r="45">
      <c r="A45" s="5" t="s">
        <v>919</v>
      </c>
      <c r="C45" s="5" t="s">
        <v>920</v>
      </c>
      <c r="F45" s="183" t="s">
        <v>916</v>
      </c>
      <c r="H45" s="5" t="s">
        <v>812</v>
      </c>
    </row>
    <row r="46">
      <c r="A46" s="5" t="s">
        <v>1</v>
      </c>
      <c r="B46" s="5">
        <v>608.0</v>
      </c>
      <c r="F46" s="155" t="s">
        <v>1</v>
      </c>
      <c r="G46" s="155">
        <v>581.0</v>
      </c>
    </row>
    <row r="47">
      <c r="A47" s="5" t="s">
        <v>25</v>
      </c>
      <c r="B47" s="5">
        <v>25.0</v>
      </c>
      <c r="F47" s="155" t="s">
        <v>25</v>
      </c>
      <c r="G47" s="155">
        <v>39.0</v>
      </c>
    </row>
    <row r="48">
      <c r="A48" s="5" t="s">
        <v>28</v>
      </c>
      <c r="B48" s="5">
        <v>18.0</v>
      </c>
      <c r="F48" s="155" t="s">
        <v>495</v>
      </c>
      <c r="G48" s="155">
        <v>0.0</v>
      </c>
    </row>
    <row r="49">
      <c r="A49" s="5" t="s">
        <v>11</v>
      </c>
      <c r="B49">
        <f>((Sheet1!$B$3+B47*Sheet1!$G$2)+((B46+(B48*2))*Sheet1!$G$5))/(1-(Sheet1!$C$2))-(Sheet1!$B$3)/(1-(Sheet1!$C$2))</f>
        <v>2484.177592</v>
      </c>
      <c r="F49" s="155" t="s">
        <v>28</v>
      </c>
      <c r="G49" s="155">
        <v>0.0</v>
      </c>
    </row>
    <row r="50">
      <c r="F50" s="155" t="s">
        <v>11</v>
      </c>
      <c r="G50" s="156">
        <f>(((Sheet1!$B$3+(G48*Sheet1!$G$7*Sheet1!$G$8))+G47*Sheet1!$G$2)+((G46+(G49*2))*Sheet1!$G$5))/(1-(Sheet1!$C$2))-(Sheet1!$B$3)/(1-(Sheet1!$C$2))</f>
        <v>2669.005686</v>
      </c>
    </row>
  </sheetData>
  <conditionalFormatting sqref="G8 G15 G22 G29 G36 G43 G5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707</v>
      </c>
      <c r="C1" s="5"/>
      <c r="D1" s="5"/>
      <c r="E1" s="5"/>
      <c r="F1" s="5"/>
      <c r="G1" s="5"/>
      <c r="H1" s="5"/>
    </row>
    <row r="3">
      <c r="A3" s="155" t="s">
        <v>921</v>
      </c>
      <c r="B3" s="156"/>
      <c r="F3" s="155" t="s">
        <v>922</v>
      </c>
      <c r="G3" s="156"/>
      <c r="H3" s="5" t="s">
        <v>812</v>
      </c>
    </row>
    <row r="4">
      <c r="A4" s="155" t="s">
        <v>1</v>
      </c>
      <c r="B4" s="155">
        <v>1141.0</v>
      </c>
      <c r="F4" s="155" t="s">
        <v>1</v>
      </c>
      <c r="G4" s="155">
        <v>943.0</v>
      </c>
    </row>
    <row r="5">
      <c r="A5" s="155" t="s">
        <v>25</v>
      </c>
      <c r="B5" s="155">
        <v>65.0</v>
      </c>
      <c r="F5" s="155" t="s">
        <v>25</v>
      </c>
      <c r="G5" s="155">
        <v>51.0</v>
      </c>
      <c r="H5" s="5"/>
    </row>
    <row r="6">
      <c r="A6" s="155" t="s">
        <v>28</v>
      </c>
      <c r="B6" s="155">
        <v>0.0</v>
      </c>
      <c r="C6" s="5"/>
      <c r="F6" s="155" t="s">
        <v>495</v>
      </c>
      <c r="G6" s="155">
        <v>45.0</v>
      </c>
      <c r="H6" s="5"/>
    </row>
    <row r="7">
      <c r="A7" s="155" t="s">
        <v>11</v>
      </c>
      <c r="B7" s="156">
        <f>((Sheet1!B3+B5*Sheet1!G2)+((B4+(B6*2))*Sheet1!G5))/(1-(Sheet1!C2))-(Sheet1!B3)/(1-(Sheet1!C2))</f>
        <v>4940.009699</v>
      </c>
      <c r="C7" s="151"/>
      <c r="D7" s="5"/>
      <c r="F7" s="155" t="s">
        <v>28</v>
      </c>
      <c r="G7" s="155">
        <v>0.0</v>
      </c>
    </row>
    <row r="8">
      <c r="A8" s="153"/>
      <c r="B8" s="81"/>
      <c r="C8" s="151"/>
      <c r="F8" s="155" t="s">
        <v>11</v>
      </c>
      <c r="G8" s="156">
        <f>(((Sheet1!$B$3+(G6*Sheet1!$G$7*Sheet1!$G$8))+G5*Sheet1!$G$2)+((G4+(G7*2))*Sheet1!$G$5))/(1-(Sheet1!$C$2))-(Sheet1!$B$3)/(1-(Sheet1!$C$2))</f>
        <v>4163.42107</v>
      </c>
    </row>
    <row r="9">
      <c r="A9" s="155" t="s">
        <v>923</v>
      </c>
      <c r="B9" s="156"/>
      <c r="C9" s="5"/>
    </row>
    <row r="10">
      <c r="A10" s="155" t="s">
        <v>1</v>
      </c>
      <c r="B10" s="155">
        <v>1103.0</v>
      </c>
      <c r="C10" s="5"/>
      <c r="F10" s="155" t="s">
        <v>924</v>
      </c>
      <c r="G10" s="156"/>
      <c r="H10" s="5" t="s">
        <v>827</v>
      </c>
    </row>
    <row r="11">
      <c r="A11" s="155" t="s">
        <v>25</v>
      </c>
      <c r="B11" s="155">
        <v>70.0</v>
      </c>
      <c r="F11" s="155" t="s">
        <v>1</v>
      </c>
      <c r="G11" s="155">
        <v>868.0</v>
      </c>
      <c r="H11" s="5"/>
    </row>
    <row r="12">
      <c r="A12" s="155" t="s">
        <v>495</v>
      </c>
      <c r="B12" s="155">
        <v>36.0</v>
      </c>
      <c r="E12" s="5"/>
      <c r="F12" s="155" t="s">
        <v>25</v>
      </c>
      <c r="G12" s="155">
        <v>36.0</v>
      </c>
    </row>
    <row r="13">
      <c r="A13" s="155" t="s">
        <v>28</v>
      </c>
      <c r="B13" s="155">
        <v>0.0</v>
      </c>
      <c r="E13" s="5"/>
      <c r="F13" s="155" t="s">
        <v>495</v>
      </c>
      <c r="G13" s="155">
        <v>0.0</v>
      </c>
    </row>
    <row r="14">
      <c r="A14" s="155" t="s">
        <v>11</v>
      </c>
      <c r="B14" s="156">
        <f>((Sheet1!B3+(B12*Sheet1!G7*Sheet1!G8)+B11*Sheet1!G2)+((B10+(B13*2))*Sheet1!G5))/(1-(Sheet1!C2))-(Sheet1!B3)/(1-(Sheet1!C2))</f>
        <v>5083.031438</v>
      </c>
      <c r="C14" s="10"/>
      <c r="F14" s="155" t="s">
        <v>28</v>
      </c>
      <c r="G14" s="155">
        <v>0.0</v>
      </c>
      <c r="H14" s="5"/>
    </row>
    <row r="15">
      <c r="A15" s="5"/>
      <c r="F15" s="155" t="s">
        <v>11</v>
      </c>
      <c r="G15" s="156">
        <f>(((Sheet1!$B$3+(G13*Sheet1!$G$7*Sheet1!$G$8))+G12*Sheet1!$G$2)+((G11+(G14*2))*Sheet1!$G$5))/(1-(Sheet1!$C$2))-(Sheet1!$B$3)/(1-(Sheet1!$C$2))</f>
        <v>3408.188629</v>
      </c>
      <c r="H15" s="5"/>
    </row>
    <row r="16">
      <c r="A16" s="5" t="s">
        <v>925</v>
      </c>
      <c r="C16" s="5" t="s">
        <v>848</v>
      </c>
      <c r="G16" s="5"/>
      <c r="H16" s="5"/>
    </row>
    <row r="17">
      <c r="A17" s="5" t="s">
        <v>1</v>
      </c>
      <c r="B17" s="5">
        <v>1217.0</v>
      </c>
      <c r="F17" s="184" t="s">
        <v>926</v>
      </c>
      <c r="G17" s="192"/>
      <c r="H17" s="5" t="s">
        <v>808</v>
      </c>
    </row>
    <row r="18">
      <c r="A18" s="5" t="s">
        <v>25</v>
      </c>
      <c r="B18" s="5">
        <v>96.0</v>
      </c>
      <c r="F18" s="193" t="s">
        <v>1</v>
      </c>
      <c r="G18" s="186">
        <v>831.0</v>
      </c>
    </row>
    <row r="19">
      <c r="A19" s="5" t="s">
        <v>28</v>
      </c>
      <c r="B19" s="5">
        <v>0.0</v>
      </c>
      <c r="F19" s="193" t="s">
        <v>25</v>
      </c>
      <c r="G19" s="186">
        <v>34.0</v>
      </c>
    </row>
    <row r="20">
      <c r="A20" s="5" t="s">
        <v>11</v>
      </c>
      <c r="B20">
        <f>((Sheet1!B3+B18*Sheet1!G2)+((B17+(B19*2))*Sheet1!G5))/(1-(Sheet1!C2))-(Sheet1!B3)/(1-(Sheet1!C2))</f>
        <v>5962.906355</v>
      </c>
      <c r="F20" s="193" t="s">
        <v>495</v>
      </c>
      <c r="G20" s="192">
        <v>0.0</v>
      </c>
    </row>
    <row r="21">
      <c r="F21" s="193" t="s">
        <v>28</v>
      </c>
      <c r="G21" s="186">
        <v>17.0</v>
      </c>
    </row>
    <row r="22">
      <c r="A22" s="5" t="s">
        <v>927</v>
      </c>
      <c r="C22" s="5" t="s">
        <v>812</v>
      </c>
      <c r="F22" s="185" t="s">
        <v>11</v>
      </c>
      <c r="G22" s="187">
        <f>(((Sheet1!$B$3+(G20*Sheet1!$G$7*Sheet1!$G$8))+G19*Sheet1!$G$2)+((G18+(G21*2))*Sheet1!$G$5))/(1-(Sheet1!$C$2))-(Sheet1!$B$3)/(1-(Sheet1!$C$2))</f>
        <v>3347.614716</v>
      </c>
    </row>
    <row r="23">
      <c r="A23" s="5" t="s">
        <v>1</v>
      </c>
      <c r="B23" s="5">
        <v>831.0</v>
      </c>
      <c r="F23" s="80"/>
      <c r="G23" s="80"/>
    </row>
    <row r="24">
      <c r="A24" s="5" t="s">
        <v>25</v>
      </c>
      <c r="B24" s="5">
        <v>54.0</v>
      </c>
      <c r="F24" s="194" t="s">
        <v>928</v>
      </c>
      <c r="G24" s="193"/>
      <c r="H24" s="5" t="s">
        <v>929</v>
      </c>
    </row>
    <row r="25">
      <c r="A25" s="5" t="s">
        <v>28</v>
      </c>
      <c r="B25" s="5">
        <v>0.0</v>
      </c>
      <c r="F25" s="193" t="s">
        <v>1</v>
      </c>
      <c r="G25" s="186">
        <v>793.0</v>
      </c>
    </row>
    <row r="26">
      <c r="A26" s="5" t="s">
        <v>11</v>
      </c>
      <c r="B26">
        <f>((Sheet1!$B$3+B24*Sheet1!$G$2)+((B23+(B25*2))*Sheet1!$G$5))/(1-(Sheet1!$C$2))-(Sheet1!$B$3)/(1-(Sheet1!$C$2))</f>
        <v>3771.114381</v>
      </c>
      <c r="F26" s="193" t="s">
        <v>25</v>
      </c>
      <c r="G26" s="186">
        <v>58.0</v>
      </c>
    </row>
    <row r="27">
      <c r="F27" s="193" t="s">
        <v>495</v>
      </c>
      <c r="G27" s="186">
        <v>33.0</v>
      </c>
    </row>
    <row r="28">
      <c r="A28" s="5" t="s">
        <v>926</v>
      </c>
      <c r="C28" s="5" t="s">
        <v>808</v>
      </c>
      <c r="F28" s="193" t="s">
        <v>28</v>
      </c>
      <c r="G28" s="187">
        <v>0.0</v>
      </c>
    </row>
    <row r="29">
      <c r="A29" s="5" t="s">
        <v>1</v>
      </c>
      <c r="B29" s="5">
        <v>944.0</v>
      </c>
      <c r="F29" s="185" t="s">
        <v>11</v>
      </c>
      <c r="G29" s="187">
        <f>(((Sheet1!$B$3+(G27*Sheet1!$G$7*Sheet1!$G$8))+G26*Sheet1!$G$2)+((G25+(G28*2))*Sheet1!$G$5))/(1-(Sheet1!$C$2))-(Sheet1!$B$3)/(1-(Sheet1!$C$2))</f>
        <v>3878.024749</v>
      </c>
    </row>
    <row r="30">
      <c r="A30" s="5" t="s">
        <v>25</v>
      </c>
      <c r="B30" s="5">
        <v>38.0</v>
      </c>
      <c r="F30" s="80"/>
      <c r="G30" s="80"/>
    </row>
    <row r="31">
      <c r="A31" s="5" t="s">
        <v>28</v>
      </c>
      <c r="B31" s="5">
        <v>20.0</v>
      </c>
      <c r="F31" s="194" t="s">
        <v>930</v>
      </c>
      <c r="G31" s="193"/>
      <c r="H31" s="5" t="s">
        <v>931</v>
      </c>
    </row>
    <row r="32">
      <c r="A32" s="5" t="s">
        <v>11</v>
      </c>
      <c r="B32">
        <f>((Sheet1!$B$3+B30*Sheet1!$G$2)+((B29+(B31*2))*Sheet1!$G$5))/(1-(Sheet1!$C$2))-(Sheet1!$B$3)/(1-(Sheet1!$C$2))</f>
        <v>3790.529097</v>
      </c>
      <c r="F32" s="193" t="s">
        <v>1</v>
      </c>
      <c r="G32" s="186">
        <v>831.0</v>
      </c>
    </row>
    <row r="33">
      <c r="F33" s="193" t="s">
        <v>25</v>
      </c>
      <c r="G33" s="186">
        <v>64.0</v>
      </c>
    </row>
    <row r="34">
      <c r="A34" s="5" t="s">
        <v>930</v>
      </c>
      <c r="C34" s="5" t="s">
        <v>931</v>
      </c>
      <c r="F34" s="193" t="s">
        <v>495</v>
      </c>
      <c r="G34" s="192">
        <v>0.0</v>
      </c>
    </row>
    <row r="35">
      <c r="A35" s="5" t="s">
        <v>1</v>
      </c>
      <c r="B35" s="5">
        <v>944.0</v>
      </c>
      <c r="F35" s="193" t="s">
        <v>28</v>
      </c>
      <c r="G35" s="187">
        <v>0.0</v>
      </c>
    </row>
    <row r="36">
      <c r="A36" s="5" t="s">
        <v>25</v>
      </c>
      <c r="B36" s="5">
        <v>73.0</v>
      </c>
      <c r="F36" s="193" t="s">
        <v>11</v>
      </c>
      <c r="G36" s="192">
        <f>(((Sheet1!$B$3+(G34*Sheet1!$G$7*Sheet1!$G$8))+G33*Sheet1!$G$2)+((G32+(G35*2))*Sheet1!$G$5))/(1-(Sheet1!$C$2))-(Sheet1!$B$3)/(1-(Sheet1!$C$2))</f>
        <v>4031.271572</v>
      </c>
    </row>
    <row r="37">
      <c r="A37" s="5" t="s">
        <v>28</v>
      </c>
      <c r="B37" s="5">
        <v>0.0</v>
      </c>
      <c r="F37" s="14"/>
      <c r="G37" s="195"/>
    </row>
    <row r="38">
      <c r="A38" s="5" t="s">
        <v>11</v>
      </c>
      <c r="B38">
        <f>((Sheet1!$B$3+B36*Sheet1!$G$2)+((B35+(B37*2))*Sheet1!$G$5))/(1-(Sheet1!$C$2))-(Sheet1!$B$3)/(1-(Sheet1!$C$2))</f>
        <v>4587.179599</v>
      </c>
      <c r="F38" s="194" t="s">
        <v>932</v>
      </c>
      <c r="G38" s="193"/>
      <c r="H38" s="5" t="s">
        <v>870</v>
      </c>
    </row>
    <row r="39">
      <c r="F39" s="193" t="s">
        <v>1</v>
      </c>
      <c r="G39" s="186">
        <v>728.0</v>
      </c>
    </row>
    <row r="40">
      <c r="A40" s="5" t="s">
        <v>933</v>
      </c>
      <c r="C40" s="5" t="s">
        <v>489</v>
      </c>
      <c r="F40" s="193" t="s">
        <v>25</v>
      </c>
      <c r="G40" s="186">
        <v>55.0</v>
      </c>
    </row>
    <row r="41">
      <c r="A41" s="5" t="s">
        <v>1</v>
      </c>
      <c r="B41" s="5">
        <v>1042.0</v>
      </c>
      <c r="F41" s="193" t="s">
        <v>495</v>
      </c>
      <c r="G41" s="192">
        <v>0.0</v>
      </c>
    </row>
    <row r="42">
      <c r="A42" s="5" t="s">
        <v>25</v>
      </c>
      <c r="B42" s="5">
        <v>44.0</v>
      </c>
      <c r="F42" s="193" t="s">
        <v>28</v>
      </c>
      <c r="G42" s="187">
        <v>0.0</v>
      </c>
    </row>
    <row r="43">
      <c r="A43" s="5" t="s">
        <v>28</v>
      </c>
      <c r="B43" s="5">
        <v>0.0</v>
      </c>
      <c r="F43" s="193" t="s">
        <v>11</v>
      </c>
      <c r="G43" s="192">
        <f>(((Sheet1!$B$3+(G41*Sheet1!$G$7*Sheet1!$G$8))+G40*Sheet1!$G$2)+((G39+(G42*2))*Sheet1!$G$5))/(1-(Sheet1!$C$2))-(Sheet1!$B$3)/(1-(Sheet1!$C$2))</f>
        <v>3503.838462</v>
      </c>
    </row>
    <row r="44">
      <c r="A44" s="5" t="s">
        <v>11</v>
      </c>
      <c r="B44">
        <f>((Sheet1!$B$3+B42*Sheet1!$G$2)+((B41+(B43*2))*Sheet1!$G$5))/(1-(Sheet1!$C$2))-(Sheet1!$B$3)/(1-(Sheet1!$C$2))</f>
        <v>4111.777926</v>
      </c>
    </row>
    <row r="45">
      <c r="F45" s="174" t="s">
        <v>934</v>
      </c>
      <c r="G45" s="175"/>
      <c r="H45" s="5" t="s">
        <v>875</v>
      </c>
    </row>
    <row r="46">
      <c r="A46" s="190" t="s">
        <v>934</v>
      </c>
      <c r="B46" s="191"/>
      <c r="C46" s="5" t="s">
        <v>935</v>
      </c>
      <c r="F46" s="193" t="s">
        <v>1</v>
      </c>
      <c r="G46" s="186">
        <v>1080.0</v>
      </c>
    </row>
    <row r="47">
      <c r="A47" s="190" t="s">
        <v>1</v>
      </c>
      <c r="B47" s="190">
        <v>1080.0</v>
      </c>
      <c r="F47" s="193" t="s">
        <v>25</v>
      </c>
      <c r="G47" s="186">
        <v>81.0</v>
      </c>
    </row>
    <row r="48">
      <c r="A48" s="190" t="s">
        <v>25</v>
      </c>
      <c r="B48" s="190">
        <v>81.0</v>
      </c>
      <c r="F48" s="193" t="s">
        <v>495</v>
      </c>
      <c r="G48" s="192">
        <v>0.0</v>
      </c>
    </row>
    <row r="49">
      <c r="A49" s="190" t="s">
        <v>28</v>
      </c>
      <c r="B49" s="190">
        <v>0.0</v>
      </c>
      <c r="F49" s="193" t="s">
        <v>28</v>
      </c>
      <c r="G49" s="187">
        <v>0.0</v>
      </c>
    </row>
    <row r="50">
      <c r="A50" s="190" t="s">
        <v>11</v>
      </c>
      <c r="B50" s="191">
        <f>((Sheet1!$B$3+B48*Sheet1!$G$2)+((B47+(B49*2))*Sheet1!$G$5))/(1-(Sheet1!$C$2))-(Sheet1!$B$3)/(1-(Sheet1!$C$2))</f>
        <v>5182.564214</v>
      </c>
      <c r="F50" s="193" t="s">
        <v>11</v>
      </c>
      <c r="G50" s="192">
        <f>(((Sheet1!$B$3+(G48*Sheet1!$G$7*Sheet1!$G$8))+G47*Sheet1!$G$2)+((G46+(G49*2))*Sheet1!$G$5))/(1-(Sheet1!$C$2))-(Sheet1!$B$3)/(1-(Sheet1!$C$2))</f>
        <v>5182.564214</v>
      </c>
    </row>
    <row r="52">
      <c r="A52" s="5" t="s">
        <v>928</v>
      </c>
      <c r="C52" s="5" t="s">
        <v>839</v>
      </c>
      <c r="F52" s="174" t="s">
        <v>933</v>
      </c>
      <c r="G52" s="175"/>
      <c r="H52" s="5" t="s">
        <v>489</v>
      </c>
    </row>
    <row r="53">
      <c r="A53" s="5" t="s">
        <v>1</v>
      </c>
      <c r="B53" s="5">
        <v>906.0</v>
      </c>
      <c r="F53" s="193" t="s">
        <v>1</v>
      </c>
      <c r="G53" s="186">
        <v>944.0</v>
      </c>
    </row>
    <row r="54">
      <c r="A54" s="5" t="s">
        <v>25</v>
      </c>
      <c r="B54" s="5">
        <v>63.0</v>
      </c>
      <c r="F54" s="193" t="s">
        <v>25</v>
      </c>
      <c r="G54" s="186">
        <v>36.0</v>
      </c>
    </row>
    <row r="55">
      <c r="A55" s="5" t="s">
        <v>28</v>
      </c>
      <c r="B55" s="5">
        <v>0.0</v>
      </c>
      <c r="F55" s="193" t="s">
        <v>495</v>
      </c>
      <c r="G55" s="186">
        <v>33.0</v>
      </c>
    </row>
    <row r="56">
      <c r="A56" s="5" t="s">
        <v>11</v>
      </c>
      <c r="B56">
        <f>((Sheet1!$B$3+B54*Sheet1!$G$2)+((B53+(B55*2))*Sheet1!$G$5))/(1-(Sheet1!$C$2))-(Sheet1!$B$3)/(1-(Sheet1!$C$2))</f>
        <v>4218.817726</v>
      </c>
      <c r="F56" s="193" t="s">
        <v>28</v>
      </c>
      <c r="G56" s="186">
        <v>17.0</v>
      </c>
    </row>
    <row r="57">
      <c r="F57" s="193" t="s">
        <v>11</v>
      </c>
      <c r="G57" s="192">
        <f>(((Sheet1!$B$3+(G55*Sheet1!$G$7*Sheet1!$G$8))+G54*Sheet1!$G$2)+((G53+(G56*2))*Sheet1!$G$5))/(1-(Sheet1!$C$2))-(Sheet1!$B$3)/(1-(Sheet1!$C$2))</f>
        <v>3832.464883</v>
      </c>
    </row>
    <row r="58">
      <c r="A58" s="5" t="s">
        <v>922</v>
      </c>
      <c r="C58" s="5" t="s">
        <v>936</v>
      </c>
    </row>
    <row r="59">
      <c r="A59" s="5" t="s">
        <v>1</v>
      </c>
      <c r="B59" s="5">
        <v>943.0</v>
      </c>
      <c r="F59" s="183" t="s">
        <v>937</v>
      </c>
      <c r="H59" s="5" t="s">
        <v>829</v>
      </c>
    </row>
    <row r="60">
      <c r="A60" s="5" t="s">
        <v>25</v>
      </c>
      <c r="B60" s="5">
        <v>51.0</v>
      </c>
      <c r="F60" s="193" t="s">
        <v>1</v>
      </c>
      <c r="G60" s="186">
        <v>1065.0</v>
      </c>
    </row>
    <row r="61">
      <c r="A61" s="5" t="s">
        <v>28</v>
      </c>
      <c r="B61" s="5">
        <v>0.0</v>
      </c>
      <c r="F61" s="193" t="s">
        <v>25</v>
      </c>
      <c r="G61" s="186">
        <v>46.0</v>
      </c>
    </row>
    <row r="62">
      <c r="A62" s="5" t="s">
        <v>11</v>
      </c>
      <c r="B62">
        <f>((Sheet1!$B$3+B60*Sheet1!$G$2)+((B59+(B61*2))*Sheet1!$G$5))/(1-(Sheet1!$C$2))-(Sheet1!$B$3)/(1-(Sheet1!$C$2))</f>
        <v>4011.986288</v>
      </c>
      <c r="F62" s="193" t="s">
        <v>495</v>
      </c>
      <c r="G62" s="186">
        <v>0.0</v>
      </c>
    </row>
    <row r="63">
      <c r="F63" s="193" t="s">
        <v>28</v>
      </c>
      <c r="G63" s="186">
        <v>0.0</v>
      </c>
    </row>
    <row r="64">
      <c r="A64" s="5" t="s">
        <v>938</v>
      </c>
      <c r="C64" s="5" t="s">
        <v>939</v>
      </c>
      <c r="F64" s="193" t="s">
        <v>11</v>
      </c>
      <c r="G64" s="192">
        <f>(((Sheet1!$B$3+(G62*Sheet1!$G$7*Sheet1!$G$8))+G61*Sheet1!$G$2)+((G60+(G63*2))*Sheet1!$G$5))/(1-(Sheet1!$C$2))-(Sheet1!$B$3)/(1-(Sheet1!$C$2))</f>
        <v>4229.301672</v>
      </c>
    </row>
    <row r="65">
      <c r="A65" s="5" t="s">
        <v>1</v>
      </c>
      <c r="B65" s="5">
        <v>868.0</v>
      </c>
    </row>
    <row r="66">
      <c r="A66" s="5" t="s">
        <v>25</v>
      </c>
      <c r="B66" s="5">
        <v>36.0</v>
      </c>
      <c r="F66" s="5" t="s">
        <v>927</v>
      </c>
      <c r="H66" s="5" t="s">
        <v>812</v>
      </c>
    </row>
    <row r="67">
      <c r="A67" s="5" t="s">
        <v>28</v>
      </c>
      <c r="B67" s="5">
        <v>23.0</v>
      </c>
      <c r="F67" s="193" t="s">
        <v>1</v>
      </c>
      <c r="G67" s="186">
        <v>831.0</v>
      </c>
    </row>
    <row r="68">
      <c r="A68" s="5" t="s">
        <v>11</v>
      </c>
      <c r="B68">
        <f>((Sheet1!$B$3+B66*Sheet1!$G$2)+((B65+(B67*2))*Sheet1!$G$5))/(1-(Sheet1!$C$2))-(Sheet1!$B$3)/(1-(Sheet1!$C$2))</f>
        <v>3539.173244</v>
      </c>
      <c r="F68" s="193" t="s">
        <v>25</v>
      </c>
      <c r="G68" s="186">
        <v>54.0</v>
      </c>
    </row>
    <row r="69">
      <c r="F69" s="193" t="s">
        <v>495</v>
      </c>
      <c r="G69" s="186">
        <v>0.0</v>
      </c>
    </row>
    <row r="70">
      <c r="F70" s="193" t="s">
        <v>28</v>
      </c>
      <c r="G70" s="186">
        <v>0.0</v>
      </c>
    </row>
    <row r="71">
      <c r="F71" s="193" t="s">
        <v>11</v>
      </c>
      <c r="G71" s="192">
        <f>(((Sheet1!$B$3+(G69*Sheet1!$G$7*Sheet1!$G$8))+G68*Sheet1!$G$2)+((G67+(G70*2))*Sheet1!$G$5))/(1-(Sheet1!$C$2))-(Sheet1!$B$3)/(1-(Sheet1!$C$2))</f>
        <v>3771.114381</v>
      </c>
    </row>
  </sheetData>
  <conditionalFormatting sqref="G8 G15 G22 G29 G36 G43 G50 G57 G64 G7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940</v>
      </c>
      <c r="C1" s="5"/>
      <c r="D1" s="5"/>
      <c r="E1" s="5"/>
      <c r="F1" s="5"/>
      <c r="G1" s="5"/>
      <c r="H1" s="5"/>
    </row>
    <row r="3">
      <c r="A3" s="155" t="s">
        <v>941</v>
      </c>
      <c r="B3" s="156"/>
      <c r="F3" s="155" t="s">
        <v>942</v>
      </c>
      <c r="G3" s="156"/>
    </row>
    <row r="4">
      <c r="A4" s="155" t="s">
        <v>1</v>
      </c>
      <c r="B4" s="155">
        <v>993.0</v>
      </c>
      <c r="F4" s="155" t="s">
        <v>1</v>
      </c>
      <c r="G4" s="155">
        <v>713.0</v>
      </c>
    </row>
    <row r="5">
      <c r="A5" s="155" t="s">
        <v>25</v>
      </c>
      <c r="B5" s="155">
        <v>83.0</v>
      </c>
      <c r="F5" s="155" t="s">
        <v>25</v>
      </c>
      <c r="G5" s="155">
        <v>57.0</v>
      </c>
      <c r="H5" s="5"/>
    </row>
    <row r="6">
      <c r="A6" s="155" t="s">
        <v>495</v>
      </c>
      <c r="B6" s="155">
        <v>56.0</v>
      </c>
      <c r="C6" s="5"/>
      <c r="F6" s="155" t="s">
        <v>495</v>
      </c>
      <c r="G6" s="155">
        <v>9.0</v>
      </c>
      <c r="H6" s="5"/>
    </row>
    <row r="7">
      <c r="A7" s="155" t="s">
        <v>28</v>
      </c>
      <c r="B7" s="155">
        <v>0.0</v>
      </c>
      <c r="C7" s="5"/>
      <c r="F7" s="155" t="s">
        <v>28</v>
      </c>
      <c r="G7" s="155">
        <v>0.0</v>
      </c>
      <c r="H7" s="5"/>
    </row>
    <row r="8">
      <c r="A8" s="155" t="s">
        <v>11</v>
      </c>
      <c r="B8" s="156">
        <f>(((Sheet1!B3+(B6*Sheet1!G7*Sheet1!G8))+B5*Sheet1!G2)+((B4+(B7*2))*Sheet1!G5))/(1-(Sheet1!C2))-(Sheet1!B3)/(1-(Sheet1!C2))</f>
        <v>5175.316054</v>
      </c>
      <c r="C8" s="151"/>
      <c r="D8" s="5"/>
      <c r="F8" s="155" t="s">
        <v>11</v>
      </c>
      <c r="G8" s="156">
        <f>(((Sheet1!$B$3+(G6*Sheet1!$G$7*Sheet1!$G$8))+G5*Sheet1!$G$2)+((G4+(G7*2))*Sheet1!$G$5))/(1-(Sheet1!$C$2))-(Sheet1!$B$3)/(1-(Sheet1!$C$2))</f>
        <v>3543.444482</v>
      </c>
    </row>
    <row r="9">
      <c r="A9" s="153"/>
      <c r="B9" s="81"/>
      <c r="C9" s="151"/>
    </row>
    <row r="10">
      <c r="A10" s="5" t="s">
        <v>943</v>
      </c>
      <c r="C10" s="5"/>
      <c r="F10" s="5" t="s">
        <v>944</v>
      </c>
    </row>
    <row r="11">
      <c r="A11" s="5" t="s">
        <v>1</v>
      </c>
      <c r="B11" s="5">
        <v>1081.0</v>
      </c>
      <c r="C11" s="5"/>
      <c r="F11" s="155" t="s">
        <v>1</v>
      </c>
      <c r="G11" s="155">
        <v>655.0</v>
      </c>
    </row>
    <row r="12">
      <c r="A12" s="5" t="s">
        <v>25</v>
      </c>
      <c r="B12" s="5">
        <v>79.0</v>
      </c>
      <c r="F12" s="155" t="s">
        <v>25</v>
      </c>
      <c r="G12" s="155">
        <v>57.0</v>
      </c>
      <c r="H12" s="5"/>
    </row>
    <row r="13">
      <c r="A13" s="5" t="s">
        <v>495</v>
      </c>
      <c r="B13" s="5">
        <v>56.0</v>
      </c>
      <c r="E13" s="5"/>
      <c r="F13" s="155" t="s">
        <v>495</v>
      </c>
      <c r="G13" s="155">
        <v>0.0</v>
      </c>
    </row>
    <row r="14">
      <c r="A14" s="5" t="s">
        <v>28</v>
      </c>
      <c r="B14" s="5">
        <v>0.0</v>
      </c>
      <c r="E14" s="5"/>
      <c r="F14" s="155" t="s">
        <v>28</v>
      </c>
      <c r="G14" s="155">
        <v>0.0</v>
      </c>
    </row>
    <row r="15">
      <c r="A15" s="5" t="s">
        <v>11</v>
      </c>
      <c r="B15">
        <f>(((Sheet1!$B$3+(B13*Sheet1!$G$7*Sheet1!$G$8))+B12*Sheet1!$G$2)+((B11+(B14*2))*Sheet1!$G$5))/(1-(Sheet1!$C$2))-(Sheet1!$B$3)/(1-(Sheet1!$C$2))</f>
        <v>5321.832441</v>
      </c>
      <c r="C15" s="10"/>
      <c r="F15" s="155" t="s">
        <v>11</v>
      </c>
      <c r="G15" s="156">
        <f>(((Sheet1!$B$3+(G13*Sheet1!$G$7*Sheet1!$G$8))+G12*Sheet1!$G$2)+((G11+(G14*2))*Sheet1!$G$5))/(1-(Sheet1!$C$2))-(Sheet1!$B$3)/(1-(Sheet1!$C$2))</f>
        <v>3348.00301</v>
      </c>
    </row>
    <row r="16">
      <c r="A16" s="5"/>
      <c r="G16" s="5"/>
      <c r="H16" s="5"/>
    </row>
    <row r="17">
      <c r="A17" s="5" t="s">
        <v>945</v>
      </c>
      <c r="C17" s="5" t="s">
        <v>946</v>
      </c>
      <c r="F17" s="174" t="s">
        <v>947</v>
      </c>
      <c r="G17" s="174"/>
      <c r="H17" s="5" t="s">
        <v>948</v>
      </c>
    </row>
    <row r="18">
      <c r="A18" s="5" t="s">
        <v>1</v>
      </c>
      <c r="B18" s="5">
        <v>782.0</v>
      </c>
      <c r="F18" s="155" t="s">
        <v>1</v>
      </c>
      <c r="G18" s="155">
        <v>816.0</v>
      </c>
    </row>
    <row r="19">
      <c r="A19" s="5" t="s">
        <v>25</v>
      </c>
      <c r="B19" s="5">
        <v>31.0</v>
      </c>
      <c r="F19" s="155" t="s">
        <v>25</v>
      </c>
      <c r="G19" s="155">
        <v>55.0</v>
      </c>
    </row>
    <row r="20">
      <c r="A20" s="5" t="s">
        <v>495</v>
      </c>
      <c r="B20" s="5">
        <v>0.0</v>
      </c>
      <c r="F20" s="155" t="s">
        <v>495</v>
      </c>
      <c r="G20" s="155">
        <v>0.0</v>
      </c>
    </row>
    <row r="21">
      <c r="A21" s="5" t="s">
        <v>28</v>
      </c>
      <c r="B21" s="5">
        <v>22.0</v>
      </c>
      <c r="F21" s="155" t="s">
        <v>28</v>
      </c>
      <c r="G21" s="155">
        <v>0.0</v>
      </c>
    </row>
    <row r="22">
      <c r="A22" s="5" t="s">
        <v>11</v>
      </c>
      <c r="B22">
        <f>(((Sheet1!$B$3+(B20*Sheet1!$G$7*Sheet1!$G$8))+B19*Sheet1!$G$2)+((B18+(B21*2))*Sheet1!$G$5))/(1-(Sheet1!$C$2))-(Sheet1!$B$3)/(1-(Sheet1!$C$2))</f>
        <v>3158.515385</v>
      </c>
      <c r="F22" s="155" t="s">
        <v>11</v>
      </c>
      <c r="G22" s="156">
        <f>(((Sheet1!$B$3+(G20*Sheet1!$G$7*Sheet1!$G$8))+G19*Sheet1!$G$2)+((G18+(G21*2))*Sheet1!$G$5))/(1-(Sheet1!$C$2))-(Sheet1!$B$3)/(1-(Sheet1!$C$2))</f>
        <v>3754.417726</v>
      </c>
    </row>
    <row r="24">
      <c r="A24" s="5" t="s">
        <v>944</v>
      </c>
      <c r="C24" s="5" t="s">
        <v>949</v>
      </c>
      <c r="F24" s="5" t="s">
        <v>950</v>
      </c>
      <c r="H24" s="5" t="s">
        <v>827</v>
      </c>
    </row>
    <row r="25">
      <c r="A25" s="5" t="s">
        <v>1</v>
      </c>
      <c r="B25" s="5">
        <v>655.0</v>
      </c>
      <c r="F25" s="155" t="s">
        <v>1</v>
      </c>
      <c r="G25" s="155">
        <v>870.0</v>
      </c>
    </row>
    <row r="26">
      <c r="A26" s="5" t="s">
        <v>25</v>
      </c>
      <c r="B26" s="5">
        <v>57.0</v>
      </c>
      <c r="F26" s="155" t="s">
        <v>25</v>
      </c>
      <c r="G26" s="155">
        <v>40.0</v>
      </c>
    </row>
    <row r="27">
      <c r="A27" s="5" t="s">
        <v>495</v>
      </c>
      <c r="B27" s="5">
        <v>0.0</v>
      </c>
      <c r="F27" s="155" t="s">
        <v>495</v>
      </c>
      <c r="G27" s="155">
        <v>0.0</v>
      </c>
    </row>
    <row r="28">
      <c r="A28" s="5" t="s">
        <v>28</v>
      </c>
      <c r="B28" s="5">
        <v>0.0</v>
      </c>
      <c r="F28" s="155" t="s">
        <v>28</v>
      </c>
      <c r="G28" s="155">
        <v>0.0</v>
      </c>
    </row>
    <row r="29">
      <c r="A29" s="5" t="s">
        <v>11</v>
      </c>
      <c r="B29">
        <f>(((Sheet1!$B$3+(B27*Sheet1!$G$7*Sheet1!$G$8))+B26*Sheet1!$G$2)+((B25+(B28*2))*Sheet1!$G$5))/(1-(Sheet1!$C$2))-(Sheet1!$B$3)/(1-(Sheet1!$C$2))</f>
        <v>3348.00301</v>
      </c>
      <c r="F29" s="155" t="s">
        <v>11</v>
      </c>
      <c r="G29" s="156">
        <f>(((Sheet1!$B$3+(G27*Sheet1!$G$7*Sheet1!$G$8))+G26*Sheet1!$G$2)+((G25+(G28*2))*Sheet1!$G$5))/(1-(Sheet1!$C$2))-(Sheet1!$B$3)/(1-(Sheet1!$C$2))</f>
        <v>3517.946488</v>
      </c>
    </row>
    <row r="31">
      <c r="A31" s="5" t="s">
        <v>942</v>
      </c>
      <c r="C31" s="5" t="s">
        <v>951</v>
      </c>
      <c r="F31" s="174" t="s">
        <v>952</v>
      </c>
      <c r="G31" s="175"/>
      <c r="H31" s="5" t="s">
        <v>953</v>
      </c>
    </row>
    <row r="32">
      <c r="A32" s="5" t="s">
        <v>1</v>
      </c>
      <c r="B32" s="5">
        <v>816.0</v>
      </c>
      <c r="F32" s="155" t="s">
        <v>1</v>
      </c>
      <c r="G32" s="155">
        <v>804.0</v>
      </c>
    </row>
    <row r="33">
      <c r="A33" s="5" t="s">
        <v>25</v>
      </c>
      <c r="B33" s="5">
        <v>60.0</v>
      </c>
      <c r="F33" s="155" t="s">
        <v>25</v>
      </c>
      <c r="G33" s="155">
        <v>63.0</v>
      </c>
    </row>
    <row r="34">
      <c r="A34" s="5" t="s">
        <v>495</v>
      </c>
      <c r="B34" s="5">
        <v>0.0</v>
      </c>
      <c r="F34" s="155" t="s">
        <v>495</v>
      </c>
      <c r="G34" s="155">
        <v>27.0</v>
      </c>
    </row>
    <row r="35">
      <c r="A35" s="5" t="s">
        <v>28</v>
      </c>
      <c r="B35" s="5">
        <v>0.0</v>
      </c>
      <c r="F35" s="155" t="s">
        <v>28</v>
      </c>
      <c r="G35" s="155">
        <v>0.0</v>
      </c>
    </row>
    <row r="36">
      <c r="A36" s="5" t="s">
        <v>11</v>
      </c>
      <c r="B36">
        <f>(((Sheet1!$B$3+(B34*Sheet1!$G$7*Sheet1!$G$8))+B33*Sheet1!$G$2)+((B32+(B35*2))*Sheet1!$G$5))/(1-(Sheet1!$C$2))-(Sheet1!$B$3)/(1-(Sheet1!$C$2))</f>
        <v>3884.496321</v>
      </c>
      <c r="F36" s="155" t="s">
        <v>11</v>
      </c>
      <c r="G36" s="156">
        <f>(((Sheet1!$B$3+(G34*Sheet1!$G$7*Sheet1!$G$8))+G33*Sheet1!$G$2)+((G32+(G35*2))*Sheet1!$G$5))/(1-(Sheet1!$C$2))-(Sheet1!$B$3)/(1-(Sheet1!$C$2))</f>
        <v>4019.234448</v>
      </c>
    </row>
    <row r="38">
      <c r="A38" s="190" t="s">
        <v>947</v>
      </c>
      <c r="B38" s="191"/>
      <c r="C38" s="5" t="s">
        <v>954</v>
      </c>
      <c r="F38" s="183" t="s">
        <v>955</v>
      </c>
      <c r="H38" s="5" t="s">
        <v>829</v>
      </c>
    </row>
    <row r="39">
      <c r="A39" s="190" t="s">
        <v>1</v>
      </c>
      <c r="B39" s="190">
        <v>904.0</v>
      </c>
      <c r="F39" s="155" t="s">
        <v>1</v>
      </c>
      <c r="G39" s="155">
        <v>959.0</v>
      </c>
    </row>
    <row r="40">
      <c r="A40" s="190" t="s">
        <v>25</v>
      </c>
      <c r="B40" s="190">
        <v>61.0</v>
      </c>
      <c r="F40" s="155" t="s">
        <v>25</v>
      </c>
      <c r="G40" s="155">
        <v>45.0</v>
      </c>
    </row>
    <row r="41">
      <c r="A41" s="190" t="s">
        <v>495</v>
      </c>
      <c r="B41" s="190">
        <v>56.0</v>
      </c>
      <c r="F41" s="155" t="s">
        <v>495</v>
      </c>
      <c r="G41" s="155">
        <v>27.0</v>
      </c>
    </row>
    <row r="42">
      <c r="A42" s="190" t="s">
        <v>28</v>
      </c>
      <c r="B42" s="190">
        <v>0.0</v>
      </c>
      <c r="F42" s="155" t="s">
        <v>28</v>
      </c>
      <c r="G42" s="155">
        <v>0.0</v>
      </c>
    </row>
    <row r="43">
      <c r="A43" s="190" t="s">
        <v>11</v>
      </c>
      <c r="B43" s="191">
        <f>(((Sheet1!$B$3+(B41*Sheet1!$G$7*Sheet1!$G$8))+B40*Sheet1!$G$2)+((B39+(B42*2))*Sheet1!$G$5))/(1-(Sheet1!$C$2))-(Sheet1!$B$3)/(1-(Sheet1!$C$2))</f>
        <v>4349.543478</v>
      </c>
      <c r="F43" s="155" t="s">
        <v>11</v>
      </c>
      <c r="G43" s="156">
        <f>(((Sheet1!$B$3+(G41*Sheet1!$G$7*Sheet1!$G$8))+G40*Sheet1!$G$2)+((G39+(G42*2))*Sheet1!$G$5))/(1-(Sheet1!$C$2))-(Sheet1!$B$3)/(1-(Sheet1!$C$2))</f>
        <v>3992.312709</v>
      </c>
    </row>
    <row r="45">
      <c r="A45" s="5" t="s">
        <v>956</v>
      </c>
      <c r="C45" s="5" t="s">
        <v>957</v>
      </c>
      <c r="F45" s="5" t="s">
        <v>958</v>
      </c>
      <c r="H45" s="5" t="s">
        <v>959</v>
      </c>
    </row>
    <row r="46">
      <c r="A46" s="190" t="s">
        <v>1</v>
      </c>
      <c r="B46" s="190">
        <v>993.0</v>
      </c>
      <c r="F46" s="155" t="s">
        <v>1</v>
      </c>
      <c r="G46" s="155">
        <v>816.0</v>
      </c>
    </row>
    <row r="47">
      <c r="A47" s="190" t="s">
        <v>25</v>
      </c>
      <c r="B47" s="190">
        <v>37.0</v>
      </c>
      <c r="F47" s="155" t="s">
        <v>25</v>
      </c>
      <c r="G47" s="155">
        <v>43.0</v>
      </c>
    </row>
    <row r="48">
      <c r="A48" s="190" t="s">
        <v>495</v>
      </c>
      <c r="B48" s="190"/>
      <c r="F48" s="155" t="s">
        <v>495</v>
      </c>
      <c r="G48" s="155">
        <v>0.0</v>
      </c>
    </row>
    <row r="49">
      <c r="A49" s="190" t="s">
        <v>28</v>
      </c>
      <c r="B49" s="190">
        <v>0.0</v>
      </c>
      <c r="F49" s="155" t="s">
        <v>28</v>
      </c>
      <c r="G49" s="155">
        <v>0.0</v>
      </c>
    </row>
    <row r="50">
      <c r="A50" s="190" t="s">
        <v>11</v>
      </c>
      <c r="B50" s="191">
        <f>(((Sheet1!$B$3+(B48*Sheet1!$G$7*Sheet1!$G$8))+B47*Sheet1!$G$2)+((B46+(B49*2))*Sheet1!$G$5))/(1-(Sheet1!$C$2))-(Sheet1!$B$3)/(1-(Sheet1!$C$2))</f>
        <v>3790.140803</v>
      </c>
      <c r="F50" s="155" t="s">
        <v>11</v>
      </c>
      <c r="G50" s="156">
        <f>(((Sheet1!$B$3+(G48*Sheet1!$G$7*Sheet1!$G$8))+G47*Sheet1!$G$2)+((G46+(G49*2))*Sheet1!$G$5))/(1-(Sheet1!$C$2))-(Sheet1!$B$3)/(1-(Sheet1!$C$2))</f>
        <v>3442.229097</v>
      </c>
    </row>
    <row r="52">
      <c r="A52" s="5" t="s">
        <v>960</v>
      </c>
    </row>
    <row r="53">
      <c r="A53" s="5" t="s">
        <v>1</v>
      </c>
      <c r="B53" s="5">
        <v>655.0</v>
      </c>
    </row>
    <row r="54">
      <c r="A54" s="5" t="s">
        <v>25</v>
      </c>
      <c r="B54" s="5">
        <v>33.0</v>
      </c>
    </row>
    <row r="55">
      <c r="A55" s="5" t="s">
        <v>495</v>
      </c>
      <c r="B55" s="5">
        <v>29.0</v>
      </c>
    </row>
    <row r="56">
      <c r="A56" s="5" t="s">
        <v>28</v>
      </c>
      <c r="B56" s="5">
        <v>0.0</v>
      </c>
    </row>
    <row r="57">
      <c r="A57" s="5" t="s">
        <v>11</v>
      </c>
      <c r="B57">
        <f>(((Sheet1!$B$3+(B55*Sheet1!$G$7*Sheet1!$G$8))+B54*Sheet1!$G$2)+((B53+(B56*2))*Sheet1!$G$5))/(1-(Sheet1!$C$2))-(Sheet1!$B$3)/(1-(Sheet1!$C$2))</f>
        <v>2821.217057</v>
      </c>
    </row>
  </sheetData>
  <conditionalFormatting sqref="G8 G15 G22 G29 G36 G43 G5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363</v>
      </c>
      <c r="C1" s="5"/>
      <c r="D1" s="5"/>
      <c r="E1" s="5"/>
      <c r="F1" s="5"/>
      <c r="G1" s="5"/>
      <c r="H1" s="5"/>
    </row>
    <row r="3">
      <c r="A3" s="155" t="s">
        <v>961</v>
      </c>
      <c r="B3" s="156"/>
      <c r="C3" s="5" t="s">
        <v>496</v>
      </c>
      <c r="G3" s="155" t="s">
        <v>962</v>
      </c>
      <c r="H3" s="156"/>
    </row>
    <row r="4">
      <c r="A4" s="155" t="s">
        <v>1</v>
      </c>
      <c r="B4" s="155">
        <v>1597.0</v>
      </c>
      <c r="G4" s="155" t="s">
        <v>1</v>
      </c>
      <c r="H4" s="155">
        <v>1110.0</v>
      </c>
    </row>
    <row r="5">
      <c r="A5" s="155" t="s">
        <v>25</v>
      </c>
      <c r="B5" s="155">
        <v>93.0</v>
      </c>
      <c r="G5" s="155" t="s">
        <v>25</v>
      </c>
      <c r="H5" s="155">
        <v>78.0</v>
      </c>
    </row>
    <row r="6">
      <c r="A6" s="155" t="s">
        <v>495</v>
      </c>
      <c r="B6" s="155">
        <v>42.0</v>
      </c>
      <c r="C6" s="5"/>
      <c r="G6" s="155" t="s">
        <v>495</v>
      </c>
      <c r="H6" s="155">
        <v>0.0</v>
      </c>
    </row>
    <row r="7">
      <c r="A7" s="155" t="s">
        <v>28</v>
      </c>
      <c r="B7" s="155">
        <v>24.0</v>
      </c>
      <c r="C7" s="5"/>
      <c r="G7" s="155" t="s">
        <v>28</v>
      </c>
      <c r="H7" s="155">
        <v>0.0</v>
      </c>
    </row>
    <row r="8">
      <c r="A8" s="155" t="s">
        <v>11</v>
      </c>
      <c r="B8" s="156">
        <f>(((Sheet1!$B$3+(B6*Sheet1!$G$7*Sheet1!$G$8))+B5*Sheet1!$G$2)+((B4+(B7*2))*Sheet1!$G$5))/(1-(Sheet1!$C$2))-(Sheet1!$B$3)/(1-(Sheet1!$C$2))</f>
        <v>7244.924749</v>
      </c>
      <c r="C8" s="151"/>
      <c r="D8" s="5"/>
      <c r="G8" s="155" t="s">
        <v>11</v>
      </c>
      <c r="H8" s="156">
        <f>(((Sheet1!$B$3+(H6*Sheet1!$G$7*Sheet1!$G$8))+H5*Sheet1!$G$2)+((H4+(H7*2))*Sheet1!$G$5))/(1-(Sheet1!$C$2))-(Sheet1!$B$3)/(1-(Sheet1!$C$2))</f>
        <v>5189.941806</v>
      </c>
    </row>
    <row r="9">
      <c r="A9" s="153"/>
      <c r="B9" s="81"/>
      <c r="C9" s="151"/>
    </row>
    <row r="10">
      <c r="A10" s="155" t="s">
        <v>963</v>
      </c>
      <c r="B10" s="156"/>
      <c r="C10" s="5" t="s">
        <v>964</v>
      </c>
      <c r="G10" s="196" t="s">
        <v>965</v>
      </c>
    </row>
    <row r="11">
      <c r="A11" s="155" t="s">
        <v>1</v>
      </c>
      <c r="B11" s="155">
        <v>1544.0</v>
      </c>
      <c r="C11" s="5"/>
      <c r="G11" s="155" t="s">
        <v>1</v>
      </c>
      <c r="H11" s="155">
        <v>1216.0</v>
      </c>
    </row>
    <row r="12">
      <c r="A12" s="155" t="s">
        <v>25</v>
      </c>
      <c r="B12" s="155">
        <v>120.0</v>
      </c>
      <c r="G12" s="155" t="s">
        <v>25</v>
      </c>
      <c r="H12" s="155">
        <v>54.0</v>
      </c>
    </row>
    <row r="13">
      <c r="A13" s="155" t="s">
        <v>28</v>
      </c>
      <c r="B13" s="155">
        <v>0.0</v>
      </c>
      <c r="E13" s="5"/>
      <c r="F13" s="5"/>
      <c r="G13" s="155" t="s">
        <v>495</v>
      </c>
      <c r="H13" s="155">
        <v>0.0</v>
      </c>
    </row>
    <row r="14">
      <c r="A14" s="155" t="s">
        <v>11</v>
      </c>
      <c r="B14" s="156">
        <f>((Sheet1!B3+B12*Sheet1!G2)+((B11+(B13*2))*Sheet1!G5))/(1-(Sheet1!C2))-(Sheet1!B3)/(1-(Sheet1!C2))</f>
        <v>7518.413378</v>
      </c>
      <c r="C14" s="10"/>
      <c r="F14" s="182"/>
      <c r="G14" s="155" t="s">
        <v>28</v>
      </c>
      <c r="H14" s="155">
        <v>0.0</v>
      </c>
    </row>
    <row r="15">
      <c r="A15" s="5"/>
      <c r="B15" s="15"/>
      <c r="G15" s="155" t="s">
        <v>11</v>
      </c>
      <c r="H15" s="156">
        <f>(((Sheet1!$B$3+(H13*Sheet1!$G$7*Sheet1!$G$8))+H12*Sheet1!$G$2)+((H11+(H14*2))*Sheet1!$G$5))/(1-(Sheet1!$C$2))-(Sheet1!$B$3)/(1-(Sheet1!$C$2))</f>
        <v>4867.398662</v>
      </c>
    </row>
    <row r="16">
      <c r="A16" s="5" t="s">
        <v>966</v>
      </c>
      <c r="G16" s="5"/>
      <c r="H16" s="5"/>
    </row>
    <row r="17">
      <c r="A17" s="5" t="s">
        <v>1</v>
      </c>
      <c r="B17" s="5">
        <v>1735.0</v>
      </c>
      <c r="G17" s="5" t="s">
        <v>967</v>
      </c>
      <c r="H17" s="5"/>
    </row>
    <row r="18">
      <c r="A18" s="5" t="s">
        <v>25</v>
      </c>
      <c r="B18" s="5">
        <v>123.0</v>
      </c>
      <c r="G18" s="155" t="s">
        <v>1</v>
      </c>
      <c r="H18" s="155">
        <v>1322.0</v>
      </c>
    </row>
    <row r="19">
      <c r="A19" s="5" t="s">
        <v>28</v>
      </c>
      <c r="B19" s="5">
        <v>0.0</v>
      </c>
      <c r="G19" s="155" t="s">
        <v>25</v>
      </c>
      <c r="H19" s="155">
        <v>63.0</v>
      </c>
    </row>
    <row r="20">
      <c r="A20" s="5" t="s">
        <v>11</v>
      </c>
      <c r="B20">
        <f>((Sheet1!B3+B18*Sheet1!G2)+((B17+(B19*2))*Sheet1!G5))/(1-(Sheet1!C2))-(Sheet1!B3)/(1-(Sheet1!C2))</f>
        <v>8140.331438</v>
      </c>
      <c r="G20" s="155" t="s">
        <v>495</v>
      </c>
      <c r="H20" s="155">
        <v>24.0</v>
      </c>
    </row>
    <row r="21">
      <c r="A21" s="154"/>
      <c r="B21" s="80"/>
      <c r="G21" s="155" t="s">
        <v>28</v>
      </c>
      <c r="H21" s="155">
        <v>23.0</v>
      </c>
    </row>
    <row r="22">
      <c r="A22" s="5" t="s">
        <v>968</v>
      </c>
      <c r="G22" s="155" t="s">
        <v>11</v>
      </c>
      <c r="H22" s="156">
        <f>(((Sheet1!$B$3+(H20*Sheet1!$G$7*Sheet1!$G$8))+H19*Sheet1!$G$2)+((H18+(H21*2))*Sheet1!$G$5))/(1-(Sheet1!$C$2))-(Sheet1!$B$3)/(1-(Sheet1!$C$2))</f>
        <v>5615.12408</v>
      </c>
    </row>
    <row r="23">
      <c r="A23" s="5" t="s">
        <v>1</v>
      </c>
      <c r="B23" s="5">
        <v>1019.0</v>
      </c>
    </row>
    <row r="24">
      <c r="A24" s="5" t="s">
        <v>25</v>
      </c>
      <c r="B24" s="5">
        <v>93.0</v>
      </c>
      <c r="C24" s="5"/>
      <c r="D24" s="5"/>
      <c r="E24" s="5"/>
      <c r="F24" s="5"/>
      <c r="G24" s="5" t="s">
        <v>968</v>
      </c>
    </row>
    <row r="25">
      <c r="A25" s="5" t="s">
        <v>28</v>
      </c>
      <c r="B25" s="5">
        <v>0.0</v>
      </c>
      <c r="G25" s="155" t="s">
        <v>1</v>
      </c>
      <c r="H25" s="155">
        <v>1019.0</v>
      </c>
    </row>
    <row r="26">
      <c r="A26" s="5" t="s">
        <v>11</v>
      </c>
      <c r="B26">
        <f>((Sheet1!$B$3+B24*Sheet1!$G$2)+((B23+(B25*2))*Sheet1!$G$5))/(1-(Sheet1!$C$2))-(Sheet1!$B$3)/(1-(Sheet1!$C$2))</f>
        <v>5321.055853</v>
      </c>
      <c r="G26" s="155" t="s">
        <v>25</v>
      </c>
      <c r="H26" s="155">
        <v>93.0</v>
      </c>
    </row>
    <row r="27">
      <c r="G27" s="155" t="s">
        <v>495</v>
      </c>
      <c r="H27" s="155">
        <v>0.0</v>
      </c>
    </row>
    <row r="28">
      <c r="A28" s="5" t="s">
        <v>962</v>
      </c>
      <c r="D28" s="5"/>
      <c r="G28" s="155" t="s">
        <v>28</v>
      </c>
      <c r="H28" s="155">
        <v>0.0</v>
      </c>
    </row>
    <row r="29">
      <c r="A29" s="5" t="s">
        <v>1</v>
      </c>
      <c r="B29" s="5">
        <v>1269.0</v>
      </c>
      <c r="G29" s="155" t="s">
        <v>11</v>
      </c>
      <c r="H29" s="156">
        <f>(((Sheet1!$B$3+(H27*Sheet1!$G$7*Sheet1!$G$8))+H26*Sheet1!$G$2)+((H25+(H28*2))*Sheet1!$G$5))/(1-(Sheet1!$C$2))-(Sheet1!$B$3)/(1-(Sheet1!$C$2))</f>
        <v>5321.055853</v>
      </c>
    </row>
    <row r="30">
      <c r="A30" s="5" t="s">
        <v>25</v>
      </c>
      <c r="B30" s="5">
        <v>84.0</v>
      </c>
    </row>
    <row r="31">
      <c r="A31" s="5" t="s">
        <v>28</v>
      </c>
      <c r="B31" s="5">
        <v>0.0</v>
      </c>
      <c r="G31" s="5" t="s">
        <v>969</v>
      </c>
    </row>
    <row r="32">
      <c r="A32" s="5" t="s">
        <v>11</v>
      </c>
      <c r="B32">
        <f>((Sheet1!$B$3+B30*Sheet1!$G$2)+((B29+(B31*2))*Sheet1!$G$5))/(1-(Sheet1!$C$2))-(Sheet1!$B$3)/(1-(Sheet1!$C$2))</f>
        <v>5798.787291</v>
      </c>
      <c r="G32" s="155" t="s">
        <v>1</v>
      </c>
      <c r="H32" s="155">
        <v>1257.0</v>
      </c>
    </row>
    <row r="33">
      <c r="G33" s="155" t="s">
        <v>25</v>
      </c>
      <c r="H33" s="155">
        <v>75.0</v>
      </c>
    </row>
    <row r="34">
      <c r="A34" s="190" t="s">
        <v>967</v>
      </c>
      <c r="B34" s="191"/>
      <c r="C34" s="5" t="s">
        <v>489</v>
      </c>
      <c r="G34" s="155" t="s">
        <v>495</v>
      </c>
      <c r="H34" s="155">
        <v>0.0</v>
      </c>
    </row>
    <row r="35">
      <c r="A35" s="190" t="s">
        <v>1</v>
      </c>
      <c r="B35" s="190">
        <v>1459.0</v>
      </c>
      <c r="G35" s="155" t="s">
        <v>28</v>
      </c>
      <c r="H35" s="155">
        <v>20.0</v>
      </c>
    </row>
    <row r="36">
      <c r="A36" s="190" t="s">
        <v>25</v>
      </c>
      <c r="B36" s="190">
        <v>72.0</v>
      </c>
      <c r="G36" s="155" t="s">
        <v>11</v>
      </c>
      <c r="H36" s="156">
        <f>(((Sheet1!$B$3+(H34*Sheet1!$G$7*Sheet1!$G$8))+H33*Sheet1!$G$2)+((H32+(H35*2))*Sheet1!$G$5))/(1-(Sheet1!$C$2))-(Sheet1!$B$3)/(1-(Sheet1!$C$2))</f>
        <v>5644.375585</v>
      </c>
    </row>
    <row r="37">
      <c r="A37" s="190" t="s">
        <v>28</v>
      </c>
      <c r="B37" s="190">
        <v>28.0</v>
      </c>
    </row>
    <row r="38">
      <c r="A38" s="190" t="s">
        <v>11</v>
      </c>
      <c r="B38" s="191">
        <f>((Sheet1!$B$3+B36*Sheet1!$G$2)+((B35+(B37*2))*Sheet1!$G$5))/(1-(Sheet1!$C$2))-(Sheet1!$B$3)/(1-(Sheet1!$C$2))</f>
        <v>6187.081605</v>
      </c>
      <c r="G38" s="183" t="s">
        <v>970</v>
      </c>
    </row>
    <row r="39">
      <c r="G39" s="155" t="s">
        <v>1</v>
      </c>
      <c r="H39" s="155">
        <v>1491.0</v>
      </c>
    </row>
    <row r="40">
      <c r="A40" s="5" t="s">
        <v>969</v>
      </c>
      <c r="C40" s="5" t="s">
        <v>971</v>
      </c>
      <c r="G40" s="155" t="s">
        <v>25</v>
      </c>
      <c r="H40" s="155">
        <v>63.0</v>
      </c>
    </row>
    <row r="41">
      <c r="A41" s="5" t="s">
        <v>1</v>
      </c>
      <c r="B41" s="5">
        <v>1257.0</v>
      </c>
      <c r="G41" s="155" t="s">
        <v>495</v>
      </c>
      <c r="H41" s="155">
        <v>0.0</v>
      </c>
    </row>
    <row r="42">
      <c r="A42" s="5" t="s">
        <v>25</v>
      </c>
      <c r="B42" s="5">
        <v>75.0</v>
      </c>
      <c r="G42" s="155" t="s">
        <v>28</v>
      </c>
      <c r="H42" s="155">
        <v>0.0</v>
      </c>
    </row>
    <row r="43">
      <c r="A43" s="5" t="s">
        <v>28</v>
      </c>
      <c r="B43" s="5">
        <v>0.0</v>
      </c>
      <c r="G43" s="155" t="s">
        <v>11</v>
      </c>
      <c r="H43" s="156">
        <f>(((Sheet1!$B$3+(H41*Sheet1!$G$7*Sheet1!$G$8))+H40*Sheet1!$G$2)+((H39+(H42*2))*Sheet1!$G$5))/(1-(Sheet1!$C$2))-(Sheet1!$B$3)/(1-(Sheet1!$C$2))</f>
        <v>5884.600334</v>
      </c>
    </row>
    <row r="44">
      <c r="A44" s="5" t="s">
        <v>11</v>
      </c>
      <c r="B44">
        <f>((Sheet1!$B$3+B42*Sheet1!$G$2)+((B41+(B43*2))*Sheet1!$G$5))/(1-(Sheet1!$C$2))-(Sheet1!$B$3)/(1-(Sheet1!$C$2))</f>
        <v>5530.47592</v>
      </c>
    </row>
    <row r="45">
      <c r="G45" s="183"/>
    </row>
    <row r="46">
      <c r="A46" s="5" t="s">
        <v>968</v>
      </c>
      <c r="G46" s="5"/>
      <c r="H46" s="5"/>
    </row>
    <row r="47">
      <c r="A47" s="5" t="s">
        <v>1</v>
      </c>
      <c r="B47" s="5">
        <v>1019.0</v>
      </c>
      <c r="G47" s="5"/>
      <c r="H47" s="5"/>
    </row>
    <row r="48">
      <c r="A48" s="5" t="s">
        <v>25</v>
      </c>
      <c r="B48" s="5">
        <v>93.0</v>
      </c>
      <c r="G48" s="5"/>
      <c r="H48" s="5"/>
    </row>
    <row r="49">
      <c r="A49" s="5" t="s">
        <v>28</v>
      </c>
      <c r="B49" s="5">
        <v>0.0</v>
      </c>
      <c r="G49" s="5"/>
      <c r="H49" s="5"/>
    </row>
    <row r="50">
      <c r="A50" s="5" t="s">
        <v>11</v>
      </c>
      <c r="B50">
        <f>((Sheet1!$B$3+B48*Sheet1!$G$2)+((B47+(B49*2))*Sheet1!$G$5))/(1-(Sheet1!$C$2))-(Sheet1!$B$3)/(1-(Sheet1!$C$2))</f>
        <v>5321.055853</v>
      </c>
      <c r="G50" s="5"/>
    </row>
    <row r="52">
      <c r="A52" s="5" t="s">
        <v>972</v>
      </c>
      <c r="C52" s="5" t="s">
        <v>973</v>
      </c>
    </row>
    <row r="53">
      <c r="A53" s="5" t="s">
        <v>1</v>
      </c>
      <c r="B53" s="5">
        <v>1544.0</v>
      </c>
    </row>
    <row r="54">
      <c r="A54" s="5" t="s">
        <v>25</v>
      </c>
      <c r="B54" s="5">
        <v>108.0</v>
      </c>
    </row>
    <row r="55">
      <c r="A55" s="5" t="s">
        <v>28</v>
      </c>
      <c r="B55" s="5">
        <v>0.0</v>
      </c>
    </row>
    <row r="56">
      <c r="A56" s="5" t="s">
        <v>11</v>
      </c>
      <c r="B56">
        <f>((Sheet1!$B$3+B54*Sheet1!$G$2)+((B53+(B55*2))*Sheet1!$G$5))/(1-(Sheet1!$C$2))-(Sheet1!$B$3)/(1-(Sheet1!$C$2))</f>
        <v>7206.224749</v>
      </c>
      <c r="D56">
        <f>B56-B44</f>
        <v>1675.748829</v>
      </c>
    </row>
  </sheetData>
  <conditionalFormatting sqref="H8 H15 H22 H29 H36 H43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</row>
    <row r="2">
      <c r="A2" s="5"/>
      <c r="I2" s="5" t="s">
        <v>162</v>
      </c>
      <c r="J2" s="5" t="s">
        <v>163</v>
      </c>
      <c r="L2" s="5" t="s">
        <v>164</v>
      </c>
      <c r="M2" s="9">
        <v>22.0</v>
      </c>
      <c r="N2">
        <f>M2/18.923</f>
        <v>1.162606352</v>
      </c>
    </row>
    <row r="3">
      <c r="A3" s="5" t="s">
        <v>165</v>
      </c>
      <c r="I3" s="5" t="s">
        <v>166</v>
      </c>
      <c r="J3" s="5" t="s">
        <v>167</v>
      </c>
      <c r="L3" s="5" t="s">
        <v>168</v>
      </c>
      <c r="M3" s="9">
        <v>0.0</v>
      </c>
      <c r="N3">
        <f>M3/22.4</f>
        <v>0</v>
      </c>
    </row>
    <row r="4">
      <c r="A4" s="5"/>
      <c r="L4" s="5" t="s">
        <v>65</v>
      </c>
      <c r="M4" s="9">
        <v>5.0</v>
      </c>
      <c r="N4">
        <f>M4/2.3654</f>
        <v>2.11380739</v>
      </c>
    </row>
    <row r="5">
      <c r="H5" s="9"/>
      <c r="I5" s="5" t="s">
        <v>169</v>
      </c>
      <c r="J5">
        <v>2.566666666666667</v>
      </c>
      <c r="L5" s="5" t="s">
        <v>28</v>
      </c>
      <c r="M5" s="9">
        <v>0.0</v>
      </c>
    </row>
    <row r="6">
      <c r="H6" s="9"/>
      <c r="I6" s="5" t="s">
        <v>170</v>
      </c>
      <c r="J6" s="5">
        <v>2.0</v>
      </c>
      <c r="M6">
        <f>(M5*1.1)/33</f>
        <v>0</v>
      </c>
    </row>
    <row r="7">
      <c r="A7" s="5" t="s">
        <v>171</v>
      </c>
      <c r="B7" s="29">
        <v>0.055</v>
      </c>
      <c r="I7" s="5" t="s">
        <v>172</v>
      </c>
      <c r="J7" s="5">
        <v>5.0</v>
      </c>
      <c r="L7" s="5" t="s">
        <v>173</v>
      </c>
      <c r="M7" s="5">
        <v>0.0</v>
      </c>
    </row>
    <row r="8">
      <c r="A8" s="5" t="s">
        <v>174</v>
      </c>
      <c r="B8" s="29">
        <v>0.0862</v>
      </c>
      <c r="I8" s="5" t="s">
        <v>175</v>
      </c>
      <c r="J8">
        <v>0.63</v>
      </c>
      <c r="L8" s="5" t="s">
        <v>66</v>
      </c>
      <c r="M8">
        <f t="shared" ref="M8:M10" si="1">0.04*$N$4</f>
        <v>0.08455229559</v>
      </c>
    </row>
    <row r="9">
      <c r="I9" s="5" t="s">
        <v>176</v>
      </c>
      <c r="J9">
        <v>1.1666666666666667</v>
      </c>
      <c r="L9" s="5" t="s">
        <v>69</v>
      </c>
      <c r="M9">
        <f t="shared" si="1"/>
        <v>0.08455229559</v>
      </c>
    </row>
    <row r="10">
      <c r="A10" s="5" t="s">
        <v>177</v>
      </c>
      <c r="B10" s="5">
        <v>100.0</v>
      </c>
      <c r="D10" s="5" t="s">
        <v>178</v>
      </c>
      <c r="E10" s="5">
        <v>700.0</v>
      </c>
      <c r="I10" s="5" t="s">
        <v>179</v>
      </c>
      <c r="J10">
        <v>0.6666666666666666</v>
      </c>
      <c r="L10" s="5" t="s">
        <v>71</v>
      </c>
      <c r="M10">
        <f t="shared" si="1"/>
        <v>0.08455229559</v>
      </c>
    </row>
    <row r="11">
      <c r="A11" s="5" t="s">
        <v>180</v>
      </c>
      <c r="B11" s="5">
        <v>99.0</v>
      </c>
      <c r="D11" s="5" t="s">
        <v>181</v>
      </c>
      <c r="E11" s="5">
        <v>431.0</v>
      </c>
      <c r="I11" s="5" t="s">
        <v>182</v>
      </c>
      <c r="J11">
        <v>0.6666666666666666</v>
      </c>
    </row>
    <row r="12">
      <c r="A12" s="5" t="s">
        <v>66</v>
      </c>
      <c r="B12" s="5">
        <v>1.0</v>
      </c>
      <c r="D12" s="5" t="s">
        <v>183</v>
      </c>
      <c r="E12" s="5">
        <v>202.0</v>
      </c>
      <c r="M12">
        <f>SUM(M6:M10)+N2+N3</f>
        <v>1.416263239</v>
      </c>
    </row>
    <row r="13">
      <c r="D13" s="5" t="s">
        <v>184</v>
      </c>
      <c r="E13" s="5">
        <v>65.0</v>
      </c>
      <c r="J13" s="15">
        <f>SUM(J5:J12)</f>
        <v>12.69666667</v>
      </c>
      <c r="M13" s="5" t="s">
        <v>185</v>
      </c>
      <c r="N13" s="5" t="s">
        <v>134</v>
      </c>
    </row>
    <row r="14">
      <c r="D14" s="5" t="s">
        <v>71</v>
      </c>
      <c r="E14" s="5">
        <v>2.0</v>
      </c>
      <c r="I14" s="5" t="s">
        <v>186</v>
      </c>
      <c r="J14">
        <v>3.7562630997021698</v>
      </c>
      <c r="K14" s="5" t="s">
        <v>187</v>
      </c>
    </row>
    <row r="15">
      <c r="I15" s="5" t="s">
        <v>188</v>
      </c>
      <c r="J15">
        <v>3.334622996455281</v>
      </c>
      <c r="K15" s="5" t="s">
        <v>189</v>
      </c>
    </row>
    <row r="16">
      <c r="A16" s="5">
        <v>20.0</v>
      </c>
      <c r="B16" s="21">
        <v>0.05</v>
      </c>
      <c r="E16" s="5" t="s">
        <v>120</v>
      </c>
      <c r="F16" s="5" t="s">
        <v>189</v>
      </c>
    </row>
    <row r="17">
      <c r="A17" s="5">
        <v>153.0</v>
      </c>
      <c r="B17" s="29">
        <v>0.097</v>
      </c>
      <c r="E17" s="5" t="s">
        <v>190</v>
      </c>
      <c r="F17" s="5" t="s">
        <v>191</v>
      </c>
      <c r="I17" s="5" t="s">
        <v>192</v>
      </c>
      <c r="J17">
        <v>1.8016177672557143</v>
      </c>
    </row>
    <row r="18">
      <c r="E18" s="5" t="s">
        <v>106</v>
      </c>
      <c r="F18" s="5" t="s">
        <v>193</v>
      </c>
      <c r="I18" s="5" t="s">
        <v>194</v>
      </c>
      <c r="J18">
        <v>1.6234040754206474</v>
      </c>
    </row>
    <row r="19">
      <c r="A19" s="5" t="s">
        <v>177</v>
      </c>
      <c r="B19" s="5">
        <v>100.0</v>
      </c>
      <c r="E19" s="5" t="s">
        <v>195</v>
      </c>
      <c r="F19" s="5" t="s">
        <v>189</v>
      </c>
    </row>
    <row r="20">
      <c r="A20" s="5" t="s">
        <v>180</v>
      </c>
      <c r="B20" s="5">
        <v>97.0</v>
      </c>
      <c r="E20" s="5" t="s">
        <v>196</v>
      </c>
      <c r="F20" s="5" t="s">
        <v>197</v>
      </c>
      <c r="I20" s="5" t="s">
        <v>198</v>
      </c>
      <c r="J20">
        <v>2.949853571614657</v>
      </c>
    </row>
    <row r="21">
      <c r="A21" s="5" t="s">
        <v>66</v>
      </c>
      <c r="B21" s="5">
        <v>3.0</v>
      </c>
      <c r="E21" s="5" t="s">
        <v>114</v>
      </c>
      <c r="F21" s="5" t="s">
        <v>187</v>
      </c>
    </row>
    <row r="22">
      <c r="E22" s="5" t="s">
        <v>199</v>
      </c>
      <c r="F22" s="5" t="s">
        <v>197</v>
      </c>
      <c r="I22" s="5" t="s">
        <v>200</v>
      </c>
      <c r="J22">
        <v>2.8256824161056544</v>
      </c>
      <c r="K22" s="5" t="s">
        <v>193</v>
      </c>
    </row>
    <row r="23">
      <c r="A23" s="5">
        <v>15.0</v>
      </c>
      <c r="B23" s="29">
        <v>0.0375</v>
      </c>
      <c r="G23" s="5" t="s">
        <v>201</v>
      </c>
    </row>
    <row r="24">
      <c r="A24" s="5">
        <v>153.0</v>
      </c>
      <c r="B24" s="29">
        <v>0.097</v>
      </c>
      <c r="I24" s="5" t="s">
        <v>202</v>
      </c>
      <c r="J24">
        <v>3.58863582287839</v>
      </c>
      <c r="K24" s="5" t="s">
        <v>191</v>
      </c>
    </row>
    <row r="25">
      <c r="F25" s="5" t="s">
        <v>203</v>
      </c>
      <c r="G25" s="5">
        <v>60.39</v>
      </c>
    </row>
    <row r="26">
      <c r="A26" s="5" t="s">
        <v>177</v>
      </c>
      <c r="B26" s="5">
        <v>100.0</v>
      </c>
    </row>
    <row r="27">
      <c r="A27" s="5" t="s">
        <v>180</v>
      </c>
      <c r="B27" s="5">
        <v>97.0</v>
      </c>
      <c r="I27" s="5" t="s">
        <v>204</v>
      </c>
      <c r="J27">
        <v>0.38699022011780954</v>
      </c>
      <c r="K27">
        <v>0.42276594620303337</v>
      </c>
    </row>
    <row r="28">
      <c r="A28" s="5" t="s">
        <v>66</v>
      </c>
      <c r="B28" s="5">
        <v>3.0</v>
      </c>
      <c r="J28">
        <v>5.867978464798853</v>
      </c>
    </row>
    <row r="29">
      <c r="H29" s="5" t="s">
        <v>205</v>
      </c>
      <c r="I29" s="5">
        <v>59.7614</v>
      </c>
      <c r="J29" s="15">
        <f>J28-J27</f>
        <v>5.480988245</v>
      </c>
      <c r="K29" s="15">
        <f>I29+J29</f>
        <v>65.24238824</v>
      </c>
    </row>
    <row r="30">
      <c r="J30" s="5">
        <v>25.0</v>
      </c>
      <c r="K30">
        <f t="shared" ref="K30:K31" si="2">K29+J30</f>
        <v>90.24238824</v>
      </c>
    </row>
    <row r="31">
      <c r="J31">
        <f>$J$13</f>
        <v>12.69666667</v>
      </c>
      <c r="K31">
        <f t="shared" si="2"/>
        <v>102.9390549</v>
      </c>
    </row>
    <row r="33">
      <c r="A33" s="5" t="s">
        <v>206</v>
      </c>
      <c r="I33" s="5" t="s">
        <v>204</v>
      </c>
      <c r="J33">
        <v>0.38699022011780954</v>
      </c>
      <c r="K33">
        <v>0.42276594620303337</v>
      </c>
    </row>
    <row r="34">
      <c r="J34">
        <v>5.867978464798853</v>
      </c>
    </row>
    <row r="35">
      <c r="A35" s="5" t="s">
        <v>207</v>
      </c>
      <c r="H35" s="5" t="s">
        <v>205</v>
      </c>
      <c r="I35" s="5">
        <v>58.73</v>
      </c>
      <c r="J35" s="15">
        <f>J34-J33+0.06666666667</f>
        <v>5.547654911</v>
      </c>
      <c r="K35" s="15">
        <f>I35+J35</f>
        <v>64.27765491</v>
      </c>
    </row>
    <row r="36">
      <c r="A36" s="5" t="s">
        <v>208</v>
      </c>
      <c r="B36" s="5" t="s">
        <v>209</v>
      </c>
      <c r="J36" s="5">
        <v>25.0</v>
      </c>
      <c r="K36">
        <f t="shared" ref="K36:K37" si="3">K35+J36</f>
        <v>89.27765491</v>
      </c>
    </row>
    <row r="37">
      <c r="J37">
        <f>$J$13</f>
        <v>12.69666667</v>
      </c>
      <c r="K37">
        <f t="shared" si="3"/>
        <v>101.9743216</v>
      </c>
    </row>
    <row r="39">
      <c r="J39" s="5" t="s">
        <v>210</v>
      </c>
      <c r="K39" s="15">
        <v>1.416263238842818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161</v>
      </c>
      <c r="C1" s="5"/>
      <c r="D1" s="5"/>
      <c r="E1" s="5"/>
      <c r="F1" s="5"/>
      <c r="G1" s="5"/>
      <c r="H1" s="5"/>
    </row>
    <row r="3">
      <c r="A3" s="155" t="s">
        <v>974</v>
      </c>
      <c r="B3" s="156"/>
      <c r="C3" s="5" t="s">
        <v>964</v>
      </c>
      <c r="G3" s="155" t="s">
        <v>975</v>
      </c>
      <c r="H3" s="156"/>
    </row>
    <row r="4">
      <c r="A4" s="155" t="s">
        <v>1</v>
      </c>
      <c r="B4" s="155">
        <v>1213.0</v>
      </c>
      <c r="G4" s="155" t="s">
        <v>1</v>
      </c>
      <c r="H4" s="155">
        <v>800.0</v>
      </c>
    </row>
    <row r="5">
      <c r="A5" s="155" t="s">
        <v>25</v>
      </c>
      <c r="B5" s="155">
        <v>86.0</v>
      </c>
      <c r="G5" s="155" t="s">
        <v>25</v>
      </c>
      <c r="H5" s="155">
        <v>46.0</v>
      </c>
    </row>
    <row r="6">
      <c r="A6" s="155" t="s">
        <v>28</v>
      </c>
      <c r="B6" s="155">
        <v>0.0</v>
      </c>
      <c r="C6" s="5"/>
      <c r="G6" s="155" t="s">
        <v>495</v>
      </c>
      <c r="H6" s="155">
        <v>45.0</v>
      </c>
    </row>
    <row r="7">
      <c r="A7" s="155" t="s">
        <v>11</v>
      </c>
      <c r="B7" s="156">
        <f>((Sheet1!B3+B5*Sheet1!G2)+((B4+(B6*2))*Sheet1!G5))/(1-(Sheet1!C2))-(Sheet1!B3)/(1-(Sheet1!C2))</f>
        <v>5691.359197</v>
      </c>
      <c r="C7" s="151"/>
      <c r="D7" s="5"/>
      <c r="G7" s="155" t="s">
        <v>28</v>
      </c>
      <c r="H7" s="155">
        <v>0.0</v>
      </c>
    </row>
    <row r="8">
      <c r="A8" s="153"/>
      <c r="B8" s="81"/>
      <c r="C8" s="151"/>
      <c r="G8" s="155" t="s">
        <v>11</v>
      </c>
      <c r="H8" s="156">
        <f>(((Sheet1!$B$3+(H6*Sheet1!$G$7*Sheet1!$G$8))+H5*Sheet1!$G$2)+((H4+(H7*2))*Sheet1!$G$5))/(1-(Sheet1!$C$2))-(Sheet1!$B$3)/(1-(Sheet1!$C$2))</f>
        <v>3626.151171</v>
      </c>
    </row>
    <row r="9">
      <c r="A9" s="5" t="s">
        <v>976</v>
      </c>
      <c r="C9" s="5"/>
    </row>
    <row r="10">
      <c r="A10" s="5" t="s">
        <v>1</v>
      </c>
      <c r="B10" s="5">
        <v>1322.0</v>
      </c>
      <c r="C10" s="5"/>
      <c r="G10" s="5" t="s">
        <v>977</v>
      </c>
      <c r="I10" s="5" t="s">
        <v>978</v>
      </c>
    </row>
    <row r="11">
      <c r="A11" s="5" t="s">
        <v>25</v>
      </c>
      <c r="B11" s="5">
        <v>79.0</v>
      </c>
      <c r="G11" s="155" t="s">
        <v>1</v>
      </c>
      <c r="H11" s="155">
        <v>955.0</v>
      </c>
    </row>
    <row r="12">
      <c r="A12" s="5" t="s">
        <v>28</v>
      </c>
      <c r="B12" s="5">
        <v>0.0</v>
      </c>
      <c r="E12" s="5"/>
      <c r="F12" s="5"/>
      <c r="G12" s="155" t="s">
        <v>25</v>
      </c>
      <c r="H12" s="155">
        <v>36.0</v>
      </c>
    </row>
    <row r="13">
      <c r="A13" s="5" t="s">
        <v>11</v>
      </c>
      <c r="B13">
        <f>((Sheet1!B3+B11*Sheet1!G2)+((B10+(B12*2))*Sheet1!G5))/(1-(Sheet1!C2))-(Sheet1!B3)/(1-(Sheet1!C2))</f>
        <v>5819.625753</v>
      </c>
      <c r="C13" s="10"/>
      <c r="F13" s="182"/>
      <c r="G13" s="155" t="s">
        <v>495</v>
      </c>
      <c r="H13" s="155">
        <v>0.0</v>
      </c>
    </row>
    <row r="14">
      <c r="A14" s="5"/>
      <c r="G14" s="155" t="s">
        <v>28</v>
      </c>
      <c r="H14" s="155">
        <v>0.0</v>
      </c>
    </row>
    <row r="15">
      <c r="A15" s="5" t="s">
        <v>975</v>
      </c>
      <c r="C15" s="5" t="s">
        <v>979</v>
      </c>
      <c r="G15" s="155" t="s">
        <v>11</v>
      </c>
      <c r="H15" s="156">
        <f>(((Sheet1!$B$3+(H13*Sheet1!$G$7*Sheet1!$G$8))+H12*Sheet1!$G$2)+((H11+(H14*2))*Sheet1!$G$5))/(1-(Sheet1!$C$2))-(Sheet1!$B$3)/(1-(Sheet1!$C$2))</f>
        <v>3655.920401</v>
      </c>
      <c r="I15">
        <f>H15-H8</f>
        <v>29.76923077</v>
      </c>
    </row>
    <row r="16">
      <c r="A16" s="5" t="s">
        <v>1</v>
      </c>
      <c r="B16" s="5">
        <v>800.0</v>
      </c>
    </row>
    <row r="17">
      <c r="A17" s="5" t="s">
        <v>25</v>
      </c>
      <c r="B17" s="5">
        <v>51.0</v>
      </c>
      <c r="G17" s="5" t="s">
        <v>980</v>
      </c>
      <c r="I17" s="5" t="s">
        <v>929</v>
      </c>
    </row>
    <row r="18">
      <c r="A18" s="5" t="s">
        <v>495</v>
      </c>
      <c r="B18" s="5">
        <v>0.0</v>
      </c>
      <c r="G18" s="155" t="s">
        <v>1</v>
      </c>
      <c r="H18" s="155">
        <v>872.0</v>
      </c>
    </row>
    <row r="19">
      <c r="A19" s="5" t="s">
        <v>28</v>
      </c>
      <c r="B19" s="5">
        <v>24.0</v>
      </c>
      <c r="G19" s="155" t="s">
        <v>25</v>
      </c>
      <c r="H19" s="155">
        <v>49.0</v>
      </c>
    </row>
    <row r="20">
      <c r="A20" s="5" t="s">
        <v>11</v>
      </c>
      <c r="B20">
        <f>(((Sheet1!$B$3+(B18*Sheet1!$G$7*Sheet1!$G$8))+B17*Sheet1!$G$2)+((B16+(B19*2))*Sheet1!$G$5))/(1-(Sheet1!$C$2))-(Sheet1!$B$3)/(1-(Sheet1!$C$2))</f>
        <v>3741.474582</v>
      </c>
      <c r="D20" s="5"/>
      <c r="G20" s="155" t="s">
        <v>495</v>
      </c>
      <c r="H20" s="155">
        <v>0.0</v>
      </c>
    </row>
    <row r="21">
      <c r="G21" s="155" t="s">
        <v>28</v>
      </c>
      <c r="H21" s="155">
        <v>0.0</v>
      </c>
    </row>
    <row r="22">
      <c r="A22" s="5" t="s">
        <v>980</v>
      </c>
      <c r="C22" s="5" t="s">
        <v>981</v>
      </c>
      <c r="G22" s="155" t="s">
        <v>11</v>
      </c>
      <c r="H22" s="156">
        <f>(((Sheet1!$B$3+(H20*Sheet1!$G$7*Sheet1!$G$8))+H19*Sheet1!$G$2)+((H18+(H21*2))*Sheet1!$G$5))/(1-(Sheet1!$C$2))-(Sheet1!$B$3)/(1-(Sheet1!$C$2))</f>
        <v>3757.782943</v>
      </c>
    </row>
    <row r="23">
      <c r="A23" s="5" t="s">
        <v>1</v>
      </c>
      <c r="B23" s="5">
        <v>997.0</v>
      </c>
    </row>
    <row r="24">
      <c r="A24" s="5" t="s">
        <v>25</v>
      </c>
      <c r="B24" s="5">
        <v>52.0</v>
      </c>
      <c r="G24" s="174" t="s">
        <v>982</v>
      </c>
      <c r="H24" s="175"/>
      <c r="I24" s="5" t="s">
        <v>875</v>
      </c>
    </row>
    <row r="25">
      <c r="A25" s="5" t="s">
        <v>495</v>
      </c>
      <c r="B25" s="5">
        <v>0.0</v>
      </c>
      <c r="G25" s="155" t="s">
        <v>1</v>
      </c>
      <c r="H25" s="155">
        <v>990.0</v>
      </c>
    </row>
    <row r="26">
      <c r="A26" s="5" t="s">
        <v>28</v>
      </c>
      <c r="B26" s="5">
        <v>0.0</v>
      </c>
      <c r="G26" s="155" t="s">
        <v>25</v>
      </c>
      <c r="H26" s="155">
        <v>75.0</v>
      </c>
    </row>
    <row r="27">
      <c r="A27" s="5" t="s">
        <v>11</v>
      </c>
      <c r="B27">
        <f>(((Sheet1!$B$3+(B25*Sheet1!$G$7*Sheet1!$G$8))+B24*Sheet1!$G$2)+((B23+(B26*2))*Sheet1!$G$5))/(1-(Sheet1!$C$2))-(Sheet1!$B$3)/(1-(Sheet1!$C$2))</f>
        <v>4191.766555</v>
      </c>
      <c r="G27" s="155" t="s">
        <v>495</v>
      </c>
      <c r="H27" s="155">
        <v>0.0</v>
      </c>
    </row>
    <row r="28">
      <c r="G28" s="155" t="s">
        <v>28</v>
      </c>
      <c r="H28" s="155">
        <v>0.0</v>
      </c>
    </row>
    <row r="29">
      <c r="A29" s="190" t="s">
        <v>982</v>
      </c>
      <c r="B29" s="191"/>
      <c r="C29" s="5" t="s">
        <v>983</v>
      </c>
      <c r="G29" s="155" t="s">
        <v>11</v>
      </c>
      <c r="H29" s="156">
        <f>(((Sheet1!$B$3+(H27*Sheet1!$G$7*Sheet1!$G$8))+H26*Sheet1!$G$2)+((H25+(H28*2))*Sheet1!$G$5))/(1-(Sheet1!$C$2))-(Sheet1!$B$3)/(1-(Sheet1!$C$2))</f>
        <v>4770.195652</v>
      </c>
    </row>
    <row r="30">
      <c r="A30" s="190" t="s">
        <v>1</v>
      </c>
      <c r="B30" s="190">
        <v>1105.0</v>
      </c>
    </row>
    <row r="31">
      <c r="A31" s="190" t="s">
        <v>25</v>
      </c>
      <c r="B31" s="190">
        <v>75.0</v>
      </c>
      <c r="G31" s="183" t="s">
        <v>984</v>
      </c>
      <c r="I31" s="5" t="s">
        <v>829</v>
      </c>
    </row>
    <row r="32">
      <c r="A32" s="190" t="s">
        <v>495</v>
      </c>
      <c r="B32" s="190">
        <v>0.0</v>
      </c>
      <c r="G32" s="155" t="s">
        <v>1</v>
      </c>
      <c r="H32" s="155">
        <v>1172.0</v>
      </c>
    </row>
    <row r="33">
      <c r="A33" s="190" t="s">
        <v>28</v>
      </c>
      <c r="B33" s="190">
        <v>0.0</v>
      </c>
      <c r="G33" s="155" t="s">
        <v>25</v>
      </c>
      <c r="H33" s="155">
        <v>45.0</v>
      </c>
    </row>
    <row r="34">
      <c r="A34" s="190" t="s">
        <v>11</v>
      </c>
      <c r="B34" s="191">
        <f>(((Sheet1!$B$3+(B32*Sheet1!$G$7*Sheet1!$G$8))+B31*Sheet1!$G$2)+((B30+(B33*2))*Sheet1!$G$5))/(1-(Sheet1!$C$2))-(Sheet1!$B$3)/(1-(Sheet1!$C$2))</f>
        <v>5097.657191</v>
      </c>
      <c r="G34" s="155" t="s">
        <v>495</v>
      </c>
      <c r="H34" s="155">
        <v>0.0</v>
      </c>
    </row>
    <row r="35">
      <c r="G35" s="155" t="s">
        <v>28</v>
      </c>
      <c r="H35" s="155">
        <v>0.0</v>
      </c>
    </row>
    <row r="36">
      <c r="G36" s="155" t="s">
        <v>11</v>
      </c>
      <c r="H36" s="156">
        <f>(((Sheet1!$B$3+(H34*Sheet1!$G$7*Sheet1!$G$8))+H33*Sheet1!$G$2)+((H32+(H35*2))*Sheet1!$G$5))/(1-(Sheet1!$C$2))-(Sheet1!$B$3)/(1-(Sheet1!$C$2))</f>
        <v>4507.967559</v>
      </c>
    </row>
    <row r="38">
      <c r="G38" s="133"/>
      <c r="H38" s="80"/>
    </row>
    <row r="39">
      <c r="G39" s="185"/>
      <c r="H39" s="187"/>
    </row>
    <row r="40">
      <c r="G40" s="185"/>
      <c r="H40" s="187"/>
    </row>
    <row r="41">
      <c r="G41" s="185"/>
      <c r="H41" s="187"/>
    </row>
    <row r="42">
      <c r="G42" s="185"/>
      <c r="H42" s="187"/>
    </row>
    <row r="43">
      <c r="G43" s="185"/>
      <c r="H43" s="187"/>
    </row>
  </sheetData>
  <conditionalFormatting sqref="H8 H15 H22 H29 H36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366</v>
      </c>
      <c r="C1" s="5" t="s">
        <v>985</v>
      </c>
      <c r="D1" s="5" t="s">
        <v>986</v>
      </c>
      <c r="E1" s="5" t="s">
        <v>987</v>
      </c>
      <c r="F1" s="5" t="s">
        <v>988</v>
      </c>
      <c r="G1" s="5" t="s">
        <v>8</v>
      </c>
      <c r="H1" s="5" t="s">
        <v>989</v>
      </c>
    </row>
    <row r="3">
      <c r="A3" s="190" t="s">
        <v>990</v>
      </c>
      <c r="B3" s="191"/>
      <c r="G3" s="5" t="s">
        <v>991</v>
      </c>
    </row>
    <row r="4">
      <c r="A4" s="190" t="s">
        <v>1</v>
      </c>
      <c r="B4" s="190">
        <v>392.0</v>
      </c>
      <c r="G4" s="5" t="s">
        <v>1</v>
      </c>
      <c r="H4" s="5">
        <v>150.0</v>
      </c>
    </row>
    <row r="5">
      <c r="A5" s="190" t="s">
        <v>25</v>
      </c>
      <c r="B5" s="190">
        <v>37.0</v>
      </c>
      <c r="G5" s="5" t="s">
        <v>25</v>
      </c>
      <c r="H5" s="5">
        <v>33.0</v>
      </c>
    </row>
    <row r="6">
      <c r="A6" s="190" t="s">
        <v>28</v>
      </c>
      <c r="B6" s="190">
        <v>0.0</v>
      </c>
      <c r="C6" s="5"/>
      <c r="G6" s="5" t="s">
        <v>495</v>
      </c>
      <c r="H6" s="5">
        <v>0.0</v>
      </c>
    </row>
    <row r="7">
      <c r="A7" s="190" t="s">
        <v>11</v>
      </c>
      <c r="B7" s="191">
        <f>((Sheet1!B3+B5*Sheet1!G2)+((B4+(B6*2))*Sheet1!G5))/(1-(Sheet1!C2))-(Sheet1!B3)/(1-(Sheet1!C2))</f>
        <v>2078.798328</v>
      </c>
      <c r="C7" s="151"/>
      <c r="D7" s="5"/>
      <c r="G7" s="5" t="s">
        <v>28</v>
      </c>
      <c r="H7" s="5">
        <v>0.0</v>
      </c>
    </row>
    <row r="8">
      <c r="A8" s="153"/>
      <c r="B8" s="81"/>
      <c r="C8" s="151"/>
      <c r="G8" s="5" t="s">
        <v>11</v>
      </c>
      <c r="H8">
        <f>(((Sheet1!$B$3+(H6*Sheet1!$G$7*Sheet1!$G$8))+H5*Sheet1!$G$2)+((H4+(H7*2))*Sheet1!$G$5))/(1-(Sheet1!$C$2))-(Sheet1!$B$3)/(1-(Sheet1!$C$2))</f>
        <v>1285.642475</v>
      </c>
    </row>
    <row r="9">
      <c r="A9" s="5" t="s">
        <v>992</v>
      </c>
      <c r="C9" s="5"/>
    </row>
    <row r="10">
      <c r="A10" s="5" t="s">
        <v>1</v>
      </c>
      <c r="B10" s="5">
        <v>392.0</v>
      </c>
      <c r="C10" s="5"/>
      <c r="G10" s="5" t="s">
        <v>993</v>
      </c>
      <c r="H10" s="5" t="s">
        <v>994</v>
      </c>
    </row>
    <row r="11">
      <c r="A11" s="5" t="s">
        <v>25</v>
      </c>
      <c r="B11" s="5">
        <v>45.0</v>
      </c>
      <c r="G11" s="5" t="s">
        <v>1</v>
      </c>
      <c r="H11" s="5">
        <v>230.0</v>
      </c>
    </row>
    <row r="12">
      <c r="A12" s="5" t="s">
        <v>28</v>
      </c>
      <c r="B12" s="5">
        <v>0.0</v>
      </c>
      <c r="E12" s="5">
        <v>1591.0</v>
      </c>
      <c r="F12" s="5">
        <v>1800.0</v>
      </c>
      <c r="G12" s="5" t="s">
        <v>25</v>
      </c>
      <c r="H12" s="5">
        <v>30.0</v>
      </c>
    </row>
    <row r="13">
      <c r="A13" s="5" t="s">
        <v>11</v>
      </c>
      <c r="B13">
        <f>((Sheet1!B3+B11*Sheet1!G2)+((B10+(B12*2))*Sheet1!G5))/(1-(Sheet1!C2))-(Sheet1!B3)/(1-(Sheet1!C2))</f>
        <v>2286.92408</v>
      </c>
      <c r="C13" s="10"/>
      <c r="D13">
        <f>B13/B7</f>
        <v>1.100118299</v>
      </c>
      <c r="E13">
        <f>F12/E12</f>
        <v>1.131363922</v>
      </c>
      <c r="F13" s="182">
        <f>E13/D13-1</f>
        <v>0.0284020574</v>
      </c>
      <c r="G13" s="5" t="s">
        <v>495</v>
      </c>
      <c r="H13" s="5">
        <v>0.0</v>
      </c>
    </row>
    <row r="14">
      <c r="A14" s="80"/>
      <c r="B14" s="81"/>
      <c r="F14" s="5" t="s">
        <v>995</v>
      </c>
      <c r="G14" s="5" t="s">
        <v>28</v>
      </c>
      <c r="H14" s="5">
        <v>0.0</v>
      </c>
    </row>
    <row r="15">
      <c r="A15" s="155" t="s">
        <v>996</v>
      </c>
      <c r="B15" s="156"/>
      <c r="G15" s="5" t="s">
        <v>11</v>
      </c>
      <c r="H15">
        <f>(((Sheet1!$B$3+(H13*Sheet1!$G$7*Sheet1!$G$8))+H12*Sheet1!$G$2)+((H11+(H14*2))*Sheet1!$G$5))/(1-(Sheet1!$C$2))-(Sheet1!$B$3)/(1-(Sheet1!$C$2))</f>
        <v>1435.394649</v>
      </c>
    </row>
    <row r="16">
      <c r="A16" s="155" t="s">
        <v>1</v>
      </c>
      <c r="B16" s="155">
        <v>800.0</v>
      </c>
      <c r="C16" s="5">
        <v>0.166666667</v>
      </c>
      <c r="D16" s="5" t="s">
        <v>997</v>
      </c>
    </row>
    <row r="17">
      <c r="A17" s="155" t="s">
        <v>25</v>
      </c>
      <c r="B17" s="155">
        <v>43.0</v>
      </c>
      <c r="G17" s="5" t="s">
        <v>998</v>
      </c>
    </row>
    <row r="18">
      <c r="A18" s="155" t="s">
        <v>495</v>
      </c>
      <c r="B18" s="155">
        <v>44.0</v>
      </c>
      <c r="G18" s="5" t="s">
        <v>1</v>
      </c>
      <c r="H18" s="5">
        <v>200.0</v>
      </c>
    </row>
    <row r="19">
      <c r="A19" s="155" t="s">
        <v>28</v>
      </c>
      <c r="B19" s="155">
        <v>0.0</v>
      </c>
      <c r="G19" s="5" t="s">
        <v>25</v>
      </c>
      <c r="H19" s="5">
        <v>27.0</v>
      </c>
    </row>
    <row r="20">
      <c r="A20" s="155" t="s">
        <v>11</v>
      </c>
      <c r="B20" s="156">
        <f>(((Sheet1!B3+(B18*Sheet1!G7*Sheet1!G8))+B17*Sheet1!G2)+(((B16*C16)+(B19*2))*Sheet1!G5))/(1-(Sheet1!C2))-(Sheet1!B3)/(1-(Sheet1!C2))</f>
        <v>1646.411038</v>
      </c>
      <c r="G20" s="5" t="s">
        <v>495</v>
      </c>
      <c r="H20" s="5">
        <v>0.0</v>
      </c>
    </row>
    <row r="21">
      <c r="A21" s="197"/>
      <c r="B21" s="80"/>
      <c r="G21" s="5" t="s">
        <v>28</v>
      </c>
      <c r="H21" s="5">
        <v>0.0</v>
      </c>
    </row>
    <row r="22">
      <c r="A22" s="155" t="s">
        <v>999</v>
      </c>
      <c r="B22" s="156"/>
      <c r="G22" s="5" t="s">
        <v>11</v>
      </c>
      <c r="H22">
        <f>(((Sheet1!$B$3+(H20*Sheet1!$G$7*Sheet1!$G$8))+H19*Sheet1!$G$2)+((H18+(H21*2))*Sheet1!$G$5))/(1-(Sheet1!$C$2))-(Sheet1!$B$3)/(1-(Sheet1!$C$2))</f>
        <v>1271.922742</v>
      </c>
    </row>
    <row r="23">
      <c r="A23" s="155" t="s">
        <v>1</v>
      </c>
      <c r="B23" s="155">
        <v>0.0</v>
      </c>
    </row>
    <row r="24">
      <c r="A24" s="155" t="s">
        <v>25</v>
      </c>
      <c r="B24" s="155">
        <v>53.0</v>
      </c>
      <c r="G24" s="5" t="s">
        <v>1000</v>
      </c>
    </row>
    <row r="25">
      <c r="A25" s="155" t="s">
        <v>28</v>
      </c>
      <c r="B25" s="155">
        <v>0.0</v>
      </c>
      <c r="G25" s="5" t="s">
        <v>1</v>
      </c>
      <c r="H25" s="5">
        <v>230.0</v>
      </c>
    </row>
    <row r="26">
      <c r="A26" s="155" t="s">
        <v>11</v>
      </c>
      <c r="B26" s="156">
        <f>((Sheet1!B3+B24*Sheet1!G2)+((B23+(B25*2))*Sheet1!G5))/(1-(Sheet1!C2))-(Sheet1!B3)/(1-(Sheet1!C2))</f>
        <v>1378.83311</v>
      </c>
      <c r="G26" s="5" t="s">
        <v>25</v>
      </c>
      <c r="H26" s="5">
        <v>30.0</v>
      </c>
    </row>
    <row r="27">
      <c r="A27" s="154"/>
      <c r="B27" s="80"/>
      <c r="G27" s="5" t="s">
        <v>495</v>
      </c>
      <c r="H27" s="5">
        <v>0.0</v>
      </c>
    </row>
    <row r="28">
      <c r="A28" s="5" t="s">
        <v>1001</v>
      </c>
      <c r="C28" s="5" t="s">
        <v>848</v>
      </c>
      <c r="G28" s="5" t="s">
        <v>28</v>
      </c>
      <c r="H28" s="5">
        <v>0.0</v>
      </c>
    </row>
    <row r="29">
      <c r="A29" s="5" t="s">
        <v>1</v>
      </c>
      <c r="B29" s="5">
        <v>308.0</v>
      </c>
      <c r="G29" s="5" t="s">
        <v>11</v>
      </c>
      <c r="H29">
        <f>(((Sheet1!$B$3+(H27*Sheet1!$G$7*Sheet1!$G$8))+H26*Sheet1!$G$2)+((H25+(H28*2))*Sheet1!$G$5))/(1-(Sheet1!$C$2))-(Sheet1!$B$3)/(1-(Sheet1!$C$2))</f>
        <v>1435.394649</v>
      </c>
    </row>
    <row r="30">
      <c r="A30" s="5" t="s">
        <v>25</v>
      </c>
      <c r="B30" s="5">
        <v>48.0</v>
      </c>
    </row>
    <row r="31">
      <c r="A31" s="5" t="s">
        <v>495</v>
      </c>
      <c r="B31" s="5">
        <v>42.0</v>
      </c>
      <c r="G31" s="5" t="s">
        <v>1002</v>
      </c>
    </row>
    <row r="32">
      <c r="A32" s="5" t="s">
        <v>28</v>
      </c>
      <c r="B32" s="5">
        <v>0.0</v>
      </c>
      <c r="G32" s="5" t="s">
        <v>1</v>
      </c>
      <c r="H32" s="5">
        <v>330.0</v>
      </c>
    </row>
    <row r="33">
      <c r="A33" s="5" t="s">
        <v>11</v>
      </c>
      <c r="B33">
        <f>(((Sheet1!$B$3+(B31*Sheet1!$G$7*Sheet1!$G$8))+B30*Sheet1!$G$2)+((B29+(B32*2))*Sheet1!$G$5))/(1-(Sheet1!$C$2))-(Sheet1!$B$3)/(1-(Sheet1!$C$2))</f>
        <v>2267.12107</v>
      </c>
      <c r="G33" s="5" t="s">
        <v>25</v>
      </c>
      <c r="H33" s="5">
        <v>30.0</v>
      </c>
    </row>
    <row r="34">
      <c r="G34" s="5" t="s">
        <v>495</v>
      </c>
      <c r="H34" s="5">
        <v>0.0</v>
      </c>
      <c r="I34" s="5" t="s">
        <v>1003</v>
      </c>
    </row>
    <row r="35">
      <c r="A35" s="5" t="s">
        <v>1004</v>
      </c>
      <c r="C35" s="5" t="s">
        <v>954</v>
      </c>
      <c r="G35" s="5" t="s">
        <v>28</v>
      </c>
      <c r="H35" s="5">
        <v>0.0</v>
      </c>
    </row>
    <row r="36">
      <c r="A36" s="5" t="s">
        <v>1</v>
      </c>
      <c r="B36" s="5">
        <v>295.0</v>
      </c>
      <c r="G36" s="5" t="s">
        <v>11</v>
      </c>
      <c r="H36">
        <f>(((Sheet1!$B$3+(H34*Sheet1!$G$7*Sheet1!$G$8))+H33*Sheet1!$G$2)+((H32+(H35*2))*Sheet1!$G$5))/(1-(Sheet1!$C$2))-(Sheet1!$B$3)/(1-(Sheet1!$C$2))</f>
        <v>1720.143813</v>
      </c>
      <c r="I36">
        <f>H36/H15</f>
        <v>1.198376916</v>
      </c>
    </row>
    <row r="37">
      <c r="A37" s="5" t="s">
        <v>25</v>
      </c>
      <c r="B37" s="5">
        <v>33.0</v>
      </c>
    </row>
    <row r="38">
      <c r="A38" s="5" t="s">
        <v>495</v>
      </c>
      <c r="B38" s="5">
        <v>0.0</v>
      </c>
      <c r="G38" s="174" t="s">
        <v>1004</v>
      </c>
      <c r="H38" s="175"/>
      <c r="I38" s="5" t="s">
        <v>1005</v>
      </c>
    </row>
    <row r="39">
      <c r="A39" s="5" t="s">
        <v>28</v>
      </c>
      <c r="B39" s="5">
        <v>0.0</v>
      </c>
      <c r="G39" s="5" t="s">
        <v>1</v>
      </c>
      <c r="H39" s="5">
        <v>295.0</v>
      </c>
    </row>
    <row r="40">
      <c r="A40" s="5" t="s">
        <v>11</v>
      </c>
      <c r="B40">
        <f>(((Sheet1!$B$3+(B38*Sheet1!$G$7*Sheet1!$G$8))+B37*Sheet1!$G$2)+((B36+(B39*2))*Sheet1!$G$5))/(1-(Sheet1!$C$2))-(Sheet1!$B$3)/(1-(Sheet1!$C$2))</f>
        <v>1698.528763</v>
      </c>
      <c r="G40" s="5" t="s">
        <v>25</v>
      </c>
      <c r="H40" s="5">
        <v>33.0</v>
      </c>
    </row>
    <row r="41">
      <c r="G41" s="5" t="s">
        <v>495</v>
      </c>
      <c r="H41" s="5">
        <v>0.0</v>
      </c>
    </row>
    <row r="42">
      <c r="A42" s="5" t="s">
        <v>991</v>
      </c>
      <c r="C42" s="5" t="s">
        <v>1006</v>
      </c>
      <c r="G42" s="5" t="s">
        <v>28</v>
      </c>
      <c r="H42" s="5">
        <v>0.0</v>
      </c>
    </row>
    <row r="43">
      <c r="A43" s="5" t="s">
        <v>1</v>
      </c>
      <c r="B43" s="5">
        <v>223.0</v>
      </c>
      <c r="G43" s="5" t="s">
        <v>11</v>
      </c>
      <c r="H43">
        <f>(((Sheet1!$B$3+(H41*Sheet1!$G$7*Sheet1!$G$8))+H40*Sheet1!$G$2)+((H39+(H42*2))*Sheet1!$G$5))/(1-(Sheet1!$C$2))-(Sheet1!$B$3)/(1-(Sheet1!$C$2))</f>
        <v>1698.528763</v>
      </c>
    </row>
    <row r="44">
      <c r="A44" s="5" t="s">
        <v>25</v>
      </c>
      <c r="B44" s="5">
        <v>36.0</v>
      </c>
    </row>
    <row r="45">
      <c r="A45" s="5" t="s">
        <v>495</v>
      </c>
      <c r="B45" s="5">
        <v>0.0</v>
      </c>
      <c r="G45" s="174" t="s">
        <v>1007</v>
      </c>
      <c r="H45" s="175"/>
      <c r="I45" s="5" t="s">
        <v>875</v>
      </c>
    </row>
    <row r="46">
      <c r="A46" s="5" t="s">
        <v>28</v>
      </c>
      <c r="B46" s="5">
        <v>0.0</v>
      </c>
      <c r="G46" s="5" t="s">
        <v>1</v>
      </c>
      <c r="H46" s="5">
        <v>0.0</v>
      </c>
    </row>
    <row r="47">
      <c r="A47" s="5" t="s">
        <v>11</v>
      </c>
      <c r="B47">
        <f>(((Sheet1!$B$3+(B45*Sheet1!$G$7*Sheet1!$G$8))+B44*Sheet1!$G$2)+((B43+(B46*2))*Sheet1!$G$5))/(1-(Sheet1!$C$2))-(Sheet1!$B$3)/(1-(Sheet1!$C$2))</f>
        <v>1571.556522</v>
      </c>
      <c r="G47" s="5" t="s">
        <v>25</v>
      </c>
      <c r="H47" s="5">
        <v>33.0</v>
      </c>
    </row>
    <row r="48">
      <c r="G48" s="5" t="s">
        <v>495</v>
      </c>
      <c r="H48" s="5">
        <v>0.0</v>
      </c>
    </row>
    <row r="49">
      <c r="A49" s="190" t="s">
        <v>1008</v>
      </c>
      <c r="B49" s="191"/>
      <c r="C49" s="26">
        <v>42739.0</v>
      </c>
      <c r="G49" s="5" t="s">
        <v>28</v>
      </c>
      <c r="H49" s="5">
        <v>0.0</v>
      </c>
    </row>
    <row r="50">
      <c r="A50" s="190" t="s">
        <v>1</v>
      </c>
      <c r="B50" s="190">
        <v>0.0</v>
      </c>
      <c r="G50" s="5" t="s">
        <v>11</v>
      </c>
      <c r="H50">
        <f>(((Sheet1!$B$3+(H48*Sheet1!$G$7*Sheet1!$G$8))+H47*Sheet1!$G$2)+((H46+(H49*2))*Sheet1!$G$5))/(1-(Sheet1!$C$2))-(Sheet1!$B$3)/(1-(Sheet1!$C$2))</f>
        <v>858.5187291</v>
      </c>
    </row>
    <row r="51">
      <c r="A51" s="190" t="s">
        <v>25</v>
      </c>
      <c r="B51" s="190">
        <v>37.0</v>
      </c>
    </row>
    <row r="52">
      <c r="A52" s="190" t="s">
        <v>495</v>
      </c>
      <c r="B52" s="190">
        <v>38.0</v>
      </c>
      <c r="G52" s="174" t="s">
        <v>1009</v>
      </c>
      <c r="H52" s="175"/>
      <c r="I52" s="5" t="s">
        <v>1010</v>
      </c>
    </row>
    <row r="53">
      <c r="A53" s="190" t="s">
        <v>28</v>
      </c>
      <c r="B53" s="190">
        <v>0.0</v>
      </c>
      <c r="G53" s="5" t="s">
        <v>1</v>
      </c>
      <c r="H53" s="5">
        <v>0.0</v>
      </c>
    </row>
    <row r="54">
      <c r="A54" s="190" t="s">
        <v>11</v>
      </c>
      <c r="B54" s="191">
        <f>(((Sheet1!$B$3+(B52*Sheet1!$G$7*Sheet1!$G$8))+B51*Sheet1!$G$2)+((B50+(B53*2))*Sheet1!$G$5))/(1-(Sheet1!$C$2))-(Sheet1!$B$3)/(1-(Sheet1!$C$2))</f>
        <v>1090.459866</v>
      </c>
      <c r="G54" s="5" t="s">
        <v>25</v>
      </c>
      <c r="H54" s="5">
        <v>40.0</v>
      </c>
    </row>
    <row r="55">
      <c r="G55" s="5" t="s">
        <v>495</v>
      </c>
      <c r="H55" s="5">
        <v>0.0</v>
      </c>
    </row>
    <row r="56">
      <c r="A56" s="5" t="s">
        <v>1008</v>
      </c>
      <c r="C56" s="26">
        <v>42770.0</v>
      </c>
      <c r="G56" s="5" t="s">
        <v>28</v>
      </c>
      <c r="H56" s="5">
        <v>0.0</v>
      </c>
    </row>
    <row r="57">
      <c r="A57" s="5" t="s">
        <v>1</v>
      </c>
      <c r="B57" s="5">
        <v>0.0</v>
      </c>
      <c r="G57" s="5" t="s">
        <v>11</v>
      </c>
      <c r="H57">
        <f>(((Sheet1!$B$3+(H55*Sheet1!$G$7*Sheet1!$G$8))+H54*Sheet1!$G$2)+((H53+(H56*2))*Sheet1!$G$5))/(1-(Sheet1!$C$2))-(Sheet1!$B$3)/(1-(Sheet1!$C$2))</f>
        <v>1040.628763</v>
      </c>
    </row>
    <row r="58">
      <c r="A58" s="5" t="s">
        <v>25</v>
      </c>
      <c r="B58" s="5">
        <v>40.0</v>
      </c>
    </row>
    <row r="59">
      <c r="A59" s="5" t="s">
        <v>495</v>
      </c>
      <c r="B59" s="5">
        <v>40.0</v>
      </c>
    </row>
    <row r="60">
      <c r="A60" s="5" t="s">
        <v>28</v>
      </c>
      <c r="B60" s="5">
        <v>0.0</v>
      </c>
    </row>
    <row r="61">
      <c r="A61" s="5" t="s">
        <v>11</v>
      </c>
      <c r="B61">
        <f>(((Sheet1!$B$3+(B59*Sheet1!$G$7*Sheet1!$G$8))+B58*Sheet1!$G$2)+((B57+(B60*2))*Sheet1!$G$5))/(1-(Sheet1!$C$2))-(Sheet1!$B$3)/(1-(Sheet1!$C$2))</f>
        <v>1175.237458</v>
      </c>
    </row>
    <row r="63">
      <c r="A63" s="5" t="s">
        <v>1008</v>
      </c>
      <c r="C63" s="26">
        <v>42798.0</v>
      </c>
    </row>
    <row r="64">
      <c r="A64" s="5" t="s">
        <v>1</v>
      </c>
      <c r="B64" s="5">
        <v>0.0</v>
      </c>
    </row>
    <row r="65">
      <c r="A65" s="5" t="s">
        <v>25</v>
      </c>
      <c r="B65" s="5">
        <v>43.0</v>
      </c>
    </row>
    <row r="66">
      <c r="A66" s="5" t="s">
        <v>495</v>
      </c>
      <c r="B66" s="5">
        <v>44.0</v>
      </c>
    </row>
    <row r="67">
      <c r="A67" s="5" t="s">
        <v>28</v>
      </c>
      <c r="B67" s="5">
        <v>0.0</v>
      </c>
    </row>
    <row r="68">
      <c r="A68" s="5" t="s">
        <v>11</v>
      </c>
      <c r="B68">
        <f>(((Sheet1!$B$3+(B66*Sheet1!$G$7*Sheet1!$G$8))+B65*Sheet1!$G$2)+((B64+(B67*2))*Sheet1!$G$5))/(1-(Sheet1!$C$2))-(Sheet1!$B$3)/(1-(Sheet1!$C$2))</f>
        <v>1266.745485</v>
      </c>
    </row>
    <row r="70">
      <c r="A70" s="5" t="s">
        <v>1011</v>
      </c>
      <c r="C70" s="26"/>
    </row>
    <row r="71">
      <c r="A71" s="5" t="s">
        <v>1</v>
      </c>
      <c r="B71" s="5">
        <v>367.0</v>
      </c>
    </row>
    <row r="72">
      <c r="A72" s="5" t="s">
        <v>25</v>
      </c>
      <c r="B72" s="5">
        <v>34.0</v>
      </c>
    </row>
    <row r="73">
      <c r="A73" s="5" t="s">
        <v>495</v>
      </c>
      <c r="B73" s="5">
        <v>0.0</v>
      </c>
    </row>
    <row r="74">
      <c r="A74" s="5" t="s">
        <v>28</v>
      </c>
      <c r="B74" s="5">
        <v>0.0</v>
      </c>
    </row>
    <row r="75">
      <c r="A75" s="5" t="s">
        <v>11</v>
      </c>
      <c r="B75">
        <f>(((Sheet1!$B$3+(B73*Sheet1!$G$7*Sheet1!$G$8))+B72*Sheet1!$G$2)+((B71+(B74*2))*Sheet1!$G$5))/(1-(Sheet1!$C$2))-(Sheet1!$B$3)/(1-(Sheet1!$C$2))</f>
        <v>1929.56388</v>
      </c>
    </row>
    <row r="77">
      <c r="A77" s="5" t="s">
        <v>1009</v>
      </c>
      <c r="C77" s="26"/>
    </row>
    <row r="78">
      <c r="A78" s="5" t="s">
        <v>1</v>
      </c>
      <c r="B78" s="5">
        <v>0.0</v>
      </c>
    </row>
    <row r="79">
      <c r="A79" s="5" t="s">
        <v>25</v>
      </c>
      <c r="B79" s="5">
        <v>34.0</v>
      </c>
    </row>
    <row r="80">
      <c r="A80" s="5" t="s">
        <v>495</v>
      </c>
      <c r="B80" s="5">
        <v>0.0</v>
      </c>
    </row>
    <row r="81">
      <c r="A81" s="5" t="s">
        <v>28</v>
      </c>
      <c r="B81" s="5">
        <v>0.0</v>
      </c>
    </row>
    <row r="82">
      <c r="A82" s="5" t="s">
        <v>11</v>
      </c>
      <c r="B82">
        <f>(((Sheet1!$B$3+(B80*Sheet1!$G$7*Sheet1!$G$8))+B79*Sheet1!$G$2)+((B78+(B81*2))*Sheet1!$G$5))/(1-(Sheet1!$C$2))-(Sheet1!$B$3)/(1-(Sheet1!$C$2))</f>
        <v>884.5344482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1012</v>
      </c>
      <c r="C1" s="5"/>
      <c r="D1" s="5"/>
      <c r="E1" s="5"/>
      <c r="F1" s="5"/>
      <c r="G1" s="5"/>
      <c r="H1" s="5"/>
    </row>
    <row r="3">
      <c r="A3" s="5" t="s">
        <v>1013</v>
      </c>
      <c r="G3" s="155" t="s">
        <v>741</v>
      </c>
      <c r="H3" s="156"/>
    </row>
    <row r="4">
      <c r="A4" s="5" t="s">
        <v>1</v>
      </c>
      <c r="B4" s="5">
        <v>0.0</v>
      </c>
      <c r="G4" s="155" t="s">
        <v>1</v>
      </c>
      <c r="H4" s="155">
        <v>1532.0</v>
      </c>
    </row>
    <row r="5">
      <c r="A5" s="5" t="s">
        <v>25</v>
      </c>
      <c r="B5" s="5">
        <v>57.0</v>
      </c>
      <c r="G5" s="155" t="s">
        <v>25</v>
      </c>
      <c r="H5" s="155">
        <v>115.0</v>
      </c>
    </row>
    <row r="6">
      <c r="A6" s="5" t="s">
        <v>28</v>
      </c>
      <c r="B6" s="5">
        <v>0.0</v>
      </c>
      <c r="C6" s="5"/>
      <c r="G6" s="155" t="s">
        <v>495</v>
      </c>
      <c r="H6" s="155">
        <v>45.0</v>
      </c>
    </row>
    <row r="7">
      <c r="A7" s="5" t="s">
        <v>11</v>
      </c>
      <c r="B7">
        <f>((Sheet1!B3+B5*Sheet1!G2)+((B4+(B6*2))*Sheet1!G5))/(1-(Sheet1!C2))-(Sheet1!B3)/(1-(Sheet1!C2))</f>
        <v>1482.895987</v>
      </c>
      <c r="C7" s="151"/>
      <c r="D7" s="5"/>
      <c r="G7" s="155" t="s">
        <v>28</v>
      </c>
      <c r="H7" s="155">
        <v>0.0</v>
      </c>
    </row>
    <row r="8">
      <c r="A8" s="153" t="s">
        <v>1014</v>
      </c>
      <c r="B8" s="198" t="s">
        <v>1015</v>
      </c>
      <c r="C8" s="198"/>
      <c r="G8" s="155" t="s">
        <v>11</v>
      </c>
      <c r="H8" s="156">
        <f>(((Sheet1!$B$3+(H6*Sheet1!$G$7*Sheet1!$G$8))+H5*Sheet1!$G$2)+((H4+(H7*2))*Sheet1!$G$5))/(1-(Sheet1!$C$2))-(Sheet1!$B$3)/(1-(Sheet1!$C$2))</f>
        <v>7505.599666</v>
      </c>
    </row>
    <row r="9">
      <c r="A9" s="5"/>
      <c r="B9" s="198"/>
      <c r="C9" s="198"/>
    </row>
    <row r="10">
      <c r="A10" s="190" t="s">
        <v>1016</v>
      </c>
      <c r="B10" s="199"/>
      <c r="C10" s="198"/>
      <c r="G10" s="5" t="s">
        <v>1017</v>
      </c>
    </row>
    <row r="11">
      <c r="A11" s="190" t="s">
        <v>1</v>
      </c>
      <c r="B11" s="190">
        <v>0.0</v>
      </c>
      <c r="C11" s="5"/>
      <c r="G11" s="155" t="s">
        <v>1</v>
      </c>
      <c r="H11" s="155">
        <v>0.0</v>
      </c>
    </row>
    <row r="12">
      <c r="A12" s="190" t="s">
        <v>25</v>
      </c>
      <c r="B12" s="190">
        <v>45.0</v>
      </c>
      <c r="G12" s="155" t="s">
        <v>25</v>
      </c>
      <c r="H12" s="155"/>
    </row>
    <row r="13">
      <c r="A13" s="190" t="s">
        <v>28</v>
      </c>
      <c r="B13" s="190">
        <v>0.0</v>
      </c>
      <c r="E13" s="5"/>
      <c r="F13" s="5"/>
      <c r="G13" s="155" t="s">
        <v>495</v>
      </c>
      <c r="H13" s="155">
        <v>54.0</v>
      </c>
    </row>
    <row r="14">
      <c r="A14" s="190" t="s">
        <v>11</v>
      </c>
      <c r="B14" s="191">
        <f>((Sheet1!B3+B12*Sheet1!G2)+((B11+(B13*2))*Sheet1!G5))/(1-(Sheet1!C2))-(Sheet1!B3)/(1-(Sheet1!C2))</f>
        <v>1170.707358</v>
      </c>
      <c r="C14" s="10"/>
      <c r="F14" s="182"/>
      <c r="G14" s="155" t="s">
        <v>28</v>
      </c>
      <c r="H14" s="155">
        <v>0.0</v>
      </c>
    </row>
    <row r="15">
      <c r="A15" s="5"/>
      <c r="G15" s="155" t="s">
        <v>11</v>
      </c>
      <c r="H15" s="156">
        <f>(((Sheet1!$B$3+(H13*Sheet1!$G$7*Sheet1!$G$8))+H12*Sheet1!$G$2)+((H11+(H14*2))*Sheet1!$G$5))/(1-(Sheet1!$C$2))-(Sheet1!$B$3)/(1-(Sheet1!$C$2))</f>
        <v>181.7217391</v>
      </c>
    </row>
    <row r="16">
      <c r="A16" s="5"/>
      <c r="G16" s="5"/>
      <c r="H16" s="5"/>
    </row>
    <row r="17">
      <c r="A17" s="5" t="s">
        <v>1</v>
      </c>
      <c r="B17" s="5">
        <v>2000.0</v>
      </c>
      <c r="D17" s="5"/>
      <c r="G17" s="5" t="s">
        <v>1018</v>
      </c>
    </row>
    <row r="18">
      <c r="A18" s="5" t="s">
        <v>25</v>
      </c>
      <c r="B18" s="5">
        <v>0.0</v>
      </c>
      <c r="G18" s="155" t="s">
        <v>1</v>
      </c>
      <c r="H18" s="155">
        <v>0.0</v>
      </c>
    </row>
    <row r="19">
      <c r="A19" s="5" t="s">
        <v>28</v>
      </c>
      <c r="B19" s="5">
        <v>0.0</v>
      </c>
      <c r="G19" s="155" t="s">
        <v>25</v>
      </c>
      <c r="H19" s="155">
        <v>51.0</v>
      </c>
    </row>
    <row r="20">
      <c r="A20" s="5" t="s">
        <v>11</v>
      </c>
      <c r="B20">
        <f>((Sheet1!B3+B18*Sheet1!G2)+((B17+(B19*2))*Sheet1!G5))/(1-(Sheet1!C2))-(Sheet1!B3)/(1-(Sheet1!C2))</f>
        <v>5694.983278</v>
      </c>
      <c r="C20">
        <f>B20/6</f>
        <v>949.1638796</v>
      </c>
      <c r="E20">
        <f>B20/B14</f>
        <v>4.864566059</v>
      </c>
      <c r="G20" s="155" t="s">
        <v>495</v>
      </c>
      <c r="H20" s="155">
        <v>0.0</v>
      </c>
    </row>
    <row r="21">
      <c r="A21" s="154"/>
      <c r="B21" s="80"/>
      <c r="G21" s="155" t="s">
        <v>28</v>
      </c>
      <c r="H21" s="155">
        <v>0.0</v>
      </c>
    </row>
    <row r="22">
      <c r="A22" s="5" t="s">
        <v>1018</v>
      </c>
      <c r="C22">
        <f>120/20</f>
        <v>6</v>
      </c>
      <c r="G22" s="155" t="s">
        <v>11</v>
      </c>
      <c r="H22" s="156">
        <f>(((Sheet1!$B$3+(H20*Sheet1!$G$7*Sheet1!$G$8))+H19*Sheet1!$G$2)+((H18+(H21*2))*Sheet1!$G$5))/(1-(Sheet1!$C$2))-(Sheet1!$B$3)/(1-(Sheet1!$C$2))</f>
        <v>1326.801672</v>
      </c>
    </row>
    <row r="23">
      <c r="A23" s="5" t="s">
        <v>1</v>
      </c>
      <c r="B23" s="5">
        <v>0.0</v>
      </c>
    </row>
    <row r="24">
      <c r="A24" s="5" t="s">
        <v>25</v>
      </c>
      <c r="B24" s="5">
        <v>51.0</v>
      </c>
    </row>
    <row r="25">
      <c r="A25" s="5" t="s">
        <v>28</v>
      </c>
      <c r="B25" s="5">
        <v>0.0</v>
      </c>
    </row>
    <row r="26">
      <c r="A26" s="5" t="s">
        <v>11</v>
      </c>
      <c r="B26">
        <f>((Sheet1!$B$3+B24*Sheet1!$G$2)+((B23+(B25*2))*Sheet1!$G$5))/(1-(Sheet1!$C$2))-(Sheet1!$B$3)/(1-(Sheet1!$C$2))</f>
        <v>1326.801672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1019</v>
      </c>
      <c r="C1" s="5"/>
      <c r="D1" s="5"/>
      <c r="E1" s="5"/>
      <c r="F1" s="5"/>
      <c r="G1" s="5"/>
      <c r="H1" s="5"/>
    </row>
    <row r="3">
      <c r="A3" s="155" t="s">
        <v>460</v>
      </c>
      <c r="B3" s="156"/>
      <c r="F3" s="155" t="s">
        <v>1020</v>
      </c>
      <c r="G3" s="156"/>
      <c r="H3" s="5" t="s">
        <v>827</v>
      </c>
    </row>
    <row r="4">
      <c r="A4" s="155" t="s">
        <v>1</v>
      </c>
      <c r="B4" s="155">
        <v>0.0</v>
      </c>
      <c r="F4" s="155" t="s">
        <v>1</v>
      </c>
      <c r="G4" s="155">
        <v>0.0</v>
      </c>
    </row>
    <row r="5">
      <c r="A5" s="155" t="s">
        <v>25</v>
      </c>
      <c r="B5" s="155">
        <v>33.0</v>
      </c>
      <c r="F5" s="155" t="s">
        <v>25</v>
      </c>
      <c r="G5" s="155">
        <v>21.0</v>
      </c>
      <c r="H5" s="5"/>
    </row>
    <row r="6">
      <c r="A6" s="155" t="s">
        <v>28</v>
      </c>
      <c r="B6" s="155">
        <v>0.0</v>
      </c>
      <c r="C6" s="5"/>
      <c r="F6" s="155" t="s">
        <v>495</v>
      </c>
      <c r="G6" s="155">
        <v>0.0</v>
      </c>
      <c r="H6" s="5"/>
    </row>
    <row r="7">
      <c r="A7" s="155" t="s">
        <v>11</v>
      </c>
      <c r="B7" s="156">
        <f>((Sheet1!B3+B5*Sheet1!G2)+((B4+(B6*2))*Sheet1!G5))/(1-(Sheet1!C2))-(Sheet1!B3)/(1-(Sheet1!C2))</f>
        <v>858.5187291</v>
      </c>
      <c r="C7" s="151"/>
      <c r="D7" s="5"/>
      <c r="F7" s="155" t="s">
        <v>28</v>
      </c>
      <c r="G7" s="155">
        <v>0.0</v>
      </c>
    </row>
    <row r="8">
      <c r="A8" s="153"/>
      <c r="B8" s="81"/>
      <c r="C8" s="151"/>
      <c r="F8" s="155" t="s">
        <v>11</v>
      </c>
      <c r="G8" s="156">
        <f>(((Sheet1!$B$3+(G6*Sheet1!$G$7*Sheet1!$G$8))+G5*Sheet1!$G$2)+((G4+(G7*2))*Sheet1!$G$5))/(1-(Sheet1!$C$2))-(Sheet1!$B$3)/(1-(Sheet1!$C$2))</f>
        <v>546.3301003</v>
      </c>
    </row>
    <row r="9">
      <c r="A9" s="200" t="s">
        <v>1021</v>
      </c>
      <c r="B9" s="201"/>
      <c r="C9" s="5"/>
    </row>
    <row r="10">
      <c r="A10" s="200" t="s">
        <v>1</v>
      </c>
      <c r="B10" s="200">
        <v>308.0</v>
      </c>
      <c r="C10" s="5"/>
      <c r="F10" s="5" t="s">
        <v>1022</v>
      </c>
      <c r="H10" s="5" t="s">
        <v>1023</v>
      </c>
    </row>
    <row r="11">
      <c r="A11" s="200" t="s">
        <v>25</v>
      </c>
      <c r="B11" s="200">
        <v>33.0</v>
      </c>
      <c r="F11" s="155" t="s">
        <v>1</v>
      </c>
      <c r="G11" s="155">
        <v>0.0</v>
      </c>
      <c r="H11" s="5"/>
    </row>
    <row r="12">
      <c r="A12" s="200" t="s">
        <v>28</v>
      </c>
      <c r="B12" s="200">
        <v>0.0</v>
      </c>
      <c r="E12" s="5"/>
      <c r="F12" s="155" t="s">
        <v>25</v>
      </c>
      <c r="G12" s="155">
        <v>30.0</v>
      </c>
    </row>
    <row r="13">
      <c r="A13" s="200" t="s">
        <v>11</v>
      </c>
      <c r="B13" s="201">
        <f>((Sheet1!B3+B11*Sheet1!G2)+((B10+(B12*2))*Sheet1!G5))/(1-(Sheet1!C2))-(Sheet1!B3)/(1-(Sheet1!C2))</f>
        <v>1735.546154</v>
      </c>
      <c r="C13" s="10"/>
      <c r="F13" s="155" t="s">
        <v>495</v>
      </c>
      <c r="G13" s="155">
        <v>0.0</v>
      </c>
      <c r="H13" s="5"/>
    </row>
    <row r="14">
      <c r="A14" s="5"/>
      <c r="F14" s="155" t="s">
        <v>28</v>
      </c>
      <c r="G14" s="155">
        <v>7.0</v>
      </c>
      <c r="H14" s="5"/>
    </row>
    <row r="15">
      <c r="A15" s="5" t="s">
        <v>462</v>
      </c>
      <c r="F15" s="155" t="s">
        <v>11</v>
      </c>
      <c r="G15" s="156">
        <f>(((Sheet1!$B$3+(G13*Sheet1!$G$7*Sheet1!$G$8))+G12*Sheet1!$G$2)+((G11+(G14*2))*Sheet1!$G$5))/(1-(Sheet1!$C$2))-(Sheet1!$B$3)/(1-(Sheet1!$C$2))</f>
        <v>820.3364548</v>
      </c>
      <c r="H15" s="5"/>
    </row>
    <row r="16">
      <c r="A16" s="5" t="s">
        <v>1</v>
      </c>
      <c r="B16" s="5">
        <v>0.0</v>
      </c>
    </row>
    <row r="17">
      <c r="A17" s="5" t="s">
        <v>25</v>
      </c>
      <c r="B17" s="5">
        <v>36.0</v>
      </c>
      <c r="F17" s="5" t="s">
        <v>1024</v>
      </c>
    </row>
    <row r="18">
      <c r="A18" s="5" t="s">
        <v>28</v>
      </c>
      <c r="B18" s="5">
        <v>0.0</v>
      </c>
      <c r="F18" s="155" t="s">
        <v>1</v>
      </c>
      <c r="G18" s="155">
        <v>0.0</v>
      </c>
    </row>
    <row r="19">
      <c r="A19" s="5" t="s">
        <v>11</v>
      </c>
      <c r="B19">
        <f>((Sheet1!B3+B17*Sheet1!G2)+((B16+(B18*2))*Sheet1!G5))/(1-(Sheet1!C2))-(Sheet1!B3)/(1-(Sheet1!C2))</f>
        <v>936.5658863</v>
      </c>
      <c r="F19" s="155" t="s">
        <v>25</v>
      </c>
      <c r="G19" s="155">
        <v>46.0</v>
      </c>
    </row>
    <row r="20">
      <c r="A20" s="154"/>
      <c r="B20" s="80"/>
      <c r="F20" s="155" t="s">
        <v>495</v>
      </c>
      <c r="G20" s="155">
        <v>0.0</v>
      </c>
    </row>
    <row r="21">
      <c r="A21" s="5" t="s">
        <v>1025</v>
      </c>
      <c r="D21" s="5"/>
      <c r="F21" s="155" t="s">
        <v>28</v>
      </c>
      <c r="G21" s="155">
        <v>7.0</v>
      </c>
    </row>
    <row r="22">
      <c r="A22" s="5" t="s">
        <v>1</v>
      </c>
      <c r="B22" s="5">
        <v>0.0</v>
      </c>
      <c r="F22" s="155" t="s">
        <v>11</v>
      </c>
      <c r="G22" s="156">
        <f>(((Sheet1!$B$3+(G20*Sheet1!$G$7*Sheet1!$G$8))+G19*Sheet1!$G$2)+((G18+(G21*2))*Sheet1!$G$5))/(1-(Sheet1!$C$2))-(Sheet1!$B$3)/(1-(Sheet1!$C$2))</f>
        <v>1236.58796</v>
      </c>
    </row>
    <row r="23">
      <c r="A23" s="5" t="s">
        <v>25</v>
      </c>
      <c r="B23" s="5">
        <v>58.0</v>
      </c>
      <c r="D23" s="5"/>
    </row>
    <row r="24">
      <c r="A24" s="5" t="s">
        <v>28</v>
      </c>
      <c r="B24" s="5">
        <v>0.0</v>
      </c>
      <c r="F24" s="5" t="s">
        <v>515</v>
      </c>
    </row>
    <row r="25">
      <c r="A25" s="5" t="s">
        <v>11</v>
      </c>
      <c r="B25">
        <f>((Sheet1!B3+B23*Sheet1!G2)+((B22+(B24*2))*Sheet1!G5))/(1-(Sheet1!C2))-(Sheet1!B3)/(1-(Sheet1!C2))</f>
        <v>1508.911706</v>
      </c>
      <c r="F25" s="155" t="s">
        <v>1</v>
      </c>
      <c r="G25" s="155">
        <v>140.0</v>
      </c>
    </row>
    <row r="26">
      <c r="D26" s="5"/>
      <c r="F26" s="155" t="s">
        <v>25</v>
      </c>
      <c r="G26" s="155">
        <v>25.0</v>
      </c>
    </row>
    <row r="27">
      <c r="A27" s="5" t="s">
        <v>1026</v>
      </c>
      <c r="F27" s="155" t="s">
        <v>495</v>
      </c>
      <c r="G27" s="155">
        <v>0.0</v>
      </c>
    </row>
    <row r="28">
      <c r="A28" s="5" t="s">
        <v>1</v>
      </c>
      <c r="B28" s="5">
        <v>0.0</v>
      </c>
      <c r="F28" s="155" t="s">
        <v>28</v>
      </c>
      <c r="G28" s="155">
        <v>0.0</v>
      </c>
    </row>
    <row r="29">
      <c r="A29" s="5" t="s">
        <v>25</v>
      </c>
      <c r="B29" s="5">
        <v>60.0</v>
      </c>
      <c r="F29" s="155" t="s">
        <v>11</v>
      </c>
      <c r="G29" s="156">
        <f>(((Sheet1!$B$3+(G27*Sheet1!$G$7*Sheet1!$G$8))+G26*Sheet1!$G$2)+((G25+(G28*2))*Sheet1!$G$5))/(1-(Sheet1!$C$2))-(Sheet1!$B$3)/(1-(Sheet1!$C$2))</f>
        <v>1049.041806</v>
      </c>
    </row>
    <row r="30">
      <c r="A30" s="5" t="s">
        <v>28</v>
      </c>
      <c r="B30" s="5">
        <v>12.0</v>
      </c>
    </row>
    <row r="31">
      <c r="A31" s="5" t="s">
        <v>11</v>
      </c>
      <c r="B31">
        <f>((Sheet1!B3+B29*Sheet1!G2)+((B28+(B30*2))*Sheet1!G5))/(1-(Sheet1!C2))-(Sheet1!B3)/(1-(Sheet1!C2))</f>
        <v>1629.282943</v>
      </c>
      <c r="F31" s="5" t="s">
        <v>457</v>
      </c>
    </row>
    <row r="32">
      <c r="F32" s="155" t="s">
        <v>1</v>
      </c>
      <c r="G32" s="155">
        <v>0.0</v>
      </c>
    </row>
    <row r="33">
      <c r="A33" s="190" t="s">
        <v>457</v>
      </c>
      <c r="B33" s="191"/>
      <c r="F33" s="155" t="s">
        <v>25</v>
      </c>
      <c r="G33" s="155">
        <v>31.0</v>
      </c>
    </row>
    <row r="34">
      <c r="A34" s="190" t="s">
        <v>1</v>
      </c>
      <c r="B34" s="190">
        <v>0.0</v>
      </c>
      <c r="F34" s="155" t="s">
        <v>495</v>
      </c>
      <c r="G34" s="155">
        <v>0.0</v>
      </c>
    </row>
    <row r="35">
      <c r="A35" s="190" t="s">
        <v>25</v>
      </c>
      <c r="B35" s="190">
        <v>34.0</v>
      </c>
      <c r="F35" s="155" t="s">
        <v>28</v>
      </c>
      <c r="G35" s="155">
        <v>0.0</v>
      </c>
    </row>
    <row r="36">
      <c r="A36" s="190" t="s">
        <v>28</v>
      </c>
      <c r="B36" s="190">
        <v>0.0</v>
      </c>
      <c r="F36" s="155" t="s">
        <v>11</v>
      </c>
      <c r="G36" s="156">
        <f>(((Sheet1!$B$3+(G34*Sheet1!$G$7*Sheet1!$G$8))+G33*Sheet1!$G$2)+((G32+(G35*2))*Sheet1!$G$5))/(1-(Sheet1!$C$2))-(Sheet1!$B$3)/(1-(Sheet1!$C$2))</f>
        <v>806.487291</v>
      </c>
    </row>
    <row r="37">
      <c r="A37" s="190" t="s">
        <v>11</v>
      </c>
      <c r="B37" s="191">
        <f>((Sheet1!$B$3+B35*Sheet1!$G$2)+((B34+(B36*2))*Sheet1!$G$5))/(1-(Sheet1!$C$2))-(Sheet1!$B$3)/(1-(Sheet1!$C$2))</f>
        <v>884.5344482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</cols>
  <sheetData>
    <row r="1">
      <c r="A1" s="5" t="s">
        <v>144</v>
      </c>
      <c r="C1" s="5"/>
      <c r="D1" s="5"/>
      <c r="E1" s="5"/>
      <c r="F1" s="5"/>
      <c r="G1" s="5"/>
      <c r="H1" s="5"/>
      <c r="J1" s="5"/>
    </row>
    <row r="2">
      <c r="F2" s="16"/>
      <c r="H2" s="5"/>
      <c r="I2" s="5"/>
      <c r="J2" s="5"/>
    </row>
    <row r="3">
      <c r="A3" s="155" t="s">
        <v>1027</v>
      </c>
      <c r="B3" s="156"/>
      <c r="C3" s="202" t="s">
        <v>1028</v>
      </c>
      <c r="D3" s="202" t="s">
        <v>1029</v>
      </c>
      <c r="E3" s="21">
        <v>0.2</v>
      </c>
      <c r="F3" s="5">
        <v>0.69</v>
      </c>
      <c r="H3" s="155"/>
      <c r="I3" s="156"/>
      <c r="J3" s="5"/>
    </row>
    <row r="4">
      <c r="A4" s="155" t="s">
        <v>1</v>
      </c>
      <c r="B4" s="155">
        <v>6336.0</v>
      </c>
      <c r="C4" s="203" t="s">
        <v>1030</v>
      </c>
      <c r="D4" s="204">
        <v>0.0138</v>
      </c>
      <c r="E4" s="21">
        <v>0.02</v>
      </c>
      <c r="F4" s="5">
        <v>0.02</v>
      </c>
      <c r="H4" s="155" t="s">
        <v>1031</v>
      </c>
      <c r="I4" s="156"/>
      <c r="J4" s="5" t="s">
        <v>1032</v>
      </c>
    </row>
    <row r="5">
      <c r="A5" s="155" t="s">
        <v>25</v>
      </c>
      <c r="B5" s="155">
        <v>60.0</v>
      </c>
      <c r="C5" s="205" t="s">
        <v>1033</v>
      </c>
      <c r="D5" s="203" t="s">
        <v>1034</v>
      </c>
      <c r="F5" s="5">
        <f>F4*F3</f>
        <v>0.0138</v>
      </c>
      <c r="G5" s="5"/>
      <c r="H5" s="155" t="s">
        <v>1</v>
      </c>
      <c r="I5" s="155">
        <v>4261.0</v>
      </c>
    </row>
    <row r="6">
      <c r="A6" s="155" t="s">
        <v>495</v>
      </c>
      <c r="B6" s="155">
        <v>174.0</v>
      </c>
      <c r="C6" s="205"/>
      <c r="D6" s="206"/>
      <c r="F6" s="16"/>
      <c r="G6" s="5"/>
      <c r="H6" s="155" t="s">
        <v>25</v>
      </c>
      <c r="I6" s="155">
        <v>28.0</v>
      </c>
    </row>
    <row r="7">
      <c r="A7" s="155" t="s">
        <v>28</v>
      </c>
      <c r="B7" s="155">
        <v>0.0</v>
      </c>
      <c r="C7" s="203" t="s">
        <v>1035</v>
      </c>
      <c r="D7" s="206"/>
      <c r="F7" s="16">
        <f>F5*100</f>
        <v>1.38</v>
      </c>
      <c r="G7" s="5"/>
      <c r="H7" s="155" t="s">
        <v>495</v>
      </c>
      <c r="I7" s="155">
        <v>131.0</v>
      </c>
    </row>
    <row r="8">
      <c r="A8" s="155" t="s">
        <v>11</v>
      </c>
      <c r="B8" s="156">
        <f>(((Sheet1!B3+(B6*Sheet1!G7*Sheet1!G8))+B5*Sheet1!G2)+((B4+(B7*2))*Sheet1!G5))/(1-(Sheet1!C2))-(Sheet1!B3)/(1-(Sheet1!C2))</f>
        <v>20188.19799</v>
      </c>
      <c r="C8" s="151"/>
      <c r="D8" s="16"/>
      <c r="F8" s="16"/>
      <c r="G8" s="5"/>
      <c r="H8" s="155" t="s">
        <v>28</v>
      </c>
      <c r="I8" s="155">
        <v>0.0</v>
      </c>
    </row>
    <row r="9">
      <c r="A9" s="153" t="s">
        <v>1014</v>
      </c>
      <c r="B9" s="207" t="s">
        <v>1036</v>
      </c>
      <c r="F9" s="16"/>
      <c r="H9" s="155" t="s">
        <v>11</v>
      </c>
      <c r="I9" s="156">
        <f>(((Sheet1!$B$3+(I7*Sheet1!$G$7*Sheet1!$G$8))+I6*Sheet1!$G$2)+((I5+(I8*2))*Sheet1!$G$5))/(1-(Sheet1!$C$2))-(Sheet1!$B$3)/(1-(Sheet1!$C$2))</f>
        <v>13302.44548</v>
      </c>
    </row>
    <row r="10">
      <c r="A10" s="5"/>
      <c r="F10" s="16"/>
    </row>
    <row r="11">
      <c r="A11" s="155" t="s">
        <v>1037</v>
      </c>
      <c r="B11" s="156"/>
      <c r="C11" s="5"/>
      <c r="F11" s="16"/>
      <c r="G11" s="5"/>
      <c r="H11" s="155" t="s">
        <v>1038</v>
      </c>
      <c r="I11" s="156"/>
      <c r="J11" s="5" t="s">
        <v>1039</v>
      </c>
    </row>
    <row r="12">
      <c r="A12" s="155" t="s">
        <v>1</v>
      </c>
      <c r="B12" s="155">
        <v>5930.0</v>
      </c>
      <c r="C12" s="5"/>
      <c r="G12" s="5"/>
      <c r="H12" s="155" t="s">
        <v>1</v>
      </c>
      <c r="I12" s="155">
        <v>4058.0</v>
      </c>
      <c r="J12" s="5"/>
    </row>
    <row r="13">
      <c r="A13" s="155" t="s">
        <v>25</v>
      </c>
      <c r="B13" s="155">
        <v>58.0</v>
      </c>
      <c r="G13" s="5"/>
      <c r="H13" s="155" t="s">
        <v>25</v>
      </c>
      <c r="I13" s="155">
        <v>42.0</v>
      </c>
    </row>
    <row r="14">
      <c r="A14" s="155" t="s">
        <v>495</v>
      </c>
      <c r="B14" s="155">
        <v>160.0</v>
      </c>
      <c r="E14" s="5"/>
      <c r="F14" s="5"/>
      <c r="H14" s="155" t="s">
        <v>495</v>
      </c>
      <c r="I14" s="155">
        <v>117.0</v>
      </c>
    </row>
    <row r="15">
      <c r="A15" s="155" t="s">
        <v>28</v>
      </c>
      <c r="B15" s="155">
        <v>0.0</v>
      </c>
      <c r="E15" s="5"/>
      <c r="F15" s="5"/>
      <c r="H15" s="155" t="s">
        <v>28</v>
      </c>
      <c r="I15" s="155">
        <v>0.0</v>
      </c>
    </row>
    <row r="16">
      <c r="A16" s="155" t="s">
        <v>11</v>
      </c>
      <c r="B16" s="156">
        <f>(((Sheet1!B3+(B14*Sheet1!G7*Sheet1!G8))+B13*Sheet1!G2)+((B12+(B15*2))*Sheet1!G5))/(1-(Sheet1!C2))-(Sheet1!B3)/(1-(Sheet1!C2))</f>
        <v>18932.97191</v>
      </c>
      <c r="C16" s="10"/>
      <c r="F16" s="182"/>
      <c r="H16" s="155" t="s">
        <v>11</v>
      </c>
      <c r="I16" s="156">
        <f>(((Sheet1!$B$3+(I14*Sheet1!$G$7*Sheet1!$G$8))+I13*Sheet1!$G$2)+((I12+(I15*2))*Sheet1!$G$5))/(1-(Sheet1!$C$2))-(Sheet1!$B$3)/(1-(Sheet1!$C$2))</f>
        <v>13041.51171</v>
      </c>
      <c r="K16">
        <f>I16/12600</f>
        <v>1.035040612</v>
      </c>
    </row>
    <row r="17">
      <c r="A17" s="5"/>
      <c r="G17" s="5"/>
      <c r="H17" s="5"/>
    </row>
    <row r="18">
      <c r="A18" s="5" t="s">
        <v>1040</v>
      </c>
      <c r="G18" s="5"/>
      <c r="H18" s="155" t="s">
        <v>1041</v>
      </c>
      <c r="I18" s="156"/>
      <c r="J18" s="5" t="s">
        <v>1042</v>
      </c>
    </row>
    <row r="19">
      <c r="A19" s="5" t="s">
        <v>1</v>
      </c>
      <c r="B19" s="5">
        <v>6662.0</v>
      </c>
      <c r="H19" s="155" t="s">
        <v>1</v>
      </c>
      <c r="I19" s="155">
        <v>4668.0</v>
      </c>
    </row>
    <row r="20">
      <c r="A20" s="5" t="s">
        <v>25</v>
      </c>
      <c r="B20" s="5">
        <v>67.0</v>
      </c>
      <c r="H20" s="155" t="s">
        <v>25</v>
      </c>
      <c r="I20" s="155">
        <v>46.0</v>
      </c>
    </row>
    <row r="21">
      <c r="A21" s="5" t="s">
        <v>495</v>
      </c>
      <c r="B21" s="5">
        <v>185.0</v>
      </c>
      <c r="D21">
        <f>B6*Sheet1!G7+Sheet1!G8</f>
        <v>227.2</v>
      </c>
      <c r="H21" s="155" t="s">
        <v>495</v>
      </c>
      <c r="I21" s="155">
        <v>115.0</v>
      </c>
    </row>
    <row r="22">
      <c r="A22" s="5" t="s">
        <v>28</v>
      </c>
      <c r="B22" s="5">
        <v>0.0</v>
      </c>
      <c r="D22">
        <f>B21*Sheet1!G7*Sheet1!G8</f>
        <v>240.5</v>
      </c>
      <c r="H22" s="155" t="s">
        <v>28</v>
      </c>
      <c r="I22" s="155">
        <v>0.0</v>
      </c>
    </row>
    <row r="23">
      <c r="A23" s="5" t="s">
        <v>11</v>
      </c>
      <c r="B23">
        <f>(((Sheet1!B3+(B21*Sheet1!G7*Sheet1!G8))+B20*Sheet1!G2)+((B19+(B22*2))*Sheet1!G5))/(1-(Sheet1!C2))-(Sheet1!B3)/(1-(Sheet1!C2))</f>
        <v>21335.60769</v>
      </c>
      <c r="D23">
        <v>27565.04949832776</v>
      </c>
      <c r="F23" s="5">
        <f>444-D21</f>
        <v>216.8</v>
      </c>
      <c r="G23" s="5"/>
      <c r="H23" s="155" t="s">
        <v>11</v>
      </c>
      <c r="I23" s="156">
        <f>(((Sheet1!$B$3+(I21*Sheet1!$G$7*Sheet1!$G$8))+I20*Sheet1!$G$2)+((I19+(I22*2))*Sheet1!$G$5))/(1-(Sheet1!$C$2))-(Sheet1!$B$3)/(1-(Sheet1!$C$2))</f>
        <v>14875.81405</v>
      </c>
    </row>
    <row r="24">
      <c r="A24" s="154"/>
      <c r="B24" s="80"/>
      <c r="D24">
        <f>D23+D22</f>
        <v>27805.5495</v>
      </c>
      <c r="G24" s="5"/>
    </row>
    <row r="25">
      <c r="E25" s="5"/>
      <c r="H25" s="155" t="s">
        <v>1043</v>
      </c>
      <c r="I25" s="156"/>
      <c r="J25" s="5" t="s">
        <v>929</v>
      </c>
    </row>
    <row r="26">
      <c r="A26" s="5" t="s">
        <v>1044</v>
      </c>
      <c r="D26" s="5" t="s">
        <v>11</v>
      </c>
      <c r="E26" s="5">
        <f>Sheet1!B4</f>
        <v>59538.46154</v>
      </c>
      <c r="H26" s="155" t="s">
        <v>1</v>
      </c>
      <c r="I26" s="155">
        <v>4261.0</v>
      </c>
    </row>
    <row r="27">
      <c r="A27" s="5" t="s">
        <v>1</v>
      </c>
      <c r="B27" s="5">
        <v>6459.0</v>
      </c>
      <c r="D27" s="5" t="s">
        <v>1045</v>
      </c>
      <c r="E27">
        <f>(E26+B74-B74)/E26</f>
        <v>1</v>
      </c>
      <c r="H27" s="155" t="s">
        <v>25</v>
      </c>
      <c r="I27" s="155">
        <v>30.0</v>
      </c>
    </row>
    <row r="28">
      <c r="A28" s="5" t="s">
        <v>25</v>
      </c>
      <c r="B28" s="5">
        <v>64.0</v>
      </c>
      <c r="D28" s="5" t="s">
        <v>1046</v>
      </c>
      <c r="E28">
        <f>(E26+B16-B74)/E26</f>
        <v>1.035493478</v>
      </c>
      <c r="H28" s="155" t="s">
        <v>495</v>
      </c>
      <c r="I28" s="155">
        <v>131.0</v>
      </c>
    </row>
    <row r="29">
      <c r="A29" s="5" t="s">
        <v>495</v>
      </c>
      <c r="B29" s="5">
        <v>225.0</v>
      </c>
      <c r="D29" s="5" t="s">
        <v>1047</v>
      </c>
      <c r="E29">
        <f>(E26-B74+B8)/E26</f>
        <v>1.056576087</v>
      </c>
      <c r="H29" s="155" t="s">
        <v>28</v>
      </c>
      <c r="I29" s="155">
        <v>0.0</v>
      </c>
    </row>
    <row r="30">
      <c r="A30" s="5" t="s">
        <v>28</v>
      </c>
      <c r="B30" s="5">
        <v>0.0</v>
      </c>
      <c r="D30" s="5"/>
      <c r="H30" s="155" t="s">
        <v>11</v>
      </c>
      <c r="I30" s="156">
        <f>(((Sheet1!$B$3+(I28*Sheet1!$G$7*Sheet1!$G$8))+I27*Sheet1!$G$2)+((I26+(I29*2))*Sheet1!$G$5))/(1-(Sheet1!$C$2))-(Sheet1!$B$3)/(1-(Sheet1!$C$2))</f>
        <v>13354.47692</v>
      </c>
    </row>
    <row r="31">
      <c r="A31" s="5" t="s">
        <v>11</v>
      </c>
      <c r="B31">
        <f>(((Sheet1!B3+(B29*Sheet1!G7*Sheet1!G8))+B28*Sheet1!G2)+((B27+(B30*2))*Sheet1!G5))/(1-(Sheet1!C2))-(Sheet1!B3)/(1-(Sheet1!C2))</f>
        <v>20814.12843</v>
      </c>
    </row>
    <row r="32">
      <c r="H32" s="155" t="s">
        <v>1048</v>
      </c>
      <c r="I32" s="156"/>
      <c r="J32" s="5" t="s">
        <v>1049</v>
      </c>
    </row>
    <row r="33">
      <c r="H33" s="155" t="s">
        <v>1</v>
      </c>
      <c r="I33" s="155">
        <v>3711.0</v>
      </c>
    </row>
    <row r="34">
      <c r="A34" s="5" t="s">
        <v>1050</v>
      </c>
      <c r="H34" s="155" t="s">
        <v>25</v>
      </c>
      <c r="I34" s="155">
        <v>33.0</v>
      </c>
    </row>
    <row r="35">
      <c r="A35" s="5" t="s">
        <v>1</v>
      </c>
      <c r="B35" s="5">
        <v>6336.0</v>
      </c>
      <c r="H35" s="155" t="s">
        <v>495</v>
      </c>
      <c r="I35" s="155">
        <v>83.0</v>
      </c>
    </row>
    <row r="36">
      <c r="A36" s="5" t="s">
        <v>25</v>
      </c>
      <c r="B36" s="5">
        <v>26.0</v>
      </c>
      <c r="H36" s="155" t="s">
        <v>28</v>
      </c>
      <c r="I36" s="155">
        <v>0.0</v>
      </c>
    </row>
    <row r="37">
      <c r="A37" s="5" t="s">
        <v>495</v>
      </c>
      <c r="B37" s="5">
        <v>174.0</v>
      </c>
      <c r="H37" s="155" t="s">
        <v>11</v>
      </c>
      <c r="I37" s="156">
        <f>(((Sheet1!$B$3+(I35*Sheet1!$G$7*Sheet1!$G$8))+I34*Sheet1!$G$2)+((I33+(I36*2))*Sheet1!$G$5))/(1-(Sheet1!$C$2))-(Sheet1!$B$3)/(1-(Sheet1!$C$2))</f>
        <v>11704.87324</v>
      </c>
    </row>
    <row r="38">
      <c r="A38" s="5" t="s">
        <v>28</v>
      </c>
      <c r="B38" s="5">
        <v>0.0</v>
      </c>
    </row>
    <row r="39">
      <c r="A39" s="5" t="s">
        <v>11</v>
      </c>
      <c r="B39">
        <f>(((Sheet1!B3+(B37*Sheet1!G7*Sheet1!G8))+B36*Sheet1!G2)+((B35+(B38*2))*Sheet1!G5))/(1-(Sheet1!C2))-(Sheet1!B3)/(1-(Sheet1!C2))</f>
        <v>19303.66355</v>
      </c>
      <c r="H39" s="5" t="s">
        <v>1051</v>
      </c>
    </row>
    <row r="40">
      <c r="H40" s="155" t="s">
        <v>1</v>
      </c>
      <c r="I40" s="155">
        <v>4872.0</v>
      </c>
    </row>
    <row r="41">
      <c r="A41" s="5" t="s">
        <v>1052</v>
      </c>
      <c r="C41" s="5" t="s">
        <v>1053</v>
      </c>
      <c r="D41" s="5"/>
      <c r="H41" s="155" t="s">
        <v>25</v>
      </c>
      <c r="I41" s="155">
        <v>42.0</v>
      </c>
    </row>
    <row r="42">
      <c r="A42" s="5" t="s">
        <v>1</v>
      </c>
      <c r="B42" s="5">
        <v>3615.0</v>
      </c>
      <c r="H42" s="155" t="s">
        <v>495</v>
      </c>
      <c r="I42" s="155">
        <v>122.0</v>
      </c>
    </row>
    <row r="43">
      <c r="A43" s="5" t="s">
        <v>25</v>
      </c>
      <c r="B43" s="5">
        <v>22.0</v>
      </c>
      <c r="H43" s="155" t="s">
        <v>28</v>
      </c>
      <c r="I43" s="155">
        <v>0.0</v>
      </c>
    </row>
    <row r="44">
      <c r="A44" s="5" t="s">
        <v>495</v>
      </c>
      <c r="B44" s="5">
        <v>80.0</v>
      </c>
      <c r="H44" s="155" t="s">
        <v>11</v>
      </c>
      <c r="I44" s="156">
        <f>(((Sheet1!$B$3+(I42*Sheet1!$G$7*Sheet1!$G$8))+I41*Sheet1!$G$2)+((I40+(I43*2))*Sheet1!$G$5))/(1-(Sheet1!$C$2))-(Sheet1!$B$3)/(1-(Sheet1!$C$2))</f>
        <v>15376.19599</v>
      </c>
      <c r="J44">
        <f>I44/I23</f>
        <v>1.033637281</v>
      </c>
    </row>
    <row r="45">
      <c r="A45" s="5" t="s">
        <v>28</v>
      </c>
      <c r="B45" s="5">
        <v>15.0</v>
      </c>
    </row>
    <row r="46">
      <c r="A46" s="5" t="s">
        <v>11</v>
      </c>
      <c r="B46">
        <f>(((Sheet1!$B$3+(B44*Sheet1!$G$7*Sheet1!$G$8))+B43*Sheet1!$G$2)+((B42+(B45*2))*Sheet1!$G$5))/(1-(Sheet1!$C$2))-(Sheet1!$B$3)/(1-(Sheet1!$C$2))</f>
        <v>11220.67023</v>
      </c>
      <c r="H46" s="10" t="s">
        <v>1054</v>
      </c>
    </row>
    <row r="47">
      <c r="H47" s="155" t="s">
        <v>1</v>
      </c>
      <c r="I47" s="155">
        <v>5727.0</v>
      </c>
    </row>
    <row r="48">
      <c r="A48" s="5" t="s">
        <v>1055</v>
      </c>
      <c r="H48" s="155" t="s">
        <v>25</v>
      </c>
      <c r="I48" s="155">
        <v>48.0</v>
      </c>
    </row>
    <row r="49">
      <c r="A49" s="5" t="s">
        <v>1</v>
      </c>
      <c r="B49" s="5">
        <v>5930.0</v>
      </c>
      <c r="H49" s="155" t="s">
        <v>495</v>
      </c>
      <c r="I49" s="155">
        <v>152.0</v>
      </c>
    </row>
    <row r="50">
      <c r="A50" s="5" t="s">
        <v>25</v>
      </c>
      <c r="B50" s="5">
        <v>45.0</v>
      </c>
      <c r="H50" s="155" t="s">
        <v>28</v>
      </c>
      <c r="I50" s="155">
        <v>0.0</v>
      </c>
    </row>
    <row r="51">
      <c r="A51" s="5" t="s">
        <v>495</v>
      </c>
      <c r="B51" s="5">
        <v>160.0</v>
      </c>
      <c r="H51" s="155" t="s">
        <v>11</v>
      </c>
      <c r="I51" s="156">
        <f>(((Sheet1!$B$3+(I49*Sheet1!$G$7*Sheet1!$G$8))+I48*Sheet1!$G$2)+((I47+(I50*2))*Sheet1!$G$5))/(1-(Sheet1!$C$2))-(Sheet1!$B$3)/(1-(Sheet1!$C$2))</f>
        <v>18067.85217</v>
      </c>
      <c r="J51">
        <f>I51/I23</f>
        <v>1.214579055</v>
      </c>
    </row>
    <row r="52">
      <c r="A52" s="5" t="s">
        <v>28</v>
      </c>
      <c r="B52" s="5">
        <v>0.0</v>
      </c>
    </row>
    <row r="53">
      <c r="A53" s="5" t="s">
        <v>11</v>
      </c>
      <c r="B53">
        <f>(((Sheet1!$B$3+(B51*Sheet1!$G$7*Sheet1!$G$8))+B50*Sheet1!$G$2)+((B49+(B52*2))*Sheet1!$G$5))/(1-(Sheet1!$C$2))-(Sheet1!$B$3)/(1-(Sheet1!$C$2))</f>
        <v>18594.76756</v>
      </c>
      <c r="H53" s="10" t="s">
        <v>1056</v>
      </c>
    </row>
    <row r="54">
      <c r="H54" s="155" t="s">
        <v>1</v>
      </c>
      <c r="I54" s="155">
        <v>6132.0</v>
      </c>
    </row>
    <row r="55">
      <c r="A55" s="5" t="s">
        <v>1052</v>
      </c>
      <c r="H55" s="155" t="s">
        <v>25</v>
      </c>
      <c r="I55" s="155">
        <v>55.0</v>
      </c>
    </row>
    <row r="56">
      <c r="A56" s="5" t="s">
        <v>1</v>
      </c>
      <c r="B56" s="5">
        <v>0.0</v>
      </c>
      <c r="H56" s="155" t="s">
        <v>495</v>
      </c>
      <c r="I56" s="155">
        <v>167.0</v>
      </c>
    </row>
    <row r="57">
      <c r="A57" s="5" t="s">
        <v>25</v>
      </c>
      <c r="B57" s="5">
        <v>0.0</v>
      </c>
      <c r="H57" s="155" t="s">
        <v>28</v>
      </c>
      <c r="I57" s="155">
        <v>0.0</v>
      </c>
    </row>
    <row r="58">
      <c r="A58" s="5" t="s">
        <v>495</v>
      </c>
      <c r="B58" s="5">
        <v>35.3</v>
      </c>
      <c r="D58">
        <f>353/10</f>
        <v>35.3</v>
      </c>
      <c r="H58" s="155" t="s">
        <v>11</v>
      </c>
      <c r="I58" s="156">
        <f>(((Sheet1!$B$3+(I56*Sheet1!$G$7*Sheet1!$G$8))+I55*Sheet1!$G$2)+((I54+(I57*2))*Sheet1!$G$5))/(1-(Sheet1!$C$2))-(Sheet1!$B$3)/(1-(Sheet1!$C$2))</f>
        <v>19453.67458</v>
      </c>
    </row>
    <row r="59">
      <c r="A59" s="5" t="s">
        <v>28</v>
      </c>
      <c r="B59" s="5">
        <v>0.0</v>
      </c>
    </row>
    <row r="60">
      <c r="A60" s="5" t="s">
        <v>11</v>
      </c>
      <c r="B60">
        <f>(((Sheet1!$B$3+(B58*Sheet1!$G$7*Sheet1!$G$8))+B57*Sheet1!$G$2)+((B56+(B59*2))*Sheet1!$G$5))/(1-(Sheet1!$C$2))-(Sheet1!$B$3)/(1-(Sheet1!$C$2))</f>
        <v>118.7921739</v>
      </c>
      <c r="H60" s="10" t="s">
        <v>1057</v>
      </c>
    </row>
    <row r="61">
      <c r="H61" s="155" t="s">
        <v>1</v>
      </c>
      <c r="I61" s="155">
        <v>6662.0</v>
      </c>
    </row>
    <row r="62">
      <c r="A62" s="5" t="s">
        <v>1052</v>
      </c>
      <c r="H62" s="155" t="s">
        <v>25</v>
      </c>
      <c r="I62" s="155">
        <v>67.0</v>
      </c>
    </row>
    <row r="63">
      <c r="A63" s="5" t="s">
        <v>1</v>
      </c>
      <c r="B63" s="5">
        <v>0.0</v>
      </c>
      <c r="H63" s="155" t="s">
        <v>495</v>
      </c>
      <c r="I63" s="155">
        <v>185.0</v>
      </c>
    </row>
    <row r="64">
      <c r="A64" s="5" t="s">
        <v>25</v>
      </c>
      <c r="B64" s="5">
        <v>0.0</v>
      </c>
      <c r="H64" s="155" t="s">
        <v>28</v>
      </c>
      <c r="I64" s="155">
        <v>0.0</v>
      </c>
    </row>
    <row r="65">
      <c r="A65" s="5" t="s">
        <v>495</v>
      </c>
      <c r="B65" s="5">
        <v>139.0</v>
      </c>
      <c r="D65" s="5">
        <f>139*10</f>
        <v>1390</v>
      </c>
      <c r="H65" s="155" t="s">
        <v>11</v>
      </c>
      <c r="I65" s="156">
        <f>(((Sheet1!$B$3+(I63*Sheet1!$G$7*Sheet1!$G$8))+I62*Sheet1!$G$2)+((I61+(I64*2))*Sheet1!$G$5))/(1-(Sheet1!$C$2))-(Sheet1!$B$3)/(1-(Sheet1!$C$2))</f>
        <v>21335.60769</v>
      </c>
    </row>
    <row r="66">
      <c r="A66" s="5" t="s">
        <v>28</v>
      </c>
      <c r="B66" s="5">
        <v>0.0</v>
      </c>
    </row>
    <row r="67">
      <c r="A67" s="5" t="s">
        <v>11</v>
      </c>
      <c r="B67">
        <f>(((Sheet1!$B$3+(B65*Sheet1!$G$7*Sheet1!$G$8))+B64*Sheet1!$G$2)+((B63+(B66*2))*Sheet1!$G$5))/(1-(Sheet1!$C$2))-(Sheet1!$B$3)/(1-(Sheet1!$C$2))</f>
        <v>467.7652174</v>
      </c>
      <c r="H67" s="10" t="s">
        <v>1052</v>
      </c>
      <c r="I67" s="15"/>
      <c r="J67" s="5" t="s">
        <v>838</v>
      </c>
    </row>
    <row r="68">
      <c r="H68" s="155" t="s">
        <v>1</v>
      </c>
      <c r="I68" s="155">
        <v>3616.0</v>
      </c>
    </row>
    <row r="69">
      <c r="A69" s="5" t="s">
        <v>1041</v>
      </c>
      <c r="H69" s="155" t="s">
        <v>25</v>
      </c>
      <c r="I69" s="155">
        <v>22.0</v>
      </c>
    </row>
    <row r="70">
      <c r="A70" s="5" t="s">
        <v>1</v>
      </c>
      <c r="B70" s="5">
        <v>5279.0</v>
      </c>
      <c r="H70" s="155" t="s">
        <v>495</v>
      </c>
      <c r="I70" s="155">
        <v>103.0</v>
      </c>
    </row>
    <row r="71">
      <c r="A71" s="5" t="s">
        <v>25</v>
      </c>
      <c r="B71" s="5">
        <v>51.0</v>
      </c>
      <c r="C71" s="5" t="s">
        <v>1058</v>
      </c>
      <c r="H71" s="155" t="s">
        <v>28</v>
      </c>
      <c r="I71" s="155">
        <v>15.0</v>
      </c>
    </row>
    <row r="72">
      <c r="A72" s="5" t="s">
        <v>495</v>
      </c>
      <c r="B72" s="5">
        <v>137.0</v>
      </c>
      <c r="H72" s="155" t="s">
        <v>11</v>
      </c>
      <c r="I72" s="156">
        <f>(((Sheet1!$B$3+(I70*Sheet1!$G$7*Sheet1!$G$8))+I69*Sheet1!$G$2)+((I68+(I71*2))*Sheet1!$G$5))/(1-(Sheet1!$C$2))-(Sheet1!$B$3)/(1-(Sheet1!$C$2))</f>
        <v>11300.91773</v>
      </c>
    </row>
    <row r="73">
      <c r="A73" s="5" t="s">
        <v>28</v>
      </c>
      <c r="B73" s="5">
        <v>0.0</v>
      </c>
    </row>
    <row r="74">
      <c r="A74" s="5" t="s">
        <v>11</v>
      </c>
      <c r="B74">
        <f>(((Sheet1!$B$3+(B72*Sheet1!$G$7*Sheet1!$G$8))+B71*Sheet1!$G$2)+((B70+(B73*2))*Sheet1!$G$5))/(1-(Sheet1!$C$2))-(Sheet1!$B$3)/(1-(Sheet1!$C$2))</f>
        <v>16819.74482</v>
      </c>
      <c r="H74" s="10" t="s">
        <v>1059</v>
      </c>
      <c r="I74" s="15"/>
    </row>
    <row r="75">
      <c r="H75" s="155" t="s">
        <v>1</v>
      </c>
      <c r="I75" s="155">
        <v>3806.0</v>
      </c>
    </row>
    <row r="76">
      <c r="A76" s="5" t="s">
        <v>1038</v>
      </c>
      <c r="C76" s="5">
        <v>2.0</v>
      </c>
      <c r="H76" s="155" t="s">
        <v>25</v>
      </c>
      <c r="I76" s="155">
        <v>27.0</v>
      </c>
    </row>
    <row r="77">
      <c r="A77" s="5" t="s">
        <v>1</v>
      </c>
      <c r="B77" s="5">
        <v>4058.0</v>
      </c>
      <c r="H77" s="155" t="s">
        <v>495</v>
      </c>
      <c r="I77" s="155">
        <v>115.0</v>
      </c>
    </row>
    <row r="78">
      <c r="A78" s="5" t="s">
        <v>25</v>
      </c>
      <c r="B78" s="5">
        <v>42.0</v>
      </c>
      <c r="H78" s="155" t="s">
        <v>28</v>
      </c>
      <c r="I78" s="155">
        <v>0.0</v>
      </c>
    </row>
    <row r="79">
      <c r="A79" s="5" t="s">
        <v>495</v>
      </c>
      <c r="B79" s="5">
        <v>23.0</v>
      </c>
      <c r="H79" s="155" t="s">
        <v>11</v>
      </c>
      <c r="I79" s="156">
        <f>(((Sheet1!$B$3+(I77*Sheet1!$G$7*Sheet1!$G$8))+I76*Sheet1!$G$2)+((I75+(I78*2))*Sheet1!$G$5))/(1-(Sheet1!$C$2))-(Sheet1!$B$3)/(1-(Sheet1!$C$2))</f>
        <v>11926.97759</v>
      </c>
    </row>
    <row r="80">
      <c r="A80" s="5" t="s">
        <v>28</v>
      </c>
      <c r="B80" s="5">
        <v>0.0</v>
      </c>
    </row>
    <row r="81">
      <c r="A81" s="5" t="s">
        <v>11</v>
      </c>
      <c r="B81">
        <f>(((Sheet1!$B$3+(B79*Sheet1!$G$7*Sheet1!$G$8))+B78*Sheet1!$G$2)+((B77+(B80*2))*Sheet1!$G$5))/(1-(Sheet1!$C$2))-(Sheet1!$B$3)/(1-(Sheet1!$C$2))</f>
        <v>12725.18127</v>
      </c>
    </row>
    <row r="83">
      <c r="A83" s="5" t="s">
        <v>1031</v>
      </c>
    </row>
    <row r="84">
      <c r="A84" s="5" t="s">
        <v>1</v>
      </c>
      <c r="B84" s="5">
        <v>4261.0</v>
      </c>
    </row>
    <row r="85">
      <c r="A85" s="5" t="s">
        <v>25</v>
      </c>
      <c r="B85" s="5">
        <v>28.0</v>
      </c>
    </row>
    <row r="86">
      <c r="A86" s="5" t="s">
        <v>495</v>
      </c>
      <c r="B86" s="5">
        <v>30.0</v>
      </c>
    </row>
    <row r="87">
      <c r="A87" s="5" t="s">
        <v>28</v>
      </c>
      <c r="B87" s="5">
        <v>0.0</v>
      </c>
    </row>
    <row r="88">
      <c r="A88" s="5" t="s">
        <v>11</v>
      </c>
      <c r="B88">
        <f>(((Sheet1!$B$3+(B86*Sheet1!$G$7*Sheet1!$G$8))+B85*Sheet1!$G$2)+((B84+(B87*2))*Sheet1!$G$5))/(1-(Sheet1!$C$2))-(Sheet1!$B$3)/(1-(Sheet1!$C$2))</f>
        <v>12962.55853</v>
      </c>
    </row>
    <row r="90">
      <c r="A90" s="5" t="s">
        <v>1059</v>
      </c>
    </row>
    <row r="91">
      <c r="A91" s="5" t="s">
        <v>1</v>
      </c>
      <c r="B91" s="5">
        <v>3806.0</v>
      </c>
    </row>
    <row r="92">
      <c r="A92" s="5" t="s">
        <v>25</v>
      </c>
      <c r="B92" s="5">
        <v>27.0</v>
      </c>
    </row>
    <row r="93">
      <c r="A93" s="5" t="s">
        <v>495</v>
      </c>
      <c r="B93" s="5">
        <v>115.0</v>
      </c>
    </row>
    <row r="94">
      <c r="A94" s="5" t="s">
        <v>28</v>
      </c>
      <c r="B94" s="5">
        <v>0.0</v>
      </c>
    </row>
    <row r="95">
      <c r="A95" s="5" t="s">
        <v>11</v>
      </c>
      <c r="B95">
        <f>(((Sheet1!$B$3+(B93*Sheet1!$G$7*Sheet1!$G$8))+B92*Sheet1!$G$2)+((B91+(B94*2))*Sheet1!$G$5))/(1-(Sheet1!$C$2))-(Sheet1!$B$3)/(1-(Sheet1!$C$2))</f>
        <v>11926.97759</v>
      </c>
    </row>
  </sheetData>
  <mergeCells count="1">
    <mergeCell ref="B9:C10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376</v>
      </c>
      <c r="C1" s="5"/>
      <c r="D1" s="5"/>
      <c r="E1" s="5"/>
      <c r="F1" s="5"/>
      <c r="G1" s="5"/>
      <c r="H1" s="5"/>
    </row>
    <row r="3">
      <c r="A3" s="190" t="s">
        <v>1060</v>
      </c>
      <c r="B3" s="191"/>
      <c r="F3" s="190" t="s">
        <v>1060</v>
      </c>
      <c r="G3" s="156"/>
    </row>
    <row r="4">
      <c r="A4" s="190" t="s">
        <v>1</v>
      </c>
      <c r="B4" s="190">
        <v>0.0</v>
      </c>
      <c r="F4" s="155" t="s">
        <v>1</v>
      </c>
      <c r="G4" s="155">
        <v>0.0</v>
      </c>
    </row>
    <row r="5">
      <c r="A5" s="190" t="s">
        <v>25</v>
      </c>
      <c r="B5" s="190">
        <v>42.0</v>
      </c>
      <c r="F5" s="155" t="s">
        <v>25</v>
      </c>
      <c r="G5" s="155">
        <v>32.0</v>
      </c>
      <c r="H5" s="5"/>
    </row>
    <row r="6">
      <c r="A6" s="190" t="s">
        <v>28</v>
      </c>
      <c r="B6" s="190">
        <v>0.0</v>
      </c>
      <c r="C6" s="5"/>
      <c r="F6" s="155" t="s">
        <v>495</v>
      </c>
      <c r="G6" s="155">
        <v>0.0</v>
      </c>
      <c r="H6" s="5"/>
    </row>
    <row r="7">
      <c r="A7" s="190" t="s">
        <v>11</v>
      </c>
      <c r="B7" s="191">
        <f>((Sheet1!B3+B5*Sheet1!G2)+((B4+(B6*2))*Sheet1!G5))/(1-(Sheet1!C2))-(Sheet1!B3)/(1-(Sheet1!C2))</f>
        <v>1092.660201</v>
      </c>
      <c r="C7" s="151"/>
      <c r="D7" s="5"/>
      <c r="F7" s="155" t="s">
        <v>28</v>
      </c>
      <c r="G7" s="155">
        <v>0.0</v>
      </c>
    </row>
    <row r="8">
      <c r="A8" s="153"/>
      <c r="B8" s="81"/>
      <c r="C8" s="151"/>
      <c r="F8" s="155" t="s">
        <v>11</v>
      </c>
      <c r="G8" s="156">
        <f>(((Sheet1!$B$3+(G6*Sheet1!$G$7*Sheet1!$G$8))+G5*Sheet1!$G$2)+((G4+(G7*2))*Sheet1!$G$5))/(1-(Sheet1!$C$2))-(Sheet1!$B$3)/(1-(Sheet1!$C$2))</f>
        <v>832.50301</v>
      </c>
    </row>
    <row r="9">
      <c r="A9" s="5" t="s">
        <v>1061</v>
      </c>
      <c r="C9" s="5"/>
    </row>
    <row r="10">
      <c r="A10" s="5" t="s">
        <v>1</v>
      </c>
      <c r="B10" s="5">
        <v>0.0</v>
      </c>
      <c r="C10" s="5"/>
      <c r="F10" s="5" t="s">
        <v>1062</v>
      </c>
    </row>
    <row r="11">
      <c r="A11" s="5" t="s">
        <v>25</v>
      </c>
      <c r="B11" s="5">
        <v>24.0</v>
      </c>
      <c r="F11" s="155" t="s">
        <v>1</v>
      </c>
      <c r="G11" s="155">
        <v>0.0</v>
      </c>
      <c r="H11" s="5"/>
    </row>
    <row r="12">
      <c r="A12" s="5" t="s">
        <v>28</v>
      </c>
      <c r="B12" s="5">
        <v>16.0</v>
      </c>
      <c r="E12" s="5"/>
      <c r="F12" s="155" t="s">
        <v>25</v>
      </c>
      <c r="G12" s="155">
        <v>21.0</v>
      </c>
    </row>
    <row r="13">
      <c r="A13" s="5" t="s">
        <v>11</v>
      </c>
      <c r="B13">
        <f>((Sheet1!B3+B11*Sheet1!G2)+((B10+(B12*2))*Sheet1!G5))/(1-(Sheet1!C2))-(Sheet1!B3)/(1-(Sheet1!C2))</f>
        <v>715.49699</v>
      </c>
      <c r="C13" s="10"/>
      <c r="F13" s="155" t="s">
        <v>495</v>
      </c>
      <c r="G13" s="155">
        <v>0.0</v>
      </c>
      <c r="H13" s="5"/>
    </row>
    <row r="14">
      <c r="A14" s="5"/>
      <c r="F14" s="155" t="s">
        <v>28</v>
      </c>
      <c r="G14" s="155">
        <v>0.0</v>
      </c>
      <c r="H14" s="5"/>
    </row>
    <row r="15">
      <c r="A15" s="5"/>
      <c r="F15" s="155" t="s">
        <v>11</v>
      </c>
      <c r="G15" s="156">
        <f>(((Sheet1!$B$3+(G13*Sheet1!$G$7*Sheet1!$G$8))+G12*Sheet1!$G$2)+((G11+(G14*2))*Sheet1!$G$5))/(1-(Sheet1!$C$2))-(Sheet1!$B$3)/(1-(Sheet1!$C$2))</f>
        <v>546.3301003</v>
      </c>
      <c r="H15" s="5"/>
    </row>
    <row r="16">
      <c r="A16" s="5" t="s">
        <v>1</v>
      </c>
      <c r="B16" s="5">
        <v>0.0</v>
      </c>
    </row>
    <row r="17">
      <c r="A17" s="5" t="s">
        <v>25</v>
      </c>
      <c r="B17" s="5">
        <v>0.0</v>
      </c>
    </row>
    <row r="18">
      <c r="A18" s="5" t="s">
        <v>28</v>
      </c>
      <c r="B18" s="5">
        <v>0.0</v>
      </c>
    </row>
    <row r="19">
      <c r="A19" s="5" t="s">
        <v>11</v>
      </c>
      <c r="B19">
        <f>((Sheet1!B3+B17*Sheet1!G2)+((B16+(B18*2))*Sheet1!G5))/(1-(Sheet1!C2))-(Sheet1!B3)/(1-(Sheet1!C2))</f>
        <v>0</v>
      </c>
      <c r="G19" s="5"/>
    </row>
    <row r="20">
      <c r="A20" s="154"/>
      <c r="B20" s="80"/>
      <c r="G20" s="5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11" max="11" width="8.0"/>
    <col customWidth="1" min="12" max="12" width="5.14"/>
    <col customWidth="1" min="13" max="13" width="5.29"/>
    <col customWidth="1" min="14" max="14" width="8.0"/>
    <col customWidth="1" min="15" max="15" width="5.43"/>
    <col customWidth="1" min="16" max="16" width="8.0"/>
    <col customWidth="1" min="17" max="17" width="8.71"/>
    <col customWidth="1" min="18" max="18" width="8.0"/>
    <col customWidth="1" min="19" max="19" width="5.43"/>
    <col customWidth="1" min="20" max="20" width="8.0"/>
    <col customWidth="1" min="21" max="21" width="7.86"/>
  </cols>
  <sheetData>
    <row r="1">
      <c r="A1" s="5" t="s">
        <v>1063</v>
      </c>
      <c r="B1" s="5">
        <v>1.05</v>
      </c>
      <c r="C1" s="5"/>
      <c r="D1" s="5"/>
      <c r="E1" s="5"/>
      <c r="K1" s="208" t="s">
        <v>1064</v>
      </c>
      <c r="L1" s="208"/>
      <c r="M1" s="208"/>
      <c r="N1" s="10" t="s">
        <v>1065</v>
      </c>
      <c r="O1" s="15"/>
      <c r="P1" s="208" t="s">
        <v>1066</v>
      </c>
      <c r="Q1" s="209"/>
      <c r="R1" s="10" t="s">
        <v>1067</v>
      </c>
      <c r="S1" s="15"/>
      <c r="T1" s="208" t="s">
        <v>1068</v>
      </c>
      <c r="U1" s="209"/>
    </row>
    <row r="2">
      <c r="A2" s="5" t="s">
        <v>1069</v>
      </c>
      <c r="B2" s="5">
        <v>10.2</v>
      </c>
      <c r="K2" s="210" t="s">
        <v>98</v>
      </c>
      <c r="L2" s="211" t="s">
        <v>1070</v>
      </c>
      <c r="M2" s="84"/>
      <c r="N2" s="212" t="s">
        <v>1071</v>
      </c>
      <c r="O2" s="213" t="s">
        <v>1072</v>
      </c>
      <c r="P2" s="214" t="s">
        <v>1073</v>
      </c>
      <c r="Q2" s="213" t="s">
        <v>1074</v>
      </c>
      <c r="R2" s="212" t="s">
        <v>1071</v>
      </c>
      <c r="S2" s="213" t="s">
        <v>1072</v>
      </c>
      <c r="T2" s="215" t="s">
        <v>1075</v>
      </c>
      <c r="U2" s="213" t="s">
        <v>1076</v>
      </c>
    </row>
    <row r="3">
      <c r="K3" s="216" t="s">
        <v>1073</v>
      </c>
      <c r="L3" s="217" t="s">
        <v>1077</v>
      </c>
      <c r="M3" s="87"/>
      <c r="N3" s="218" t="s">
        <v>1078</v>
      </c>
      <c r="O3" s="219" t="s">
        <v>1079</v>
      </c>
      <c r="P3" s="220" t="s">
        <v>1075</v>
      </c>
      <c r="Q3" s="219" t="s">
        <v>1076</v>
      </c>
      <c r="R3" s="221" t="s">
        <v>436</v>
      </c>
      <c r="S3" s="222"/>
      <c r="T3" s="223" t="s">
        <v>1071</v>
      </c>
      <c r="U3" s="224" t="s">
        <v>1077</v>
      </c>
    </row>
    <row r="4">
      <c r="A4" s="5" t="s">
        <v>741</v>
      </c>
      <c r="C4" s="148"/>
      <c r="D4" s="148"/>
      <c r="E4" s="21"/>
      <c r="K4" s="225" t="s">
        <v>444</v>
      </c>
      <c r="L4" s="226" t="s">
        <v>1080</v>
      </c>
      <c r="M4" s="87"/>
      <c r="N4" s="227" t="s">
        <v>98</v>
      </c>
      <c r="O4" s="219" t="s">
        <v>270</v>
      </c>
      <c r="P4" s="228" t="s">
        <v>1081</v>
      </c>
      <c r="Q4" s="222"/>
      <c r="R4" s="221" t="s">
        <v>436</v>
      </c>
      <c r="S4" s="222"/>
      <c r="T4" s="218" t="s">
        <v>1078</v>
      </c>
      <c r="U4" s="224" t="s">
        <v>1082</v>
      </c>
    </row>
    <row r="5">
      <c r="A5" s="5" t="s">
        <v>1</v>
      </c>
      <c r="B5" s="5">
        <v>490.0</v>
      </c>
      <c r="C5" s="148"/>
      <c r="D5" s="229"/>
      <c r="E5" s="21"/>
      <c r="K5" s="218" t="s">
        <v>1078</v>
      </c>
      <c r="L5" s="224" t="s">
        <v>1083</v>
      </c>
      <c r="M5" s="230"/>
      <c r="N5" s="216" t="s">
        <v>1073</v>
      </c>
      <c r="O5" s="131" t="s">
        <v>1084</v>
      </c>
      <c r="P5" s="225" t="s">
        <v>444</v>
      </c>
      <c r="Q5" s="222"/>
      <c r="R5" s="221" t="s">
        <v>436</v>
      </c>
      <c r="S5" s="222"/>
      <c r="T5" s="220" t="s">
        <v>1075</v>
      </c>
      <c r="U5" s="224" t="s">
        <v>1082</v>
      </c>
    </row>
    <row r="6">
      <c r="A6" s="5" t="s">
        <v>25</v>
      </c>
      <c r="B6" s="5">
        <v>60.0</v>
      </c>
      <c r="C6" s="148"/>
      <c r="D6" s="148"/>
      <c r="K6" s="231" t="s">
        <v>1071</v>
      </c>
      <c r="L6" s="232" t="s">
        <v>1085</v>
      </c>
      <c r="M6" s="93"/>
      <c r="N6" s="233" t="s">
        <v>436</v>
      </c>
      <c r="O6" s="234"/>
      <c r="P6" s="231" t="s">
        <v>1071</v>
      </c>
      <c r="Q6" s="235" t="s">
        <v>1086</v>
      </c>
      <c r="R6" s="236" t="s">
        <v>1073</v>
      </c>
      <c r="S6" s="237" t="s">
        <v>1084</v>
      </c>
      <c r="T6" s="238"/>
      <c r="U6" s="239"/>
    </row>
    <row r="7">
      <c r="A7" s="5" t="s">
        <v>495</v>
      </c>
      <c r="B7" s="5">
        <v>0.0</v>
      </c>
      <c r="C7" s="148"/>
      <c r="D7" s="206"/>
      <c r="F7" s="16"/>
      <c r="G7" s="5"/>
      <c r="H7" s="5"/>
      <c r="N7" s="5" t="s">
        <v>1087</v>
      </c>
    </row>
    <row r="8">
      <c r="A8" s="5" t="s">
        <v>28</v>
      </c>
      <c r="B8" s="5">
        <v>33.0</v>
      </c>
      <c r="C8" s="148"/>
      <c r="D8" s="206"/>
      <c r="F8" s="16"/>
      <c r="G8" s="5"/>
      <c r="H8" s="5"/>
    </row>
    <row r="9">
      <c r="A9" s="5" t="s">
        <v>11</v>
      </c>
      <c r="B9">
        <f>(((Sheet1!$B$3+(B7*Sheet1!$G$7*Sheet1!$G$8))+B6*$B$2)+((B5+(B8*2))*$B$1))/(1-(Sheet1!$C$2))-(Sheet1!$B$3)/(1-(Sheet1!$C$2))</f>
        <v>3095.482274</v>
      </c>
      <c r="C9" s="151"/>
      <c r="D9" s="5" t="s">
        <v>1088</v>
      </c>
      <c r="F9" s="16"/>
      <c r="G9" s="5"/>
    </row>
    <row r="10">
      <c r="A10" s="153" t="s">
        <v>1014</v>
      </c>
      <c r="B10" s="16"/>
      <c r="C10" s="16"/>
      <c r="F10" s="16"/>
    </row>
    <row r="11">
      <c r="A11" s="5"/>
      <c r="B11" s="16"/>
      <c r="C11" s="16"/>
      <c r="F11" s="16"/>
    </row>
    <row r="12">
      <c r="A12" s="5" t="s">
        <v>741</v>
      </c>
      <c r="C12" s="5"/>
      <c r="F12" s="16"/>
      <c r="G12" s="5"/>
      <c r="H12" s="21"/>
      <c r="I12" s="5"/>
    </row>
    <row r="13">
      <c r="A13" s="5" t="s">
        <v>1</v>
      </c>
      <c r="B13" s="5">
        <v>555.0</v>
      </c>
      <c r="C13" s="5"/>
      <c r="G13" s="5"/>
      <c r="H13" s="21"/>
      <c r="I13" s="5"/>
    </row>
    <row r="14">
      <c r="A14" s="5" t="s">
        <v>25</v>
      </c>
      <c r="B14" s="5">
        <v>36.0</v>
      </c>
      <c r="G14" s="5"/>
      <c r="H14" s="29"/>
    </row>
    <row r="15">
      <c r="A15" s="5" t="s">
        <v>495</v>
      </c>
      <c r="B15" s="5">
        <v>0.0</v>
      </c>
      <c r="E15" s="5"/>
      <c r="F15" s="5"/>
    </row>
    <row r="16">
      <c r="A16" s="5" t="s">
        <v>28</v>
      </c>
      <c r="B16" s="5">
        <v>0.0</v>
      </c>
      <c r="E16" s="5"/>
      <c r="F16" s="5"/>
    </row>
    <row r="17">
      <c r="A17" s="5" t="s">
        <v>11</v>
      </c>
      <c r="B17">
        <f>(((Sheet1!$B$3+(B15*Sheet1!$G$7*Sheet1!$G$8))+B14*$B$2)+((B13+(B16*2))*$B$1))/(1-(Sheet1!$C$2))-(Sheet1!$B$3)/(1-(Sheet1!$C$2))</f>
        <v>2459.067893</v>
      </c>
      <c r="C17" s="10"/>
      <c r="F17" s="182"/>
      <c r="H17" s="5"/>
      <c r="I17" s="5" t="s">
        <v>1089</v>
      </c>
      <c r="J17" s="5" t="s">
        <v>1090</v>
      </c>
    </row>
    <row r="18">
      <c r="A18" s="5"/>
      <c r="G18" s="5"/>
      <c r="H18" s="5"/>
      <c r="I18" s="5">
        <v>5.0</v>
      </c>
      <c r="J18" s="5" t="s">
        <v>1091</v>
      </c>
    </row>
    <row r="19">
      <c r="A19" s="5" t="s">
        <v>741</v>
      </c>
      <c r="E19" s="5">
        <v>2.7</v>
      </c>
      <c r="F19" s="5">
        <v>1.3</v>
      </c>
      <c r="G19" s="5">
        <f>E19/F19</f>
        <v>2.076923077</v>
      </c>
      <c r="H19" s="5"/>
    </row>
    <row r="20">
      <c r="A20" s="5" t="s">
        <v>1</v>
      </c>
      <c r="B20" s="5">
        <v>581.0</v>
      </c>
      <c r="E20" s="5" t="s">
        <v>1092</v>
      </c>
      <c r="F20" s="5" t="s">
        <v>1093</v>
      </c>
      <c r="H20" s="5"/>
    </row>
    <row r="21">
      <c r="A21" s="5" t="s">
        <v>25</v>
      </c>
      <c r="B21" s="5">
        <v>39.0</v>
      </c>
      <c r="D21" s="5" t="s">
        <v>1094</v>
      </c>
      <c r="E21" s="5">
        <v>2.7</v>
      </c>
      <c r="F21" s="5">
        <v>1.91</v>
      </c>
      <c r="G21" s="85">
        <f>(E21/F21)-1</f>
        <v>0.4136125654</v>
      </c>
    </row>
    <row r="22">
      <c r="A22" s="5" t="s">
        <v>495</v>
      </c>
      <c r="B22" s="5">
        <v>0.0</v>
      </c>
      <c r="D22" s="148" t="s">
        <v>1095</v>
      </c>
      <c r="E22" s="148" t="s">
        <v>1096</v>
      </c>
      <c r="G22" s="85"/>
    </row>
    <row r="23">
      <c r="A23" s="5" t="s">
        <v>28</v>
      </c>
      <c r="B23" s="5">
        <v>33.0</v>
      </c>
      <c r="D23" s="5">
        <v>100.0</v>
      </c>
      <c r="E23" s="5">
        <v>2.7</v>
      </c>
      <c r="F23" s="5">
        <v>2.21</v>
      </c>
      <c r="G23" s="85">
        <f t="shared" ref="G23:G34" si="1">(E23/F23)-1</f>
        <v>0.221719457</v>
      </c>
    </row>
    <row r="24">
      <c r="A24" s="5" t="s">
        <v>11</v>
      </c>
      <c r="B24">
        <f>(((Sheet1!$B$3+(B22*Sheet1!$G$7*Sheet1!$G$8))+B21*$B$2)+((B20+(B23*2))*$B$1))/(1-(Sheet1!$C$2))-(Sheet1!$B$3)/(1-(Sheet1!$C$2))</f>
        <v>2788.341472</v>
      </c>
      <c r="D24" s="5">
        <v>98.0</v>
      </c>
      <c r="E24" s="5">
        <v>2.7</v>
      </c>
      <c r="F24" s="5">
        <v>2.41</v>
      </c>
      <c r="G24" s="85">
        <f t="shared" si="1"/>
        <v>0.1203319502</v>
      </c>
    </row>
    <row r="25">
      <c r="A25" s="154"/>
      <c r="B25" s="80"/>
      <c r="C25" s="5" t="s">
        <v>1097</v>
      </c>
      <c r="D25" s="5">
        <v>95.0</v>
      </c>
      <c r="E25" s="5">
        <v>2.7</v>
      </c>
      <c r="F25" s="5">
        <v>2.18</v>
      </c>
      <c r="G25" s="85">
        <f t="shared" si="1"/>
        <v>0.2385321101</v>
      </c>
    </row>
    <row r="26">
      <c r="A26" s="5" t="s">
        <v>741</v>
      </c>
      <c r="D26" s="5">
        <v>90.0</v>
      </c>
      <c r="E26" s="5">
        <v>2.7</v>
      </c>
      <c r="F26" s="5">
        <v>2.11</v>
      </c>
      <c r="G26" s="85">
        <f t="shared" si="1"/>
        <v>0.2796208531</v>
      </c>
    </row>
    <row r="27">
      <c r="A27" s="5" t="s">
        <v>1</v>
      </c>
      <c r="B27" s="5">
        <v>490.0</v>
      </c>
      <c r="C27" s="5" t="s">
        <v>1097</v>
      </c>
      <c r="D27" s="5">
        <v>95.0</v>
      </c>
      <c r="E27" s="5">
        <v>2.7</v>
      </c>
      <c r="F27" s="5">
        <v>2.39</v>
      </c>
      <c r="G27" s="85">
        <f t="shared" si="1"/>
        <v>0.129707113</v>
      </c>
    </row>
    <row r="28">
      <c r="A28" s="5" t="s">
        <v>25</v>
      </c>
      <c r="B28" s="5">
        <v>60.0</v>
      </c>
      <c r="C28" s="5" t="s">
        <v>1097</v>
      </c>
      <c r="D28" s="5">
        <v>95.0</v>
      </c>
      <c r="E28" s="5">
        <v>2.7</v>
      </c>
      <c r="F28" s="5">
        <v>2.35</v>
      </c>
      <c r="G28" s="85">
        <f t="shared" si="1"/>
        <v>0.1489361702</v>
      </c>
    </row>
    <row r="29">
      <c r="A29" s="5" t="s">
        <v>495</v>
      </c>
      <c r="B29" s="5">
        <v>0.0</v>
      </c>
      <c r="C29" s="5" t="s">
        <v>1097</v>
      </c>
      <c r="D29" s="5">
        <v>95.0</v>
      </c>
      <c r="E29" s="5">
        <v>2.7</v>
      </c>
      <c r="F29" s="5">
        <v>2.29</v>
      </c>
      <c r="G29" s="85">
        <f t="shared" si="1"/>
        <v>0.1790393013</v>
      </c>
    </row>
    <row r="30">
      <c r="A30" s="5" t="s">
        <v>28</v>
      </c>
      <c r="B30" s="5">
        <v>33.0</v>
      </c>
      <c r="C30" s="5" t="s">
        <v>1097</v>
      </c>
      <c r="D30" s="5">
        <v>95.0</v>
      </c>
      <c r="E30" s="5">
        <v>2.7</v>
      </c>
      <c r="F30" s="5">
        <v>2.16</v>
      </c>
      <c r="G30" s="85">
        <f t="shared" si="1"/>
        <v>0.25</v>
      </c>
    </row>
    <row r="31">
      <c r="A31" s="5" t="s">
        <v>11</v>
      </c>
      <c r="B31">
        <f>(((Sheet1!$B$3+(B29*Sheet1!$G$7*Sheet1!$G$8))+B28*$B$2)+((B27+(B30*2))*$B$1))/(1-(Sheet1!$C$2))-(Sheet1!$B$3)/(1-(Sheet1!$C$2))</f>
        <v>3095.482274</v>
      </c>
      <c r="D31" s="5">
        <v>71.0</v>
      </c>
      <c r="E31" s="5">
        <v>2.7</v>
      </c>
      <c r="F31" s="5">
        <v>2.0</v>
      </c>
      <c r="G31" s="85">
        <f t="shared" si="1"/>
        <v>0.35</v>
      </c>
    </row>
    <row r="32">
      <c r="A32" s="5"/>
      <c r="D32" s="5">
        <v>8.0</v>
      </c>
      <c r="E32" s="5">
        <v>2.7</v>
      </c>
      <c r="F32" s="5">
        <v>1.87</v>
      </c>
      <c r="G32" s="85">
        <f t="shared" si="1"/>
        <v>0.4438502674</v>
      </c>
    </row>
    <row r="33">
      <c r="A33" s="5" t="s">
        <v>741</v>
      </c>
      <c r="D33" s="5">
        <v>9.0</v>
      </c>
      <c r="E33" s="5">
        <v>2.7</v>
      </c>
      <c r="F33" s="5">
        <v>1.97</v>
      </c>
      <c r="G33" s="85">
        <f t="shared" si="1"/>
        <v>0.3705583756</v>
      </c>
    </row>
    <row r="34">
      <c r="A34" s="5" t="s">
        <v>1</v>
      </c>
      <c r="B34" s="5">
        <v>490.0</v>
      </c>
      <c r="E34" s="5">
        <v>3.5</v>
      </c>
      <c r="F34" s="5">
        <v>2.36</v>
      </c>
      <c r="G34" s="85">
        <f t="shared" si="1"/>
        <v>0.4830508475</v>
      </c>
    </row>
    <row r="35">
      <c r="A35" s="5" t="s">
        <v>25</v>
      </c>
      <c r="B35" s="5">
        <v>60.0</v>
      </c>
      <c r="G35" s="85"/>
    </row>
    <row r="36">
      <c r="A36" s="5" t="s">
        <v>495</v>
      </c>
      <c r="B36" s="5">
        <v>0.0</v>
      </c>
    </row>
    <row r="37">
      <c r="A37" s="5" t="s">
        <v>28</v>
      </c>
      <c r="B37" s="5">
        <v>33.0</v>
      </c>
    </row>
    <row r="38">
      <c r="A38" s="5" t="s">
        <v>11</v>
      </c>
      <c r="B38">
        <f>(((Sheet1!$B$3+(B36*Sheet1!$G$7*Sheet1!$G$8))+B35*$B$2)+((B34+(B37*2))*$B$1))/(1-(Sheet1!$C$2))-(Sheet1!$B$3)/(1-(Sheet1!$C$2))</f>
        <v>3095.482274</v>
      </c>
    </row>
    <row r="39">
      <c r="A39" s="5"/>
      <c r="B39" s="5"/>
    </row>
    <row r="40">
      <c r="A40" s="5" t="s">
        <v>741</v>
      </c>
    </row>
    <row r="41">
      <c r="A41" s="5" t="s">
        <v>1</v>
      </c>
      <c r="B41" s="5">
        <v>490.0</v>
      </c>
    </row>
    <row r="42">
      <c r="A42" s="5" t="s">
        <v>25</v>
      </c>
      <c r="B42" s="5">
        <v>60.0</v>
      </c>
      <c r="C42" s="5"/>
      <c r="D42" s="5"/>
    </row>
    <row r="43">
      <c r="A43" s="5" t="s">
        <v>495</v>
      </c>
      <c r="B43" s="5">
        <v>0.0</v>
      </c>
    </row>
    <row r="44">
      <c r="A44" s="5" t="s">
        <v>28</v>
      </c>
      <c r="B44" s="5">
        <v>33.0</v>
      </c>
    </row>
    <row r="45">
      <c r="A45" s="5" t="s">
        <v>11</v>
      </c>
      <c r="B45">
        <f>(((Sheet1!$B$3+(B43*Sheet1!$G$7*Sheet1!$G$8))+B42*$B$2)+((B41+(B44*2))*$B$1))/(1-(Sheet1!$C$2))-(Sheet1!$B$3)/(1-(Sheet1!$C$2))</f>
        <v>3095.482274</v>
      </c>
    </row>
    <row r="46">
      <c r="A46" s="5"/>
      <c r="B46" s="5"/>
    </row>
    <row r="47">
      <c r="A47" s="5" t="s">
        <v>741</v>
      </c>
    </row>
    <row r="48">
      <c r="A48" s="5" t="s">
        <v>1</v>
      </c>
      <c r="B48" s="5">
        <v>490.0</v>
      </c>
    </row>
    <row r="49">
      <c r="A49" s="5" t="s">
        <v>25</v>
      </c>
      <c r="B49" s="5">
        <v>60.0</v>
      </c>
    </row>
    <row r="50">
      <c r="A50" s="5" t="s">
        <v>495</v>
      </c>
      <c r="B50" s="5">
        <v>0.0</v>
      </c>
    </row>
    <row r="51">
      <c r="A51" s="5" t="s">
        <v>28</v>
      </c>
      <c r="B51" s="5">
        <v>33.0</v>
      </c>
    </row>
    <row r="52">
      <c r="A52" s="5" t="s">
        <v>11</v>
      </c>
      <c r="B52">
        <f>(((Sheet1!$B$3+(B50*Sheet1!$G$7*Sheet1!$G$8))+B49*$B$2)+((B48+(B51*2))*$B$1))/(1-(Sheet1!$C$2))-(Sheet1!$B$3)/(1-(Sheet1!$C$2))</f>
        <v>3095.482274</v>
      </c>
    </row>
    <row r="53">
      <c r="A53" s="5"/>
      <c r="B53" s="5"/>
    </row>
    <row r="54">
      <c r="A54" s="5" t="s">
        <v>741</v>
      </c>
    </row>
    <row r="55">
      <c r="A55" s="5" t="s">
        <v>1</v>
      </c>
      <c r="B55" s="5">
        <v>490.0</v>
      </c>
    </row>
    <row r="56">
      <c r="A56" s="5" t="s">
        <v>25</v>
      </c>
      <c r="B56" s="5">
        <v>60.0</v>
      </c>
    </row>
    <row r="57">
      <c r="A57" s="5" t="s">
        <v>495</v>
      </c>
      <c r="B57" s="5">
        <v>0.0</v>
      </c>
    </row>
    <row r="58">
      <c r="A58" s="5" t="s">
        <v>28</v>
      </c>
      <c r="B58" s="5">
        <v>33.0</v>
      </c>
    </row>
    <row r="59">
      <c r="A59" s="5" t="s">
        <v>11</v>
      </c>
      <c r="B59">
        <f>(((Sheet1!$B$3+(B57*Sheet1!$G$7*Sheet1!$G$8))+B56*$B$2)+((B55+(B58*2))*$B$1))/(1-(Sheet1!$C$2))-(Sheet1!$B$3)/(1-(Sheet1!$C$2))</f>
        <v>3095.482274</v>
      </c>
    </row>
    <row r="60">
      <c r="A60" s="5"/>
      <c r="B60" s="5"/>
    </row>
    <row r="61">
      <c r="A61" s="5" t="s">
        <v>741</v>
      </c>
    </row>
    <row r="62">
      <c r="A62" s="5" t="s">
        <v>1</v>
      </c>
      <c r="B62" s="5">
        <v>490.0</v>
      </c>
    </row>
    <row r="63">
      <c r="A63" s="5" t="s">
        <v>25</v>
      </c>
      <c r="B63" s="5">
        <v>60.0</v>
      </c>
    </row>
    <row r="64">
      <c r="A64" s="5" t="s">
        <v>495</v>
      </c>
      <c r="B64" s="5">
        <v>0.0</v>
      </c>
    </row>
    <row r="65">
      <c r="A65" s="5" t="s">
        <v>28</v>
      </c>
      <c r="B65" s="5">
        <v>33.0</v>
      </c>
    </row>
    <row r="66">
      <c r="A66" s="5" t="s">
        <v>11</v>
      </c>
      <c r="B66">
        <f>(((Sheet1!$B$3+(B64*Sheet1!$G$7*Sheet1!$G$8))+B63*$B$2)+((B62+(B65*2))*$B$1))/(1-(Sheet1!$C$2))-(Sheet1!$B$3)/(1-(Sheet1!$C$2))</f>
        <v>3095.482274</v>
      </c>
      <c r="D66" s="5"/>
    </row>
    <row r="67">
      <c r="A67" s="5"/>
      <c r="B67" s="5"/>
    </row>
    <row r="68">
      <c r="A68" s="5" t="s">
        <v>741</v>
      </c>
    </row>
    <row r="69">
      <c r="A69" s="5" t="s">
        <v>1</v>
      </c>
      <c r="B69" s="5">
        <v>1532.0</v>
      </c>
    </row>
    <row r="70">
      <c r="A70" s="5" t="s">
        <v>25</v>
      </c>
      <c r="B70" s="5">
        <v>115.0</v>
      </c>
    </row>
    <row r="71">
      <c r="A71" s="5" t="s">
        <v>495</v>
      </c>
      <c r="B71" s="5">
        <v>45.0</v>
      </c>
    </row>
    <row r="72">
      <c r="A72" s="5" t="s">
        <v>28</v>
      </c>
      <c r="B72" s="5">
        <v>0.0</v>
      </c>
    </row>
    <row r="73">
      <c r="A73" s="5" t="s">
        <v>11</v>
      </c>
      <c r="B73">
        <f>(((Sheet1!$B$3+(B71*Sheet1!$G$7*Sheet1!$G$8))+B70*Sheet1!$G$2)+((B69+(B72*2))*Sheet1!$G$5))/(1-(Sheet1!$C$2))-(Sheet1!$B$3)/(1-(Sheet1!$C$2))</f>
        <v>7505.599666</v>
      </c>
    </row>
    <row r="75">
      <c r="A75" s="5" t="s">
        <v>741</v>
      </c>
    </row>
    <row r="76">
      <c r="A76" s="5" t="s">
        <v>1</v>
      </c>
      <c r="B76" s="5">
        <v>1532.0</v>
      </c>
    </row>
    <row r="77">
      <c r="A77" s="5" t="s">
        <v>25</v>
      </c>
      <c r="B77" s="5">
        <v>115.0</v>
      </c>
    </row>
    <row r="78">
      <c r="A78" s="5" t="s">
        <v>495</v>
      </c>
      <c r="B78" s="5">
        <v>45.0</v>
      </c>
    </row>
    <row r="79">
      <c r="A79" s="5" t="s">
        <v>28</v>
      </c>
      <c r="B79" s="5">
        <v>0.0</v>
      </c>
    </row>
    <row r="80">
      <c r="A80" s="5" t="s">
        <v>11</v>
      </c>
      <c r="B80">
        <f>(((Sheet1!$B$3+(B78*Sheet1!$G$7*Sheet1!$G$8))+B77*Sheet1!$G$2)+((B76+(B79*2))*Sheet1!$G$5))/(1-(Sheet1!$C$2))-(Sheet1!$B$3)/(1-(Sheet1!$C$2))</f>
        <v>7505.599666</v>
      </c>
    </row>
    <row r="82">
      <c r="A82" s="5" t="s">
        <v>741</v>
      </c>
    </row>
    <row r="83">
      <c r="A83" s="5" t="s">
        <v>1</v>
      </c>
      <c r="B83" s="5">
        <v>1532.0</v>
      </c>
    </row>
    <row r="84">
      <c r="A84" s="5" t="s">
        <v>25</v>
      </c>
      <c r="B84" s="5">
        <v>115.0</v>
      </c>
    </row>
    <row r="85">
      <c r="A85" s="5" t="s">
        <v>495</v>
      </c>
      <c r="B85" s="5">
        <v>45.0</v>
      </c>
    </row>
    <row r="86">
      <c r="A86" s="5" t="s">
        <v>28</v>
      </c>
      <c r="B86" s="5">
        <v>0.0</v>
      </c>
    </row>
    <row r="87">
      <c r="A87" s="5" t="s">
        <v>11</v>
      </c>
      <c r="B87">
        <f>(((Sheet1!$B$3+(B85*Sheet1!$G$7*Sheet1!$G$8))+B84*Sheet1!$G$2)+((B83+(B86*2))*Sheet1!$G$5))/(1-(Sheet1!$C$2))-(Sheet1!$B$3)/(1-(Sheet1!$C$2))</f>
        <v>7505.599666</v>
      </c>
    </row>
  </sheetData>
  <mergeCells count="4">
    <mergeCell ref="L2:M2"/>
    <mergeCell ref="L3:M3"/>
    <mergeCell ref="L4:M4"/>
    <mergeCell ref="L6:M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.29"/>
    <col customWidth="1" min="6" max="6" width="22.14"/>
  </cols>
  <sheetData>
    <row r="1">
      <c r="A1" s="5" t="s">
        <v>1098</v>
      </c>
      <c r="B1" s="5" t="s">
        <v>1099</v>
      </c>
      <c r="C1" s="5"/>
    </row>
    <row r="2">
      <c r="A2" s="5">
        <v>75.0</v>
      </c>
      <c r="B2" s="5">
        <v>96.0</v>
      </c>
      <c r="C2" s="5" t="s">
        <v>1100</v>
      </c>
    </row>
    <row r="3">
      <c r="A3" s="5">
        <v>368.0</v>
      </c>
      <c r="B3" s="5">
        <v>380.0</v>
      </c>
      <c r="C3" s="5" t="s">
        <v>1101</v>
      </c>
    </row>
    <row r="4">
      <c r="A4" s="5">
        <v>40.0</v>
      </c>
      <c r="B4" s="5">
        <v>47.0</v>
      </c>
      <c r="C4" s="5" t="s">
        <v>1102</v>
      </c>
    </row>
    <row r="5">
      <c r="A5" s="5">
        <v>50.0</v>
      </c>
      <c r="B5" s="5">
        <v>58.0</v>
      </c>
      <c r="C5" s="240" t="s">
        <v>1103</v>
      </c>
    </row>
    <row r="6">
      <c r="A6" s="5">
        <v>88.0</v>
      </c>
      <c r="C6" s="5" t="s">
        <v>1104</v>
      </c>
      <c r="D6" s="5" t="s">
        <v>1105</v>
      </c>
    </row>
    <row r="7">
      <c r="A7" s="5">
        <v>310.0</v>
      </c>
      <c r="B7" s="5">
        <v>310.0</v>
      </c>
      <c r="C7" s="5" t="s">
        <v>1106</v>
      </c>
    </row>
    <row r="8">
      <c r="A8" s="5">
        <v>5.0</v>
      </c>
      <c r="B8" s="5">
        <v>5.0</v>
      </c>
      <c r="C8" s="5" t="s">
        <v>1107</v>
      </c>
    </row>
    <row r="9">
      <c r="A9" s="5">
        <v>350.0</v>
      </c>
      <c r="B9" s="5">
        <v>350.0</v>
      </c>
      <c r="C9" s="5" t="s">
        <v>1108</v>
      </c>
    </row>
    <row r="10">
      <c r="A10" s="5">
        <v>20.0</v>
      </c>
      <c r="B10" s="5">
        <v>60.0</v>
      </c>
      <c r="C10" s="5" t="s">
        <v>1109</v>
      </c>
    </row>
    <row r="11">
      <c r="A11" s="5">
        <v>630.0</v>
      </c>
      <c r="B11" s="5">
        <v>638.0</v>
      </c>
      <c r="C11" s="5" t="s">
        <v>1110</v>
      </c>
    </row>
    <row r="12">
      <c r="A12" s="5">
        <v>505.0</v>
      </c>
      <c r="B12" s="5">
        <v>260.0</v>
      </c>
      <c r="C12" s="5" t="s">
        <v>1111</v>
      </c>
      <c r="D12" s="5">
        <v>340.0</v>
      </c>
    </row>
    <row r="13">
      <c r="A13" s="5">
        <v>250.0</v>
      </c>
      <c r="C13" s="5" t="s">
        <v>1112</v>
      </c>
    </row>
    <row r="14">
      <c r="A14" s="5">
        <v>200.0</v>
      </c>
      <c r="C14" s="5" t="s">
        <v>902</v>
      </c>
    </row>
    <row r="18">
      <c r="A18" s="5" t="s">
        <v>1113</v>
      </c>
      <c r="B18" s="5">
        <v>0.0395</v>
      </c>
      <c r="C18" s="5">
        <v>100.0</v>
      </c>
    </row>
    <row r="19">
      <c r="A19" s="5" t="s">
        <v>1114</v>
      </c>
      <c r="B19" s="5">
        <v>0.347222222222222</v>
      </c>
      <c r="C19" s="5">
        <v>120.0</v>
      </c>
    </row>
    <row r="20">
      <c r="A20" s="5" t="s">
        <v>716</v>
      </c>
      <c r="B20" s="5">
        <v>0.19375</v>
      </c>
      <c r="C20" s="5">
        <v>40.0</v>
      </c>
    </row>
    <row r="21">
      <c r="A21" s="5" t="s">
        <v>710</v>
      </c>
      <c r="B21" s="5">
        <v>0.36</v>
      </c>
      <c r="C21" s="5">
        <v>70.0</v>
      </c>
    </row>
    <row r="23">
      <c r="A23" s="5" t="s">
        <v>1115</v>
      </c>
      <c r="B23" s="5">
        <v>0.338888888888888</v>
      </c>
      <c r="G23" s="5" t="s">
        <v>727</v>
      </c>
      <c r="H23" s="5" t="s">
        <v>1108</v>
      </c>
      <c r="I23" s="5" t="s">
        <v>1107</v>
      </c>
      <c r="J23" s="5" t="s">
        <v>1116</v>
      </c>
      <c r="K23" s="5" t="s">
        <v>1117</v>
      </c>
      <c r="L23" s="5" t="s">
        <v>1118</v>
      </c>
      <c r="M23" s="5" t="s">
        <v>1119</v>
      </c>
      <c r="N23" s="5" t="s">
        <v>1120</v>
      </c>
    </row>
    <row r="24">
      <c r="A24" s="5" t="s">
        <v>1121</v>
      </c>
      <c r="B24" s="5">
        <v>0.338888888888888</v>
      </c>
      <c r="C24" s="5" t="s">
        <v>1122</v>
      </c>
      <c r="D24" s="5" t="b">
        <v>1</v>
      </c>
      <c r="E24" s="5">
        <v>230.0</v>
      </c>
      <c r="F24" s="241" t="s">
        <v>1123</v>
      </c>
      <c r="G24" s="5">
        <v>2.0</v>
      </c>
      <c r="H24" s="5">
        <v>16.0</v>
      </c>
    </row>
    <row r="25">
      <c r="A25" s="5" t="s">
        <v>1110</v>
      </c>
      <c r="B25" s="5">
        <v>0.5</v>
      </c>
      <c r="C25" s="5">
        <v>40.0</v>
      </c>
      <c r="D25" s="5">
        <v>5.0</v>
      </c>
      <c r="E25" s="5">
        <v>220.0</v>
      </c>
      <c r="F25" s="241" t="s">
        <v>1124</v>
      </c>
      <c r="G25" s="5">
        <v>1.0</v>
      </c>
      <c r="H25" s="5">
        <v>10.0</v>
      </c>
      <c r="I25" s="5">
        <v>6.0</v>
      </c>
      <c r="J25" s="5">
        <v>1.0</v>
      </c>
      <c r="K25" s="5">
        <v>6.0</v>
      </c>
    </row>
    <row r="26">
      <c r="A26" s="5" t="s">
        <v>1121</v>
      </c>
      <c r="B26" s="5">
        <v>0.3265</v>
      </c>
      <c r="E26" s="5">
        <v>240.0</v>
      </c>
      <c r="F26" s="241" t="s">
        <v>1125</v>
      </c>
      <c r="G26" s="5">
        <v>1.0</v>
      </c>
      <c r="H26" s="5">
        <v>16.0</v>
      </c>
      <c r="I26" s="5">
        <v>6.0</v>
      </c>
      <c r="J26" s="5">
        <v>1.0</v>
      </c>
      <c r="L26" s="5">
        <v>1.0</v>
      </c>
    </row>
    <row r="27">
      <c r="G27" s="5" t="s">
        <v>95</v>
      </c>
      <c r="H27">
        <f>($G$28*H28)+H29+($G$30*H30)</f>
        <v>68</v>
      </c>
      <c r="I27">
        <f t="shared" ref="I27:L27" si="1">SUM(I25:I26)</f>
        <v>12</v>
      </c>
      <c r="J27">
        <f t="shared" si="1"/>
        <v>2</v>
      </c>
      <c r="K27">
        <f t="shared" si="1"/>
        <v>6</v>
      </c>
      <c r="L27">
        <f t="shared" si="1"/>
        <v>1</v>
      </c>
    </row>
    <row r="28">
      <c r="E28" s="5">
        <v>235.0</v>
      </c>
      <c r="F28" s="241" t="s">
        <v>1126</v>
      </c>
      <c r="G28" s="5">
        <v>2.0</v>
      </c>
      <c r="H28" s="5">
        <v>14.0</v>
      </c>
      <c r="M28" s="5">
        <v>5.0</v>
      </c>
    </row>
    <row r="29">
      <c r="C29" s="5">
        <v>40.0</v>
      </c>
      <c r="D29" s="5" t="s">
        <v>1127</v>
      </c>
      <c r="E29" s="5">
        <v>220.0</v>
      </c>
      <c r="F29" s="241" t="s">
        <v>1128</v>
      </c>
      <c r="G29" s="5">
        <v>1.0</v>
      </c>
      <c r="H29" s="5">
        <v>12.0</v>
      </c>
      <c r="I29" s="5">
        <v>1.0</v>
      </c>
      <c r="J29" s="5">
        <v>1.0</v>
      </c>
    </row>
    <row r="30">
      <c r="E30" s="5">
        <v>245.0</v>
      </c>
      <c r="F30" s="5" t="s">
        <v>1129</v>
      </c>
      <c r="G30" s="5">
        <v>2.0</v>
      </c>
      <c r="H30" s="5">
        <v>14.0</v>
      </c>
      <c r="I30" s="5">
        <v>2.0</v>
      </c>
      <c r="J30" s="5">
        <v>1.0</v>
      </c>
      <c r="M30" s="5">
        <v>4.0</v>
      </c>
      <c r="N30" s="5">
        <v>1.0</v>
      </c>
    </row>
    <row r="31">
      <c r="G31" s="5" t="s">
        <v>95</v>
      </c>
      <c r="H31">
        <f t="shared" ref="H31:J31" si="2">($G$28*H28)+H29+($G$30*H30)</f>
        <v>68</v>
      </c>
      <c r="I31">
        <f t="shared" si="2"/>
        <v>5</v>
      </c>
      <c r="J31">
        <f t="shared" si="2"/>
        <v>3</v>
      </c>
      <c r="M31">
        <f t="shared" ref="M31:N31" si="3">($G$28*M28)+M29+($G$30*M30)</f>
        <v>18</v>
      </c>
      <c r="N31">
        <f t="shared" si="3"/>
        <v>2</v>
      </c>
    </row>
    <row r="32">
      <c r="F32" s="241" t="s">
        <v>1130</v>
      </c>
      <c r="G32" s="5">
        <v>2.0</v>
      </c>
      <c r="H32" s="5">
        <v>0.0</v>
      </c>
      <c r="K32" s="5">
        <v>0.0</v>
      </c>
    </row>
    <row r="33">
      <c r="C33" s="5">
        <v>40.0</v>
      </c>
      <c r="E33" s="5">
        <v>225.0</v>
      </c>
      <c r="F33" s="241" t="s">
        <v>1131</v>
      </c>
      <c r="G33" s="5">
        <v>1.0</v>
      </c>
      <c r="H33" s="5">
        <v>12.0</v>
      </c>
      <c r="I33" s="5">
        <v>1.0</v>
      </c>
      <c r="M33" s="5">
        <v>6.0</v>
      </c>
    </row>
    <row r="34">
      <c r="E34" s="5">
        <v>245.0</v>
      </c>
      <c r="F34" s="5" t="s">
        <v>1132</v>
      </c>
      <c r="G34" s="5">
        <v>1.0</v>
      </c>
      <c r="H34" s="5">
        <v>16.0</v>
      </c>
      <c r="I34" s="5">
        <v>2.0</v>
      </c>
      <c r="J34" s="5">
        <v>1.0</v>
      </c>
    </row>
    <row r="35">
      <c r="H35" s="242">
        <f>(G32*H32)+H33+(H34)</f>
        <v>28</v>
      </c>
      <c r="I35" s="5">
        <v>3.0</v>
      </c>
      <c r="J35" s="5">
        <v>1.0</v>
      </c>
      <c r="K35">
        <f>K32*G32</f>
        <v>0</v>
      </c>
      <c r="M35" s="5">
        <v>6.0</v>
      </c>
    </row>
    <row r="36">
      <c r="G36" s="5" t="s">
        <v>1133</v>
      </c>
      <c r="H36" s="15">
        <f>H35+H31+H27</f>
        <v>164</v>
      </c>
      <c r="I36" s="15">
        <f>I27+I31+I35</f>
        <v>20</v>
      </c>
      <c r="J36" s="10" t="s">
        <v>1134</v>
      </c>
      <c r="K36" s="15">
        <f>K35+K27</f>
        <v>6</v>
      </c>
      <c r="L36" s="15">
        <f>L27</f>
        <v>1</v>
      </c>
      <c r="M36" s="15">
        <f>M35+M31+M28</f>
        <v>29</v>
      </c>
      <c r="N36" s="15">
        <f>N31</f>
        <v>2</v>
      </c>
    </row>
    <row r="37">
      <c r="H37" s="10" t="s">
        <v>1108</v>
      </c>
      <c r="I37" s="10" t="s">
        <v>1107</v>
      </c>
      <c r="J37" s="10" t="s">
        <v>1116</v>
      </c>
      <c r="K37" s="10" t="s">
        <v>1117</v>
      </c>
      <c r="L37" s="10" t="s">
        <v>1118</v>
      </c>
      <c r="M37" s="10" t="s">
        <v>1119</v>
      </c>
      <c r="N37" s="10" t="s">
        <v>1120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E3" s="5" t="s">
        <v>211</v>
      </c>
      <c r="F3" s="26">
        <v>42374.0</v>
      </c>
    </row>
    <row r="4">
      <c r="E4" s="5">
        <v>35.0</v>
      </c>
      <c r="F4" s="5"/>
    </row>
    <row r="6">
      <c r="D6" s="5">
        <v>1.4</v>
      </c>
      <c r="E6" s="5">
        <v>40.0</v>
      </c>
    </row>
    <row r="7">
      <c r="D7" s="5">
        <v>1.4</v>
      </c>
      <c r="E7" s="5">
        <v>37.0</v>
      </c>
    </row>
    <row r="8">
      <c r="D8" s="5">
        <v>2.7</v>
      </c>
      <c r="E8" s="5">
        <v>27.0</v>
      </c>
    </row>
    <row r="9">
      <c r="D9" s="5">
        <v>2.7</v>
      </c>
      <c r="E9" s="5">
        <v>33.0</v>
      </c>
      <c r="F9" s="5">
        <v>30.0</v>
      </c>
    </row>
    <row r="10">
      <c r="B10" s="5">
        <v>5000.0</v>
      </c>
      <c r="E10" s="5">
        <v>33.0</v>
      </c>
      <c r="F10" s="5">
        <v>33.0</v>
      </c>
    </row>
    <row r="11">
      <c r="B11" s="5">
        <v>2000.0</v>
      </c>
      <c r="E11" s="5">
        <v>30.0</v>
      </c>
    </row>
    <row r="12">
      <c r="B12" s="5">
        <v>500.0</v>
      </c>
    </row>
    <row r="16">
      <c r="B16" s="5">
        <v>3075.0</v>
      </c>
      <c r="D16" s="5" t="s">
        <v>212</v>
      </c>
      <c r="E16" s="5" t="s">
        <v>213</v>
      </c>
    </row>
    <row r="17">
      <c r="B17" s="5">
        <v>610.0</v>
      </c>
      <c r="E17" s="26">
        <v>42375.0</v>
      </c>
    </row>
    <row r="18">
      <c r="B18" s="5">
        <v>200.0</v>
      </c>
    </row>
    <row r="19">
      <c r="B19" s="5">
        <v>800.0</v>
      </c>
      <c r="E19" s="26">
        <v>42406.0</v>
      </c>
    </row>
    <row r="20">
      <c r="D20" s="5" t="s">
        <v>214</v>
      </c>
      <c r="E20" s="5" t="s">
        <v>215</v>
      </c>
    </row>
    <row r="23">
      <c r="B23">
        <f>SUM(B16:B22)</f>
        <v>4685</v>
      </c>
      <c r="C23" s="5">
        <v>7700.0</v>
      </c>
    </row>
    <row r="24">
      <c r="C24">
        <f>C23-B23</f>
        <v>3015</v>
      </c>
    </row>
    <row r="28">
      <c r="C28" s="5" t="s">
        <v>216</v>
      </c>
      <c r="D28" s="5" t="s">
        <v>217</v>
      </c>
      <c r="E28" s="5">
        <f>((15*E29)/(4*E30))+((E32*E31)/2)</f>
        <v>5.559200946</v>
      </c>
    </row>
    <row r="29">
      <c r="C29" s="5" t="s">
        <v>218</v>
      </c>
      <c r="D29" s="5" t="s">
        <v>219</v>
      </c>
      <c r="E29" s="5">
        <v>160.0</v>
      </c>
    </row>
    <row r="30">
      <c r="C30" s="5" t="s">
        <v>220</v>
      </c>
      <c r="D30" s="5" t="s">
        <v>221</v>
      </c>
      <c r="E30" s="5">
        <v>274.7</v>
      </c>
    </row>
    <row r="31">
      <c r="C31" s="5" t="s">
        <v>222</v>
      </c>
      <c r="D31" s="5" t="s">
        <v>223</v>
      </c>
      <c r="E31" s="5">
        <v>2.7</v>
      </c>
    </row>
    <row r="32">
      <c r="C32" s="5" t="s">
        <v>224</v>
      </c>
      <c r="D32" s="5" t="s">
        <v>225</v>
      </c>
      <c r="E32" s="5">
        <v>2.5</v>
      </c>
    </row>
    <row r="33">
      <c r="H33" s="5" t="s">
        <v>56</v>
      </c>
      <c r="I33" s="5">
        <v>1.4</v>
      </c>
    </row>
    <row r="34">
      <c r="A34" s="5">
        <v>3.1</v>
      </c>
      <c r="B34" s="5">
        <v>5.4</v>
      </c>
      <c r="D34">
        <f>((15*E29)/(4*E30))+((E32*E31)/2)</f>
        <v>5.559200946</v>
      </c>
      <c r="E34">
        <f>(15*E29)/E30</f>
        <v>8.736803786</v>
      </c>
      <c r="H34" s="5" t="s">
        <v>226</v>
      </c>
      <c r="I34" s="5">
        <v>1.0</v>
      </c>
    </row>
    <row r="35">
      <c r="A35" s="5">
        <v>4.1</v>
      </c>
      <c r="B35" s="5">
        <v>2.7</v>
      </c>
      <c r="E35" t="b">
        <f>D34&lt;=E34</f>
        <v>1</v>
      </c>
      <c r="I35">
        <f>I34/I33</f>
        <v>0.7142857143</v>
      </c>
    </row>
    <row r="36">
      <c r="I36">
        <f>I35*D34</f>
        <v>3.970857819</v>
      </c>
    </row>
    <row r="39">
      <c r="A39" s="5">
        <v>9.0</v>
      </c>
      <c r="C39" s="5" t="s">
        <v>227</v>
      </c>
    </row>
    <row r="40">
      <c r="A40" s="5">
        <v>1.4</v>
      </c>
      <c r="D40" s="5" t="s">
        <v>228</v>
      </c>
      <c r="E40" s="5">
        <v>4000.0</v>
      </c>
    </row>
    <row r="41">
      <c r="A41">
        <f>A39/A40</f>
        <v>6.428571429</v>
      </c>
      <c r="D41">
        <f>((5/2)*(E40/E30))</f>
        <v>36.40334911</v>
      </c>
    </row>
    <row r="42">
      <c r="A42" s="5">
        <v>6.5</v>
      </c>
    </row>
    <row r="44">
      <c r="C44" s="5" t="s">
        <v>229</v>
      </c>
      <c r="D44" s="5">
        <v>17.0</v>
      </c>
      <c r="G44" s="5" t="s">
        <v>230</v>
      </c>
    </row>
    <row r="45">
      <c r="C45" s="5" t="s">
        <v>156</v>
      </c>
      <c r="D45" s="5">
        <v>3.0</v>
      </c>
      <c r="E45">
        <f>SUM(D44:D45)</f>
        <v>20</v>
      </c>
      <c r="G45" s="5" t="s">
        <v>231</v>
      </c>
    </row>
    <row r="46">
      <c r="C46" s="5" t="s">
        <v>232</v>
      </c>
      <c r="D46" s="5">
        <v>18.0</v>
      </c>
      <c r="E46">
        <f>SUM(D44:D46)</f>
        <v>38</v>
      </c>
      <c r="I46" s="5" t="s">
        <v>226</v>
      </c>
      <c r="J46" s="5">
        <v>15.0</v>
      </c>
    </row>
    <row r="47">
      <c r="B47" s="5">
        <v>2.0</v>
      </c>
      <c r="C47">
        <f>(D44+D45+D46)*2+17</f>
        <v>93</v>
      </c>
      <c r="D47" s="5">
        <v>8.0</v>
      </c>
      <c r="E47">
        <f>1.5*D47</f>
        <v>12</v>
      </c>
      <c r="G47" s="5" t="s">
        <v>233</v>
      </c>
      <c r="I47" s="5" t="s">
        <v>234</v>
      </c>
      <c r="J47" s="5">
        <v>96.0</v>
      </c>
    </row>
    <row r="48">
      <c r="G48" s="5">
        <v>9700.0</v>
      </c>
      <c r="J48">
        <f>J47/J46</f>
        <v>6.4</v>
      </c>
    </row>
    <row r="49">
      <c r="C49" s="5" t="s">
        <v>235</v>
      </c>
      <c r="D49" s="5">
        <v>1.4</v>
      </c>
      <c r="G49" s="5" t="s">
        <v>236</v>
      </c>
    </row>
    <row r="50">
      <c r="C50" s="5" t="s">
        <v>153</v>
      </c>
      <c r="D50" s="5">
        <v>12.0</v>
      </c>
      <c r="F50">
        <f>G50/10</f>
        <v>1050</v>
      </c>
      <c r="G50" s="5">
        <v>10500.0</v>
      </c>
    </row>
    <row r="51">
      <c r="C51" s="5" t="s">
        <v>237</v>
      </c>
      <c r="D51">
        <f>(D50/D49)</f>
        <v>8.571428571</v>
      </c>
    </row>
    <row r="52">
      <c r="C52" s="5"/>
    </row>
    <row r="53">
      <c r="D53">
        <f>10/D49</f>
        <v>7.142857143</v>
      </c>
    </row>
    <row r="54">
      <c r="D54">
        <f>15*D51</f>
        <v>128.5714286</v>
      </c>
      <c r="G54" s="5" t="s">
        <v>238</v>
      </c>
    </row>
    <row r="56">
      <c r="C56" s="30" t="s">
        <v>239</v>
      </c>
      <c r="D56" s="31">
        <f>G56/10</f>
        <v>2221.2</v>
      </c>
      <c r="G56">
        <f>11773+10439</f>
        <v>22212</v>
      </c>
    </row>
    <row r="57">
      <c r="G57" s="5" t="s">
        <v>240</v>
      </c>
    </row>
    <row r="58">
      <c r="G58" s="5">
        <v>9400.0</v>
      </c>
    </row>
    <row r="59">
      <c r="F59">
        <f>G59/10</f>
        <v>1910</v>
      </c>
      <c r="G59">
        <f>G58+G48</f>
        <v>19100</v>
      </c>
    </row>
    <row r="63">
      <c r="C63" s="5" t="s">
        <v>241</v>
      </c>
    </row>
    <row r="65">
      <c r="C65" s="5" t="s">
        <v>242</v>
      </c>
      <c r="D65" s="5">
        <v>60.0</v>
      </c>
    </row>
    <row r="67">
      <c r="C67" s="5" t="s">
        <v>216</v>
      </c>
      <c r="D67" s="5" t="s">
        <v>217</v>
      </c>
      <c r="E67" s="5">
        <f>((15*E68)/(4*E69))+((E71*E70)/2)</f>
        <v>3.626192541</v>
      </c>
    </row>
    <row r="68">
      <c r="C68" s="5" t="s">
        <v>218</v>
      </c>
      <c r="D68" s="5" t="s">
        <v>219</v>
      </c>
      <c r="E68" s="5">
        <v>100.0</v>
      </c>
    </row>
    <row r="69">
      <c r="C69" s="5" t="s">
        <v>220</v>
      </c>
      <c r="D69" s="5" t="s">
        <v>221</v>
      </c>
      <c r="E69" s="5">
        <v>230.6</v>
      </c>
    </row>
    <row r="70">
      <c r="C70" s="5" t="s">
        <v>222</v>
      </c>
      <c r="D70" s="5" t="s">
        <v>223</v>
      </c>
      <c r="E70" s="5">
        <v>1.6</v>
      </c>
    </row>
    <row r="71">
      <c r="C71" s="5" t="s">
        <v>224</v>
      </c>
      <c r="D71" s="5" t="s">
        <v>225</v>
      </c>
      <c r="E71" s="5">
        <v>2.5</v>
      </c>
    </row>
    <row r="73">
      <c r="C73" s="5" t="s">
        <v>227</v>
      </c>
    </row>
    <row r="74">
      <c r="D74" s="5" t="s">
        <v>228</v>
      </c>
      <c r="E74" s="5">
        <v>4000.0</v>
      </c>
    </row>
    <row r="75">
      <c r="D75" t="str">
        <f>((5/2)*(E74/E64))</f>
        <v>#DIV/0!</v>
      </c>
    </row>
  </sheetData>
  <mergeCells count="2">
    <mergeCell ref="C56:C58"/>
    <mergeCell ref="D56:D5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243</v>
      </c>
    </row>
    <row r="2">
      <c r="A2" s="32" t="s">
        <v>244</v>
      </c>
      <c r="B2" s="33"/>
      <c r="C2" s="33"/>
      <c r="D2" s="33"/>
      <c r="E2" s="33"/>
      <c r="F2" s="33"/>
      <c r="G2" s="33"/>
      <c r="H2" s="33"/>
      <c r="I2" s="34"/>
      <c r="J2" s="35" t="s">
        <v>245</v>
      </c>
      <c r="K2" s="33"/>
      <c r="L2" s="34"/>
      <c r="M2" s="36"/>
    </row>
    <row r="3">
      <c r="A3" s="37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>
      <c r="A4" s="37"/>
      <c r="B4" s="38" t="s">
        <v>246</v>
      </c>
      <c r="C4" s="39"/>
      <c r="D4" s="39"/>
      <c r="E4" s="40"/>
      <c r="F4" s="36"/>
      <c r="G4" s="38" t="s">
        <v>247</v>
      </c>
      <c r="H4" s="39"/>
      <c r="I4" s="40"/>
      <c r="J4" s="36"/>
      <c r="K4" s="38" t="s">
        <v>248</v>
      </c>
      <c r="L4" s="39"/>
      <c r="M4" s="40"/>
      <c r="N4" s="36"/>
      <c r="O4" s="38" t="s">
        <v>249</v>
      </c>
      <c r="P4" s="39"/>
      <c r="Q4" s="39"/>
      <c r="R4" s="39"/>
      <c r="S4" s="39"/>
      <c r="T4" s="40"/>
    </row>
    <row r="5">
      <c r="A5" s="37"/>
      <c r="B5" s="41" t="s">
        <v>250</v>
      </c>
      <c r="C5" s="33"/>
      <c r="D5" s="34"/>
      <c r="E5" s="42">
        <v>102.0</v>
      </c>
      <c r="F5" s="36"/>
      <c r="G5" s="41" t="s">
        <v>175</v>
      </c>
      <c r="H5" s="34"/>
      <c r="I5" s="42">
        <v>18.9</v>
      </c>
      <c r="J5" s="36"/>
      <c r="K5" s="41" t="s">
        <v>251</v>
      </c>
      <c r="L5" s="34"/>
      <c r="M5" s="43">
        <v>0.3</v>
      </c>
      <c r="N5" s="36"/>
      <c r="O5" s="44" t="s">
        <v>252</v>
      </c>
      <c r="P5" s="33"/>
      <c r="Q5" s="33"/>
      <c r="R5" s="33"/>
      <c r="S5" s="33"/>
      <c r="T5" s="34"/>
    </row>
    <row r="6">
      <c r="A6" s="37"/>
      <c r="B6" s="41" t="s">
        <v>28</v>
      </c>
      <c r="C6" s="33"/>
      <c r="D6" s="34"/>
      <c r="E6" s="42">
        <v>105.0</v>
      </c>
      <c r="F6" s="36"/>
      <c r="G6" s="41" t="s">
        <v>253</v>
      </c>
      <c r="H6" s="34"/>
      <c r="I6" s="42">
        <v>381.25</v>
      </c>
      <c r="J6" s="36"/>
      <c r="K6" s="41" t="s">
        <v>254</v>
      </c>
      <c r="L6" s="34"/>
      <c r="M6" s="43">
        <v>-0.2</v>
      </c>
      <c r="N6" s="36"/>
      <c r="O6" s="44" t="s">
        <v>255</v>
      </c>
      <c r="P6" s="33"/>
      <c r="Q6" s="33"/>
      <c r="R6" s="33"/>
      <c r="S6" s="33"/>
      <c r="T6" s="34"/>
    </row>
    <row r="7">
      <c r="A7" s="37"/>
      <c r="B7" s="41" t="s">
        <v>39</v>
      </c>
      <c r="C7" s="33"/>
      <c r="D7" s="34"/>
      <c r="E7" s="42">
        <v>0.0</v>
      </c>
      <c r="F7" s="36"/>
      <c r="G7" s="41" t="s">
        <v>256</v>
      </c>
      <c r="H7" s="34"/>
      <c r="I7" s="42">
        <v>264.0</v>
      </c>
      <c r="J7" s="36"/>
      <c r="K7" s="41" t="s">
        <v>257</v>
      </c>
      <c r="L7" s="34"/>
      <c r="M7" s="43">
        <v>-0.29</v>
      </c>
      <c r="N7" s="36"/>
      <c r="O7" s="44" t="s">
        <v>258</v>
      </c>
      <c r="P7" s="33"/>
      <c r="Q7" s="33"/>
      <c r="R7" s="33"/>
      <c r="S7" s="33"/>
      <c r="T7" s="34"/>
    </row>
    <row r="8">
      <c r="A8" s="37"/>
      <c r="B8" s="41" t="s">
        <v>259</v>
      </c>
      <c r="C8" s="33"/>
      <c r="D8" s="34"/>
      <c r="E8" s="42">
        <v>160.0</v>
      </c>
      <c r="F8" s="36"/>
      <c r="G8" s="41" t="s">
        <v>260</v>
      </c>
      <c r="H8" s="34"/>
      <c r="I8" s="43">
        <v>0.1</v>
      </c>
      <c r="J8" s="36"/>
      <c r="K8" s="41" t="s">
        <v>261</v>
      </c>
      <c r="L8" s="34"/>
      <c r="M8" s="43">
        <v>-0.3</v>
      </c>
      <c r="N8" s="36"/>
      <c r="O8" s="44" t="s">
        <v>262</v>
      </c>
      <c r="P8" s="33"/>
      <c r="Q8" s="33"/>
      <c r="R8" s="33"/>
      <c r="S8" s="33"/>
      <c r="T8" s="34"/>
    </row>
    <row r="9">
      <c r="A9" s="37"/>
      <c r="B9" s="41" t="s">
        <v>263</v>
      </c>
      <c r="C9" s="33"/>
      <c r="D9" s="34"/>
      <c r="E9" s="42">
        <v>0.0</v>
      </c>
      <c r="F9" s="36"/>
      <c r="G9" s="36"/>
      <c r="H9" s="36"/>
      <c r="I9" s="36"/>
      <c r="J9" s="36"/>
      <c r="K9" s="41" t="s">
        <v>264</v>
      </c>
      <c r="L9" s="34"/>
      <c r="M9" s="43">
        <v>1.1</v>
      </c>
      <c r="N9" s="36"/>
    </row>
    <row r="10">
      <c r="A10" s="37"/>
      <c r="B10" s="36"/>
      <c r="C10" s="36"/>
      <c r="D10" s="36"/>
      <c r="E10" s="36"/>
      <c r="F10" s="36"/>
      <c r="G10" s="36"/>
      <c r="H10" s="36"/>
      <c r="I10" s="36"/>
      <c r="J10" s="36"/>
      <c r="K10" s="41" t="s">
        <v>265</v>
      </c>
      <c r="L10" s="34"/>
      <c r="M10" s="43">
        <v>1.3</v>
      </c>
      <c r="N10" s="36"/>
    </row>
    <row r="11">
      <c r="A11" s="37"/>
      <c r="B11" s="38" t="s">
        <v>266</v>
      </c>
      <c r="C11" s="39"/>
      <c r="D11" s="39"/>
      <c r="E11" s="40"/>
      <c r="F11" s="36"/>
      <c r="G11" s="38" t="s">
        <v>267</v>
      </c>
      <c r="H11" s="39"/>
      <c r="I11" s="40"/>
      <c r="J11" s="36"/>
      <c r="K11" s="41" t="s">
        <v>268</v>
      </c>
      <c r="L11" s="34"/>
      <c r="M11" s="43">
        <v>-0.1</v>
      </c>
      <c r="N11" s="36"/>
    </row>
    <row r="12">
      <c r="A12" s="37"/>
      <c r="B12" s="41" t="s">
        <v>269</v>
      </c>
      <c r="C12" s="33"/>
      <c r="D12" s="34"/>
      <c r="E12" s="42">
        <v>5.0</v>
      </c>
      <c r="F12" s="36"/>
      <c r="G12" s="41" t="s">
        <v>270</v>
      </c>
      <c r="H12" s="34"/>
      <c r="I12" s="42">
        <v>87.5</v>
      </c>
      <c r="J12" s="36"/>
      <c r="K12" s="41" t="s">
        <v>271</v>
      </c>
      <c r="L12" s="34"/>
      <c r="M12" s="42">
        <v>2.4</v>
      </c>
      <c r="N12" s="36"/>
    </row>
    <row r="13">
      <c r="A13" s="37"/>
      <c r="B13" s="41" t="s">
        <v>272</v>
      </c>
      <c r="C13" s="33"/>
      <c r="D13" s="34"/>
      <c r="E13" s="42">
        <v>3.0</v>
      </c>
      <c r="F13" s="36"/>
      <c r="G13" s="41" t="s">
        <v>273</v>
      </c>
      <c r="H13" s="34"/>
      <c r="I13" s="42">
        <v>1.6</v>
      </c>
      <c r="J13" s="36"/>
      <c r="K13" s="41" t="s">
        <v>274</v>
      </c>
      <c r="L13" s="34"/>
      <c r="M13" s="42">
        <v>274.7</v>
      </c>
      <c r="N13" s="36"/>
    </row>
    <row r="14">
      <c r="A14" s="37"/>
      <c r="B14" s="41" t="s">
        <v>275</v>
      </c>
      <c r="C14" s="33"/>
      <c r="D14" s="34"/>
      <c r="E14" s="42">
        <v>3.0</v>
      </c>
      <c r="F14" s="36"/>
      <c r="G14" s="36"/>
      <c r="H14" s="36"/>
      <c r="I14" s="36"/>
      <c r="J14" s="36"/>
      <c r="K14" s="41" t="s">
        <v>276</v>
      </c>
      <c r="L14" s="34"/>
      <c r="M14" s="42">
        <v>3.5</v>
      </c>
      <c r="N14" s="36"/>
    </row>
    <row r="15">
      <c r="A15" s="37"/>
      <c r="B15" s="41" t="s">
        <v>277</v>
      </c>
      <c r="C15" s="33"/>
      <c r="D15" s="34"/>
      <c r="E15" s="42">
        <v>3.0</v>
      </c>
      <c r="F15" s="36"/>
      <c r="G15" s="38" t="s">
        <v>278</v>
      </c>
      <c r="H15" s="39"/>
      <c r="I15" s="40"/>
      <c r="J15" s="36"/>
      <c r="K15" s="41" t="s">
        <v>279</v>
      </c>
      <c r="L15" s="34"/>
      <c r="M15" s="42">
        <v>7.0</v>
      </c>
      <c r="N15" s="36"/>
    </row>
    <row r="16">
      <c r="A16" s="37"/>
      <c r="B16" s="41" t="s">
        <v>280</v>
      </c>
      <c r="C16" s="33"/>
      <c r="D16" s="34"/>
      <c r="E16" s="42">
        <v>5.0</v>
      </c>
      <c r="F16" s="36"/>
      <c r="G16" s="41" t="s">
        <v>259</v>
      </c>
      <c r="H16" s="34"/>
      <c r="I16" s="42">
        <v>137.0</v>
      </c>
      <c r="J16" s="36"/>
      <c r="K16" s="41" t="s">
        <v>281</v>
      </c>
      <c r="L16" s="34"/>
      <c r="M16" s="42">
        <v>1.5</v>
      </c>
      <c r="N16" s="36"/>
      <c r="O16" s="38" t="s">
        <v>282</v>
      </c>
      <c r="P16" s="39"/>
      <c r="Q16" s="39"/>
      <c r="R16" s="39"/>
      <c r="S16" s="39"/>
      <c r="T16" s="40"/>
    </row>
    <row r="17">
      <c r="A17" s="37"/>
      <c r="B17" s="41" t="s">
        <v>283</v>
      </c>
      <c r="C17" s="33"/>
      <c r="D17" s="34"/>
      <c r="E17" s="42">
        <v>3.0</v>
      </c>
      <c r="F17" s="36"/>
      <c r="G17" s="36"/>
      <c r="H17" s="36"/>
      <c r="I17" s="36"/>
      <c r="J17" s="36"/>
      <c r="K17" s="36"/>
      <c r="L17" s="36"/>
      <c r="M17" s="36"/>
      <c r="N17" s="36"/>
      <c r="O17" s="41" t="s">
        <v>284</v>
      </c>
      <c r="P17" s="33"/>
      <c r="Q17" s="33"/>
      <c r="R17" s="33"/>
      <c r="S17" s="33"/>
      <c r="T17" s="34"/>
    </row>
    <row r="18">
      <c r="A18" s="37"/>
      <c r="B18" s="41" t="s">
        <v>285</v>
      </c>
      <c r="C18" s="33"/>
      <c r="D18" s="34"/>
      <c r="E18" s="42">
        <v>3.0</v>
      </c>
      <c r="F18" s="36"/>
      <c r="G18" s="38" t="s">
        <v>286</v>
      </c>
      <c r="H18" s="39"/>
      <c r="I18" s="40"/>
      <c r="J18" s="36"/>
      <c r="K18" s="38" t="s">
        <v>287</v>
      </c>
      <c r="L18" s="39"/>
      <c r="M18" s="40"/>
      <c r="N18" s="36"/>
    </row>
    <row r="19">
      <c r="A19" s="37"/>
      <c r="B19" s="41" t="s">
        <v>288</v>
      </c>
      <c r="C19" s="33"/>
      <c r="D19" s="34"/>
      <c r="E19" s="42">
        <v>5.0</v>
      </c>
      <c r="F19" s="36"/>
      <c r="G19" s="41" t="s">
        <v>250</v>
      </c>
      <c r="H19" s="34"/>
      <c r="I19" s="42">
        <v>321.0</v>
      </c>
      <c r="J19" s="36"/>
      <c r="K19" s="41" t="s">
        <v>289</v>
      </c>
      <c r="L19" s="34"/>
      <c r="M19" s="43">
        <v>1.45</v>
      </c>
      <c r="N19" s="42" t="s">
        <v>290</v>
      </c>
      <c r="O19" s="45" t="s">
        <v>291</v>
      </c>
      <c r="P19" s="33"/>
      <c r="Q19" s="33"/>
      <c r="R19" s="33"/>
      <c r="S19" s="33"/>
      <c r="T19" s="34"/>
    </row>
    <row r="20">
      <c r="A20" s="37"/>
      <c r="B20" s="36"/>
      <c r="C20" s="36"/>
      <c r="D20" s="36"/>
      <c r="E20" s="36"/>
      <c r="F20" s="36"/>
      <c r="G20" s="41" t="s">
        <v>28</v>
      </c>
      <c r="H20" s="34"/>
      <c r="I20" s="42">
        <v>242.0</v>
      </c>
      <c r="J20" s="36"/>
      <c r="K20" s="41" t="s">
        <v>292</v>
      </c>
      <c r="L20" s="34"/>
      <c r="M20" s="43">
        <v>0.8</v>
      </c>
      <c r="N20" s="42" t="s">
        <v>290</v>
      </c>
      <c r="O20" s="45" t="s">
        <v>293</v>
      </c>
      <c r="P20" s="33"/>
      <c r="Q20" s="33"/>
      <c r="R20" s="33"/>
      <c r="S20" s="33"/>
      <c r="T20" s="34"/>
    </row>
    <row r="21">
      <c r="A21" s="37"/>
      <c r="B21" s="38" t="s">
        <v>294</v>
      </c>
      <c r="C21" s="39"/>
      <c r="D21" s="39"/>
      <c r="E21" s="40"/>
      <c r="F21" s="36"/>
      <c r="G21" s="41" t="s">
        <v>39</v>
      </c>
      <c r="H21" s="34"/>
      <c r="I21" s="46">
        <v>1466.0</v>
      </c>
      <c r="J21" s="36"/>
      <c r="K21" s="41" t="s">
        <v>295</v>
      </c>
      <c r="L21" s="34"/>
      <c r="M21" s="42">
        <v>247.0</v>
      </c>
      <c r="N21" s="42" t="s">
        <v>290</v>
      </c>
      <c r="O21" s="45" t="s">
        <v>296</v>
      </c>
      <c r="P21" s="33"/>
      <c r="Q21" s="33"/>
      <c r="R21" s="33"/>
      <c r="S21" s="33"/>
      <c r="T21" s="34"/>
    </row>
    <row r="22">
      <c r="A22" s="37"/>
      <c r="E22" s="47"/>
      <c r="F22" s="36"/>
      <c r="G22" s="41" t="s">
        <v>259</v>
      </c>
      <c r="H22" s="34"/>
      <c r="I22" s="42">
        <v>407.0</v>
      </c>
      <c r="J22" s="36"/>
      <c r="K22" s="41" t="s">
        <v>297</v>
      </c>
      <c r="L22" s="34"/>
      <c r="M22" s="42">
        <v>314.0</v>
      </c>
      <c r="N22" s="42" t="s">
        <v>290</v>
      </c>
      <c r="O22" s="45" t="s">
        <v>296</v>
      </c>
      <c r="P22" s="33"/>
      <c r="Q22" s="33"/>
      <c r="R22" s="33"/>
      <c r="S22" s="33"/>
      <c r="T22" s="34"/>
    </row>
    <row r="23">
      <c r="A23" s="37"/>
      <c r="B23" s="41" t="s">
        <v>298</v>
      </c>
      <c r="C23" s="33"/>
      <c r="D23" s="34"/>
      <c r="E23" s="43">
        <v>0.19</v>
      </c>
      <c r="F23" s="36"/>
      <c r="G23" s="41" t="s">
        <v>299</v>
      </c>
      <c r="H23" s="34"/>
      <c r="I23" s="48">
        <v>0.1233</v>
      </c>
      <c r="J23" s="36"/>
      <c r="K23" s="41" t="s">
        <v>300</v>
      </c>
      <c r="L23" s="34"/>
      <c r="M23" s="42">
        <v>4.0</v>
      </c>
      <c r="N23" s="42" t="s">
        <v>290</v>
      </c>
      <c r="O23" s="45" t="s">
        <v>301</v>
      </c>
      <c r="P23" s="33"/>
      <c r="Q23" s="33"/>
      <c r="R23" s="33"/>
      <c r="S23" s="33"/>
      <c r="T23" s="34"/>
    </row>
    <row r="24">
      <c r="A24" s="37"/>
      <c r="B24" s="36"/>
      <c r="C24" s="36"/>
      <c r="D24" s="36"/>
      <c r="E24" s="36"/>
      <c r="F24" s="36"/>
      <c r="G24" s="36"/>
      <c r="H24" s="36"/>
      <c r="I24" s="36"/>
      <c r="J24" s="36"/>
      <c r="K24" s="41" t="s">
        <v>302</v>
      </c>
      <c r="L24" s="34"/>
      <c r="M24" s="42">
        <v>7.0</v>
      </c>
      <c r="N24" s="42" t="s">
        <v>290</v>
      </c>
      <c r="O24" s="45" t="s">
        <v>301</v>
      </c>
      <c r="P24" s="33"/>
      <c r="Q24" s="33"/>
      <c r="R24" s="33"/>
      <c r="S24" s="33"/>
      <c r="T24" s="34"/>
    </row>
    <row r="25">
      <c r="A25" s="37"/>
      <c r="B25" s="36"/>
      <c r="C25" s="49"/>
      <c r="D25" s="49"/>
      <c r="E25" s="49"/>
      <c r="F25" s="36"/>
      <c r="G25" s="49"/>
      <c r="H25" s="49"/>
      <c r="I25" s="49"/>
      <c r="J25" s="36"/>
      <c r="K25" s="49"/>
      <c r="L25" s="49"/>
      <c r="M25" s="49"/>
      <c r="N25" s="36"/>
    </row>
    <row r="26">
      <c r="A26" s="37"/>
      <c r="B26" s="49"/>
      <c r="C26" s="50" t="s">
        <v>303</v>
      </c>
      <c r="D26" s="39"/>
      <c r="E26" s="40"/>
      <c r="F26" s="49"/>
      <c r="G26" s="50" t="s">
        <v>304</v>
      </c>
      <c r="H26" s="39"/>
      <c r="I26" s="40"/>
      <c r="J26" s="49"/>
      <c r="K26" s="50" t="s">
        <v>305</v>
      </c>
      <c r="L26" s="39"/>
      <c r="M26" s="40"/>
      <c r="N26" s="47"/>
    </row>
    <row r="27">
      <c r="A27" s="37"/>
      <c r="B27" s="49"/>
      <c r="C27" s="51" t="s">
        <v>217</v>
      </c>
      <c r="D27" s="34"/>
      <c r="E27" s="52">
        <v>17.0</v>
      </c>
      <c r="F27" s="49"/>
      <c r="G27" s="51" t="s">
        <v>217</v>
      </c>
      <c r="H27" s="34"/>
      <c r="I27" s="52">
        <v>2.0</v>
      </c>
      <c r="J27" s="49"/>
      <c r="K27" s="51" t="s">
        <v>217</v>
      </c>
      <c r="L27" s="34"/>
      <c r="M27" s="52">
        <v>13.0</v>
      </c>
      <c r="N27" s="42" t="s">
        <v>290</v>
      </c>
      <c r="O27" s="45" t="s">
        <v>306</v>
      </c>
      <c r="P27" s="33"/>
      <c r="Q27" s="33"/>
      <c r="R27" s="33"/>
      <c r="S27" s="33"/>
      <c r="T27" s="34"/>
    </row>
    <row r="28">
      <c r="A28" s="37"/>
      <c r="B28" s="49"/>
      <c r="C28" s="51" t="s">
        <v>307</v>
      </c>
      <c r="D28" s="34"/>
      <c r="E28" s="52">
        <v>307.0</v>
      </c>
      <c r="F28" s="49"/>
      <c r="G28" s="51" t="s">
        <v>307</v>
      </c>
      <c r="H28" s="34"/>
      <c r="I28" s="52">
        <v>201.0</v>
      </c>
      <c r="J28" s="53">
        <v>201.0</v>
      </c>
      <c r="K28" s="51" t="s">
        <v>307</v>
      </c>
      <c r="L28" s="34"/>
      <c r="M28" s="52">
        <v>220.0</v>
      </c>
      <c r="N28" s="42" t="s">
        <v>290</v>
      </c>
      <c r="O28" s="45" t="s">
        <v>308</v>
      </c>
      <c r="P28" s="33"/>
      <c r="Q28" s="33"/>
      <c r="R28" s="33"/>
      <c r="S28" s="33"/>
      <c r="T28" s="34"/>
    </row>
    <row r="29">
      <c r="A29" s="37"/>
      <c r="B29" s="49"/>
      <c r="C29" s="54" t="s">
        <v>309</v>
      </c>
      <c r="D29" s="40"/>
      <c r="E29" s="52">
        <v>671.0</v>
      </c>
      <c r="F29" s="49"/>
      <c r="G29" s="54" t="s">
        <v>309</v>
      </c>
      <c r="H29" s="40"/>
      <c r="I29" s="52">
        <v>369.0</v>
      </c>
      <c r="J29" s="53">
        <f>((414+506)/2)/1.19</f>
        <v>386.5546218</v>
      </c>
      <c r="K29" s="54" t="s">
        <v>309</v>
      </c>
      <c r="L29" s="40"/>
      <c r="M29" s="52">
        <v>167.0</v>
      </c>
      <c r="N29" s="42" t="s">
        <v>290</v>
      </c>
      <c r="O29" s="45" t="s">
        <v>296</v>
      </c>
      <c r="P29" s="33"/>
      <c r="Q29" s="33"/>
      <c r="R29" s="33"/>
      <c r="S29" s="33"/>
      <c r="T29" s="34"/>
    </row>
    <row r="30">
      <c r="A30" s="37"/>
      <c r="B30" s="49"/>
      <c r="C30" s="51" t="s">
        <v>310</v>
      </c>
      <c r="D30" s="34"/>
      <c r="E30" s="55">
        <v>1418.0</v>
      </c>
      <c r="F30" s="49"/>
      <c r="G30" s="51" t="s">
        <v>310</v>
      </c>
      <c r="H30" s="34"/>
      <c r="I30" s="52">
        <v>826.0</v>
      </c>
      <c r="J30">
        <f>J29*M19</f>
        <v>560.5042017</v>
      </c>
      <c r="K30" s="51" t="s">
        <v>310</v>
      </c>
      <c r="L30" s="34"/>
      <c r="M30" s="52">
        <v>561.0</v>
      </c>
      <c r="N30" s="42" t="s">
        <v>290</v>
      </c>
      <c r="O30" s="45" t="s">
        <v>311</v>
      </c>
      <c r="P30" s="33"/>
      <c r="Q30" s="33"/>
      <c r="R30" s="33"/>
      <c r="S30" s="33"/>
      <c r="T30" s="34"/>
    </row>
    <row r="31">
      <c r="A31" s="37"/>
      <c r="B31" s="49"/>
      <c r="C31" s="51" t="s">
        <v>312</v>
      </c>
      <c r="D31" s="34"/>
      <c r="E31" s="55">
        <v>2391.0</v>
      </c>
      <c r="F31" s="49"/>
      <c r="G31" s="51" t="s">
        <v>312</v>
      </c>
      <c r="H31" s="34"/>
      <c r="I31" s="55">
        <v>1361.0</v>
      </c>
      <c r="J31" s="49"/>
      <c r="K31" s="51" t="s">
        <v>312</v>
      </c>
      <c r="L31" s="34"/>
      <c r="M31" s="52">
        <v>803.0</v>
      </c>
      <c r="N31" s="42" t="s">
        <v>290</v>
      </c>
      <c r="O31" s="45" t="s">
        <v>313</v>
      </c>
      <c r="P31" s="33"/>
      <c r="Q31" s="33"/>
      <c r="R31" s="33"/>
      <c r="S31" s="33"/>
      <c r="T31" s="34"/>
    </row>
    <row r="32">
      <c r="A32" s="37"/>
      <c r="B32" s="49"/>
      <c r="C32" s="54" t="s">
        <v>314</v>
      </c>
      <c r="D32" s="40"/>
      <c r="E32" s="55">
        <v>1538.0</v>
      </c>
      <c r="F32" s="49"/>
      <c r="G32" s="54" t="s">
        <v>314</v>
      </c>
      <c r="H32" s="40"/>
      <c r="I32" s="52">
        <v>892.0</v>
      </c>
      <c r="J32" s="49"/>
      <c r="K32" s="54" t="s">
        <v>314</v>
      </c>
      <c r="L32" s="40"/>
      <c r="M32" s="52">
        <v>591.0</v>
      </c>
      <c r="N32" s="42" t="s">
        <v>290</v>
      </c>
      <c r="O32" s="45" t="s">
        <v>315</v>
      </c>
      <c r="P32" s="33"/>
      <c r="Q32" s="33"/>
      <c r="R32" s="33"/>
      <c r="S32" s="33"/>
      <c r="T32" s="34"/>
    </row>
    <row r="33">
      <c r="A33" s="37"/>
      <c r="B33" s="49"/>
      <c r="C33" s="51" t="s">
        <v>316</v>
      </c>
      <c r="D33" s="34"/>
      <c r="E33" s="56">
        <v>90.0</v>
      </c>
      <c r="F33" s="49"/>
      <c r="G33" s="51" t="s">
        <v>316</v>
      </c>
      <c r="H33" s="34"/>
      <c r="I33" s="56">
        <v>446.0</v>
      </c>
      <c r="J33" s="49"/>
      <c r="K33" s="51" t="s">
        <v>316</v>
      </c>
      <c r="L33" s="34"/>
      <c r="M33" s="56">
        <v>45.0</v>
      </c>
      <c r="N33" s="42" t="s">
        <v>290</v>
      </c>
      <c r="O33" s="45" t="s">
        <v>317</v>
      </c>
      <c r="P33" s="33"/>
      <c r="Q33" s="33"/>
      <c r="R33" s="33"/>
      <c r="S33" s="33"/>
      <c r="T33" s="34"/>
    </row>
    <row r="34">
      <c r="A34" s="37"/>
      <c r="B34" s="49"/>
      <c r="C34" s="54" t="s">
        <v>318</v>
      </c>
      <c r="D34" s="40"/>
      <c r="E34" s="57">
        <v>1026.0</v>
      </c>
      <c r="F34" s="49"/>
      <c r="G34" s="54" t="s">
        <v>318</v>
      </c>
      <c r="H34" s="40"/>
      <c r="I34" s="56">
        <v>595.0</v>
      </c>
      <c r="J34" s="49"/>
      <c r="K34" s="54" t="s">
        <v>318</v>
      </c>
      <c r="L34" s="40"/>
      <c r="M34" s="56">
        <v>369.0</v>
      </c>
      <c r="N34" s="42" t="s">
        <v>290</v>
      </c>
      <c r="O34" s="45" t="s">
        <v>319</v>
      </c>
      <c r="P34" s="33"/>
      <c r="Q34" s="33"/>
      <c r="R34" s="33"/>
      <c r="S34" s="33"/>
      <c r="T34" s="34"/>
    </row>
    <row r="35">
      <c r="A35" s="37"/>
      <c r="B35" s="36"/>
      <c r="C35" s="49"/>
      <c r="D35" s="49"/>
      <c r="E35" s="49"/>
      <c r="F35" s="49"/>
      <c r="G35" s="49"/>
      <c r="H35" s="49"/>
      <c r="I35" s="49"/>
      <c r="J35" s="49"/>
      <c r="K35" s="47"/>
      <c r="L35" s="49"/>
      <c r="M35" s="49"/>
      <c r="N35" s="49"/>
    </row>
    <row r="36">
      <c r="A36" s="37"/>
      <c r="B36" s="49"/>
      <c r="C36" s="50" t="s">
        <v>320</v>
      </c>
      <c r="D36" s="40"/>
      <c r="E36" s="56">
        <v>0.0</v>
      </c>
      <c r="F36" s="56">
        <v>1.0</v>
      </c>
      <c r="G36" s="56">
        <v>2.0</v>
      </c>
      <c r="H36" s="56">
        <v>3.0</v>
      </c>
      <c r="I36" s="56">
        <v>4.0</v>
      </c>
      <c r="J36" s="56">
        <v>5.0</v>
      </c>
      <c r="K36" s="49"/>
      <c r="L36" s="50" t="s">
        <v>321</v>
      </c>
      <c r="M36" s="39"/>
      <c r="N36" s="40"/>
    </row>
    <row r="37">
      <c r="A37" s="37"/>
      <c r="B37" s="49"/>
      <c r="C37" s="51" t="s">
        <v>217</v>
      </c>
      <c r="D37" s="34"/>
      <c r="E37" s="52">
        <v>12.0</v>
      </c>
      <c r="F37" s="58">
        <v>12.0</v>
      </c>
      <c r="G37" s="58">
        <v>12.0</v>
      </c>
      <c r="H37" s="58">
        <v>12.0</v>
      </c>
      <c r="I37" s="58">
        <v>12.0</v>
      </c>
      <c r="J37" s="58">
        <v>12.0</v>
      </c>
      <c r="K37" s="49"/>
      <c r="L37" s="51" t="s">
        <v>217</v>
      </c>
      <c r="M37" s="34"/>
      <c r="N37" s="52">
        <v>9.0</v>
      </c>
    </row>
    <row r="38">
      <c r="A38" s="37"/>
      <c r="B38" s="49"/>
      <c r="C38" s="51" t="s">
        <v>307</v>
      </c>
      <c r="D38" s="34"/>
      <c r="E38" s="52">
        <v>101.0</v>
      </c>
      <c r="F38" s="58">
        <v>101.0</v>
      </c>
      <c r="G38" s="58">
        <v>101.0</v>
      </c>
      <c r="H38" s="58">
        <v>101.0</v>
      </c>
      <c r="I38" s="58">
        <v>101.0</v>
      </c>
      <c r="J38" s="58">
        <v>101.0</v>
      </c>
      <c r="K38" s="49"/>
      <c r="L38" s="54" t="s">
        <v>307</v>
      </c>
      <c r="M38" s="40"/>
      <c r="N38" s="52">
        <v>301.0</v>
      </c>
    </row>
    <row r="39">
      <c r="A39" s="37"/>
      <c r="B39" s="49"/>
      <c r="C39" s="54" t="s">
        <v>309</v>
      </c>
      <c r="D39" s="40"/>
      <c r="E39" s="52">
        <v>157.0</v>
      </c>
      <c r="F39" s="52">
        <v>185.0</v>
      </c>
      <c r="G39" s="52">
        <v>213.0</v>
      </c>
      <c r="H39" s="52">
        <v>217.0</v>
      </c>
      <c r="I39" s="52">
        <v>269.0</v>
      </c>
      <c r="J39" s="52">
        <v>297.0</v>
      </c>
      <c r="K39" s="49"/>
      <c r="L39" s="54" t="s">
        <v>314</v>
      </c>
      <c r="M39" s="40"/>
      <c r="N39" s="52">
        <v>436.0</v>
      </c>
    </row>
    <row r="40">
      <c r="A40" s="37"/>
      <c r="B40" s="49"/>
      <c r="C40" s="51" t="s">
        <v>310</v>
      </c>
      <c r="D40" s="34"/>
      <c r="E40" s="52">
        <v>374.0</v>
      </c>
      <c r="F40" s="52">
        <v>415.0</v>
      </c>
      <c r="G40" s="52">
        <v>455.0</v>
      </c>
      <c r="H40" s="52">
        <v>461.0</v>
      </c>
      <c r="I40" s="52">
        <v>537.0</v>
      </c>
      <c r="J40" s="52">
        <v>577.0</v>
      </c>
      <c r="K40" s="49"/>
      <c r="L40" s="51" t="s">
        <v>316</v>
      </c>
      <c r="M40" s="34"/>
      <c r="N40" s="56">
        <v>48.0</v>
      </c>
    </row>
    <row r="41">
      <c r="A41" s="37"/>
      <c r="B41" s="49"/>
      <c r="C41" s="51" t="s">
        <v>312</v>
      </c>
      <c r="D41" s="34"/>
      <c r="E41" s="52">
        <v>602.0</v>
      </c>
      <c r="F41" s="52">
        <v>683.0</v>
      </c>
      <c r="G41" s="52">
        <v>764.0</v>
      </c>
      <c r="H41" s="52">
        <v>776.0</v>
      </c>
      <c r="I41" s="52">
        <v>927.0</v>
      </c>
      <c r="J41" s="55">
        <v>1008.0</v>
      </c>
      <c r="K41" s="49"/>
      <c r="L41" s="54" t="s">
        <v>318</v>
      </c>
      <c r="M41" s="40"/>
      <c r="N41" s="56">
        <v>291.0</v>
      </c>
    </row>
    <row r="42">
      <c r="A42" s="37"/>
      <c r="B42" s="49"/>
      <c r="C42" s="54" t="s">
        <v>314</v>
      </c>
      <c r="D42" s="40"/>
      <c r="E42" s="52">
        <v>402.0</v>
      </c>
      <c r="F42" s="52">
        <v>448.0</v>
      </c>
      <c r="G42" s="52">
        <v>493.0</v>
      </c>
      <c r="H42" s="52">
        <v>500.0</v>
      </c>
      <c r="I42" s="52">
        <v>585.0</v>
      </c>
      <c r="J42" s="52">
        <v>631.0</v>
      </c>
      <c r="K42" s="47"/>
      <c r="L42" s="47"/>
      <c r="M42" s="47"/>
      <c r="N42" s="47"/>
    </row>
    <row r="43">
      <c r="A43" s="37"/>
      <c r="B43" s="49"/>
      <c r="C43" s="51" t="s">
        <v>316</v>
      </c>
      <c r="D43" s="34"/>
      <c r="E43" s="56">
        <v>34.0</v>
      </c>
      <c r="F43" s="56">
        <v>37.0</v>
      </c>
      <c r="G43" s="56">
        <v>41.0</v>
      </c>
      <c r="H43" s="56">
        <v>42.0</v>
      </c>
      <c r="I43" s="56">
        <v>49.0</v>
      </c>
      <c r="J43" s="56">
        <v>53.0</v>
      </c>
      <c r="K43" s="47"/>
      <c r="L43" s="36"/>
      <c r="M43" s="36"/>
      <c r="N43" s="36"/>
    </row>
    <row r="44">
      <c r="A44" s="37"/>
      <c r="B44" s="49"/>
      <c r="C44" s="54" t="s">
        <v>318</v>
      </c>
      <c r="D44" s="40"/>
      <c r="E44" s="56">
        <v>268.0</v>
      </c>
      <c r="F44" s="56">
        <v>299.0</v>
      </c>
      <c r="G44" s="56">
        <v>329.0</v>
      </c>
      <c r="H44" s="56">
        <v>333.0</v>
      </c>
      <c r="I44" s="56">
        <v>390.0</v>
      </c>
      <c r="J44" s="56">
        <v>420.0</v>
      </c>
      <c r="K44" s="47"/>
      <c r="L44" s="36"/>
      <c r="M44" s="36"/>
      <c r="N44" s="36"/>
    </row>
    <row r="45">
      <c r="A45" s="37"/>
      <c r="B45" s="36"/>
      <c r="C45" s="47"/>
      <c r="D45" s="47"/>
      <c r="E45" s="47"/>
      <c r="F45" s="47"/>
      <c r="G45" s="47"/>
      <c r="H45" s="47"/>
      <c r="I45" s="47"/>
      <c r="J45" s="47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>
      <c r="A46" s="37"/>
      <c r="B46" s="36"/>
      <c r="C46" s="49"/>
      <c r="D46" s="49"/>
      <c r="E46" s="49"/>
      <c r="F46" s="49"/>
      <c r="G46" s="36"/>
      <c r="H46" s="49"/>
      <c r="I46" s="49"/>
      <c r="J46" s="49"/>
      <c r="K46" s="49"/>
      <c r="L46" s="36"/>
      <c r="M46" s="49"/>
      <c r="N46" s="49"/>
      <c r="O46" s="49"/>
      <c r="P46" s="49"/>
      <c r="Q46" s="36"/>
      <c r="R46" s="36"/>
      <c r="S46" s="36"/>
      <c r="T46" s="36"/>
    </row>
    <row r="47">
      <c r="A47" s="37"/>
      <c r="B47" s="49"/>
      <c r="C47" s="59" t="s">
        <v>322</v>
      </c>
      <c r="D47" s="39"/>
      <c r="E47" s="39"/>
      <c r="F47" s="40"/>
      <c r="G47" s="49"/>
      <c r="H47" s="59" t="s">
        <v>323</v>
      </c>
      <c r="I47" s="39"/>
      <c r="J47" s="39"/>
      <c r="K47" s="40"/>
      <c r="L47" s="49"/>
      <c r="M47" s="59" t="s">
        <v>324</v>
      </c>
      <c r="N47" s="39"/>
      <c r="O47" s="39"/>
      <c r="P47" s="40"/>
      <c r="Q47" s="47"/>
      <c r="R47" s="36"/>
      <c r="S47" s="36"/>
      <c r="T47" s="36"/>
    </row>
    <row r="48">
      <c r="A48" s="37"/>
      <c r="B48" s="49"/>
      <c r="C48" s="60" t="s">
        <v>325</v>
      </c>
      <c r="D48" s="33"/>
      <c r="E48" s="34"/>
      <c r="F48" s="61">
        <v>1538.0</v>
      </c>
      <c r="G48" s="49"/>
      <c r="H48" s="60" t="s">
        <v>325</v>
      </c>
      <c r="I48" s="33"/>
      <c r="J48" s="34"/>
      <c r="K48" s="61">
        <v>1538.0</v>
      </c>
      <c r="L48" s="49"/>
      <c r="M48" s="60" t="s">
        <v>325</v>
      </c>
      <c r="N48" s="33"/>
      <c r="O48" s="34"/>
      <c r="P48" s="61">
        <v>1538.0</v>
      </c>
      <c r="Q48" s="47"/>
      <c r="R48" s="36"/>
      <c r="S48" s="36"/>
      <c r="T48" s="36"/>
    </row>
    <row r="49">
      <c r="A49" s="37"/>
      <c r="B49" s="49"/>
      <c r="C49" s="60" t="s">
        <v>326</v>
      </c>
      <c r="D49" s="33"/>
      <c r="E49" s="34"/>
      <c r="F49" s="62">
        <v>892.0</v>
      </c>
      <c r="G49" s="49"/>
      <c r="H49" s="60" t="s">
        <v>326</v>
      </c>
      <c r="I49" s="33"/>
      <c r="J49" s="34"/>
      <c r="K49" s="62">
        <v>892.0</v>
      </c>
      <c r="L49" s="49"/>
      <c r="M49" s="60" t="s">
        <v>327</v>
      </c>
      <c r="N49" s="33"/>
      <c r="O49" s="34"/>
      <c r="P49" s="62">
        <v>631.0</v>
      </c>
      <c r="Q49" s="47"/>
      <c r="R49" s="36"/>
      <c r="S49" s="36"/>
      <c r="T49" s="36"/>
    </row>
    <row r="50">
      <c r="A50" s="37"/>
      <c r="B50" s="49"/>
      <c r="C50" s="60" t="s">
        <v>328</v>
      </c>
      <c r="D50" s="33"/>
      <c r="E50" s="34"/>
      <c r="F50" s="62">
        <v>436.0</v>
      </c>
      <c r="G50" s="49"/>
      <c r="H50" s="60" t="s">
        <v>327</v>
      </c>
      <c r="I50" s="33"/>
      <c r="J50" s="34"/>
      <c r="K50" s="62">
        <v>631.0</v>
      </c>
      <c r="L50" s="49"/>
      <c r="M50" s="60" t="s">
        <v>327</v>
      </c>
      <c r="N50" s="33"/>
      <c r="O50" s="34"/>
      <c r="P50" s="62">
        <v>631.0</v>
      </c>
      <c r="Q50" s="47"/>
      <c r="R50" s="36"/>
      <c r="S50" s="36"/>
      <c r="T50" s="36"/>
    </row>
    <row r="51">
      <c r="A51" s="37"/>
      <c r="B51" s="49"/>
      <c r="C51" s="63" t="s">
        <v>328</v>
      </c>
      <c r="D51" s="39"/>
      <c r="E51" s="40"/>
      <c r="F51" s="62">
        <v>436.0</v>
      </c>
      <c r="G51" s="49"/>
      <c r="H51" s="63" t="s">
        <v>327</v>
      </c>
      <c r="I51" s="39"/>
      <c r="J51" s="40"/>
      <c r="K51" s="62">
        <v>631.0</v>
      </c>
      <c r="L51" s="49"/>
      <c r="M51" s="63" t="s">
        <v>327</v>
      </c>
      <c r="N51" s="39"/>
      <c r="O51" s="40"/>
      <c r="P51" s="62">
        <v>631.0</v>
      </c>
      <c r="Q51" s="47"/>
      <c r="R51" s="36"/>
      <c r="S51" s="36"/>
      <c r="T51" s="36"/>
    </row>
    <row r="52">
      <c r="A52" s="37"/>
      <c r="B52" s="49"/>
      <c r="C52" s="63" t="s">
        <v>329</v>
      </c>
      <c r="D52" s="39"/>
      <c r="E52" s="40"/>
      <c r="F52" s="61">
        <v>3303.0</v>
      </c>
      <c r="G52" s="49"/>
      <c r="H52" s="63" t="s">
        <v>329</v>
      </c>
      <c r="I52" s="39"/>
      <c r="J52" s="40"/>
      <c r="K52" s="61">
        <v>3692.0</v>
      </c>
      <c r="L52" s="49"/>
      <c r="M52" s="63" t="s">
        <v>329</v>
      </c>
      <c r="N52" s="39"/>
      <c r="O52" s="40"/>
      <c r="P52" s="61">
        <v>3430.0</v>
      </c>
      <c r="Q52" s="47"/>
      <c r="R52" s="36"/>
      <c r="S52" s="36"/>
      <c r="T52" s="36"/>
    </row>
    <row r="53">
      <c r="A53" s="37"/>
      <c r="B53" s="49"/>
      <c r="C53" s="60" t="s">
        <v>330</v>
      </c>
      <c r="D53" s="33"/>
      <c r="E53" s="34"/>
      <c r="F53" s="62">
        <v>251.0</v>
      </c>
      <c r="G53" s="49"/>
      <c r="H53" s="60" t="s">
        <v>330</v>
      </c>
      <c r="I53" s="33"/>
      <c r="J53" s="34"/>
      <c r="K53" s="62">
        <v>251.0</v>
      </c>
      <c r="L53" s="49"/>
      <c r="M53" s="60" t="s">
        <v>330</v>
      </c>
      <c r="N53" s="33"/>
      <c r="O53" s="34"/>
      <c r="P53" s="62">
        <v>251.0</v>
      </c>
      <c r="Q53" s="47"/>
      <c r="R53" s="36"/>
      <c r="S53" s="36"/>
      <c r="T53" s="36"/>
    </row>
    <row r="54">
      <c r="A54" s="37"/>
      <c r="B54" s="49"/>
      <c r="C54" s="63" t="s">
        <v>331</v>
      </c>
      <c r="D54" s="39"/>
      <c r="E54" s="40"/>
      <c r="F54" s="64">
        <v>802.0</v>
      </c>
      <c r="G54" s="49"/>
      <c r="H54" s="63" t="s">
        <v>331</v>
      </c>
      <c r="I54" s="39"/>
      <c r="J54" s="40"/>
      <c r="K54" s="64">
        <v>866.0</v>
      </c>
      <c r="L54" s="49"/>
      <c r="M54" s="63" t="s">
        <v>331</v>
      </c>
      <c r="N54" s="39"/>
      <c r="O54" s="40"/>
      <c r="P54" s="64">
        <v>823.0</v>
      </c>
      <c r="Q54" s="47"/>
      <c r="R54" s="36"/>
      <c r="S54" s="36"/>
      <c r="T54" s="36"/>
    </row>
    <row r="55">
      <c r="A55" s="37"/>
      <c r="B55" s="49"/>
      <c r="C55" s="60" t="s">
        <v>332</v>
      </c>
      <c r="D55" s="33"/>
      <c r="E55" s="34"/>
      <c r="F55" s="65">
        <v>1774.0</v>
      </c>
      <c r="G55" s="49"/>
      <c r="H55" s="60" t="s">
        <v>332</v>
      </c>
      <c r="I55" s="33"/>
      <c r="J55" s="34"/>
      <c r="K55" s="65">
        <v>1918.0</v>
      </c>
      <c r="L55" s="49"/>
      <c r="M55" s="60" t="s">
        <v>332</v>
      </c>
      <c r="N55" s="33"/>
      <c r="O55" s="34"/>
      <c r="P55" s="65">
        <v>1821.0</v>
      </c>
      <c r="Q55" s="47"/>
      <c r="R55" s="36"/>
      <c r="S55" s="36"/>
      <c r="T55" s="36"/>
    </row>
    <row r="56">
      <c r="A56" s="37"/>
      <c r="B56" s="49"/>
      <c r="C56" s="60" t="s">
        <v>333</v>
      </c>
      <c r="D56" s="33"/>
      <c r="E56" s="34"/>
      <c r="F56" s="65">
        <v>1575.0</v>
      </c>
      <c r="G56" s="49"/>
      <c r="H56" s="60" t="s">
        <v>333</v>
      </c>
      <c r="I56" s="33"/>
      <c r="J56" s="34"/>
      <c r="K56" s="65">
        <v>1702.0</v>
      </c>
      <c r="L56" s="49"/>
      <c r="M56" s="60" t="s">
        <v>333</v>
      </c>
      <c r="N56" s="33"/>
      <c r="O56" s="34"/>
      <c r="P56" s="65">
        <v>1616.0</v>
      </c>
      <c r="Q56" s="47"/>
      <c r="R56" s="36"/>
      <c r="S56" s="36"/>
      <c r="T56" s="36"/>
    </row>
    <row r="57">
      <c r="A57" s="37"/>
      <c r="B57" s="49"/>
      <c r="C57" s="60" t="s">
        <v>334</v>
      </c>
      <c r="D57" s="33"/>
      <c r="E57" s="34"/>
      <c r="F57" s="65">
        <v>1260.0</v>
      </c>
      <c r="G57" s="49"/>
      <c r="H57" s="60" t="s">
        <v>334</v>
      </c>
      <c r="I57" s="33"/>
      <c r="J57" s="34"/>
      <c r="K57" s="65">
        <v>1361.0</v>
      </c>
      <c r="L57" s="49"/>
      <c r="M57" s="60" t="s">
        <v>334</v>
      </c>
      <c r="N57" s="33"/>
      <c r="O57" s="34"/>
      <c r="P57" s="65">
        <v>1293.0</v>
      </c>
      <c r="Q57" s="47"/>
      <c r="R57" s="36"/>
      <c r="S57" s="36"/>
      <c r="T57" s="36"/>
    </row>
    <row r="58">
      <c r="A58" s="37"/>
      <c r="B58" s="49"/>
      <c r="C58" s="63" t="s">
        <v>335</v>
      </c>
      <c r="D58" s="39"/>
      <c r="E58" s="40"/>
      <c r="F58" s="65">
        <v>1489.0</v>
      </c>
      <c r="G58" s="49"/>
      <c r="H58" s="63" t="s">
        <v>335</v>
      </c>
      <c r="I58" s="39"/>
      <c r="J58" s="40"/>
      <c r="K58" s="65">
        <v>1609.0</v>
      </c>
      <c r="L58" s="49"/>
      <c r="M58" s="63" t="s">
        <v>335</v>
      </c>
      <c r="N58" s="39"/>
      <c r="O58" s="40"/>
      <c r="P58" s="65">
        <v>1528.0</v>
      </c>
      <c r="Q58" s="47"/>
      <c r="R58" s="36"/>
      <c r="S58" s="36"/>
      <c r="T58" s="36"/>
    </row>
    <row r="59">
      <c r="A59" s="37"/>
      <c r="B59" s="49"/>
      <c r="C59" s="66" t="s">
        <v>336</v>
      </c>
      <c r="D59" s="39"/>
      <c r="E59" s="39"/>
      <c r="F59" s="40"/>
      <c r="G59" s="49"/>
      <c r="H59" s="66" t="s">
        <v>336</v>
      </c>
      <c r="I59" s="39"/>
      <c r="J59" s="39"/>
      <c r="K59" s="40"/>
      <c r="L59" s="49"/>
      <c r="M59" s="66" t="s">
        <v>336</v>
      </c>
      <c r="N59" s="39"/>
      <c r="O59" s="39"/>
      <c r="P59" s="40"/>
      <c r="Q59" s="47"/>
      <c r="R59" s="36"/>
      <c r="S59" s="36"/>
      <c r="T59" s="36"/>
    </row>
    <row r="60">
      <c r="A60" s="37"/>
      <c r="B60" s="49"/>
      <c r="C60" s="60" t="s">
        <v>337</v>
      </c>
      <c r="D60" s="33"/>
      <c r="E60" s="34"/>
      <c r="F60" s="62">
        <v>369.0</v>
      </c>
      <c r="G60" s="49"/>
      <c r="H60" s="60" t="s">
        <v>337</v>
      </c>
      <c r="I60" s="33"/>
      <c r="J60" s="34"/>
      <c r="K60" s="62">
        <v>369.0</v>
      </c>
      <c r="L60" s="49"/>
      <c r="M60" s="60" t="s">
        <v>337</v>
      </c>
      <c r="N60" s="33"/>
      <c r="O60" s="34"/>
      <c r="P60" s="62">
        <v>369.0</v>
      </c>
      <c r="Q60" s="47"/>
      <c r="R60" s="36"/>
      <c r="S60" s="36"/>
      <c r="T60" s="36"/>
    </row>
    <row r="61">
      <c r="A61" s="37"/>
      <c r="B61" s="49"/>
      <c r="C61" s="63" t="s">
        <v>331</v>
      </c>
      <c r="D61" s="39"/>
      <c r="E61" s="40"/>
      <c r="F61" s="65">
        <v>1171.0</v>
      </c>
      <c r="G61" s="49"/>
      <c r="H61" s="63" t="s">
        <v>331</v>
      </c>
      <c r="I61" s="39"/>
      <c r="J61" s="40"/>
      <c r="K61" s="65">
        <v>1236.0</v>
      </c>
      <c r="L61" s="49"/>
      <c r="M61" s="63" t="s">
        <v>331</v>
      </c>
      <c r="N61" s="39"/>
      <c r="O61" s="40"/>
      <c r="P61" s="65">
        <v>1192.0</v>
      </c>
      <c r="Q61" s="47"/>
      <c r="R61" s="36"/>
      <c r="S61" s="36"/>
      <c r="T61" s="36"/>
    </row>
    <row r="62">
      <c r="A62" s="37"/>
      <c r="B62" s="49"/>
      <c r="C62" s="60" t="s">
        <v>332</v>
      </c>
      <c r="D62" s="33"/>
      <c r="E62" s="34"/>
      <c r="F62" s="65">
        <v>2591.0</v>
      </c>
      <c r="G62" s="49"/>
      <c r="H62" s="60" t="s">
        <v>332</v>
      </c>
      <c r="I62" s="33"/>
      <c r="J62" s="34"/>
      <c r="K62" s="65">
        <v>2735.0</v>
      </c>
      <c r="L62" s="49"/>
      <c r="M62" s="60" t="s">
        <v>332</v>
      </c>
      <c r="N62" s="33"/>
      <c r="O62" s="34"/>
      <c r="P62" s="65">
        <v>2638.0</v>
      </c>
      <c r="Q62" s="47"/>
      <c r="R62" s="36"/>
      <c r="S62" s="36"/>
      <c r="T62" s="36"/>
    </row>
    <row r="63">
      <c r="A63" s="37"/>
      <c r="B63" s="49"/>
      <c r="C63" s="60" t="s">
        <v>333</v>
      </c>
      <c r="D63" s="33"/>
      <c r="E63" s="34"/>
      <c r="F63" s="65">
        <v>2300.0</v>
      </c>
      <c r="G63" s="49"/>
      <c r="H63" s="60" t="s">
        <v>333</v>
      </c>
      <c r="I63" s="33"/>
      <c r="J63" s="34"/>
      <c r="K63" s="65">
        <v>2427.0</v>
      </c>
      <c r="L63" s="49"/>
      <c r="M63" s="60" t="s">
        <v>333</v>
      </c>
      <c r="N63" s="33"/>
      <c r="O63" s="34"/>
      <c r="P63" s="65">
        <v>2341.0</v>
      </c>
      <c r="Q63" s="47"/>
      <c r="R63" s="36"/>
      <c r="S63" s="36"/>
      <c r="T63" s="36"/>
    </row>
    <row r="64">
      <c r="A64" s="37"/>
      <c r="B64" s="49"/>
      <c r="C64" s="60" t="s">
        <v>334</v>
      </c>
      <c r="D64" s="33"/>
      <c r="E64" s="34"/>
      <c r="F64" s="65">
        <v>1840.0</v>
      </c>
      <c r="G64" s="49"/>
      <c r="H64" s="60" t="s">
        <v>334</v>
      </c>
      <c r="I64" s="33"/>
      <c r="J64" s="34"/>
      <c r="K64" s="65">
        <v>1942.0</v>
      </c>
      <c r="L64" s="49"/>
      <c r="M64" s="60" t="s">
        <v>334</v>
      </c>
      <c r="N64" s="33"/>
      <c r="O64" s="34"/>
      <c r="P64" s="65">
        <v>1873.0</v>
      </c>
      <c r="Q64" s="47"/>
      <c r="R64" s="36"/>
      <c r="S64" s="36"/>
      <c r="T64" s="36"/>
    </row>
    <row r="65">
      <c r="A65" s="37"/>
      <c r="B65" s="49"/>
      <c r="C65" s="63" t="s">
        <v>335</v>
      </c>
      <c r="D65" s="39"/>
      <c r="E65" s="40"/>
      <c r="F65" s="65">
        <v>2174.0</v>
      </c>
      <c r="G65" s="49"/>
      <c r="H65" s="63" t="s">
        <v>335</v>
      </c>
      <c r="I65" s="39"/>
      <c r="J65" s="40"/>
      <c r="K65" s="65">
        <v>2295.0</v>
      </c>
      <c r="L65" s="49"/>
      <c r="M65" s="63" t="s">
        <v>335</v>
      </c>
      <c r="N65" s="39"/>
      <c r="O65" s="40"/>
      <c r="P65" s="65">
        <v>2214.0</v>
      </c>
      <c r="Q65" s="47"/>
      <c r="R65" s="36"/>
      <c r="S65" s="36"/>
      <c r="T65" s="36"/>
    </row>
    <row r="66">
      <c r="A66" s="37"/>
      <c r="B66" s="36"/>
      <c r="C66" s="47"/>
      <c r="D66" s="47"/>
      <c r="E66" s="47"/>
      <c r="F66" s="47"/>
      <c r="G66" s="36"/>
      <c r="H66" s="47"/>
      <c r="I66" s="47"/>
      <c r="J66" s="47"/>
      <c r="K66" s="47"/>
      <c r="L66" s="36"/>
      <c r="M66" s="47"/>
      <c r="N66" s="47"/>
      <c r="O66" s="47"/>
      <c r="P66" s="47"/>
      <c r="Q66" s="36"/>
      <c r="R66" s="36"/>
      <c r="S66" s="36"/>
      <c r="T66" s="36"/>
    </row>
    <row r="67">
      <c r="A67" s="37"/>
      <c r="B67" s="36"/>
      <c r="C67" s="67" t="s">
        <v>338</v>
      </c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6"/>
      <c r="O67" s="36"/>
      <c r="P67" s="36"/>
      <c r="Q67" s="36"/>
      <c r="R67" s="36"/>
      <c r="S67" s="36"/>
      <c r="T67" s="36"/>
    </row>
    <row r="68">
      <c r="A68" s="37"/>
      <c r="B68" s="36"/>
      <c r="C68" s="41" t="s">
        <v>339</v>
      </c>
      <c r="D68" s="33"/>
      <c r="E68" s="33"/>
      <c r="F68" s="33"/>
      <c r="G68" s="33"/>
      <c r="H68" s="33"/>
      <c r="I68" s="33"/>
      <c r="J68" s="33"/>
      <c r="K68" s="33"/>
      <c r="L68" s="33"/>
      <c r="M68" s="34"/>
      <c r="N68" s="36"/>
      <c r="O68" s="36"/>
      <c r="P68" s="36"/>
      <c r="Q68" s="36"/>
      <c r="R68" s="36"/>
      <c r="S68" s="36"/>
      <c r="T68" s="36"/>
    </row>
    <row r="69">
      <c r="A69" s="37"/>
      <c r="B69" s="36"/>
      <c r="C69" s="41" t="s">
        <v>340</v>
      </c>
      <c r="D69" s="33"/>
      <c r="E69" s="33"/>
      <c r="F69" s="33"/>
      <c r="G69" s="33"/>
      <c r="H69" s="33"/>
      <c r="I69" s="33"/>
      <c r="J69" s="33"/>
      <c r="K69" s="33"/>
      <c r="L69" s="33"/>
      <c r="M69" s="34"/>
      <c r="N69" s="36"/>
      <c r="O69" s="36"/>
      <c r="P69" s="36"/>
      <c r="Q69" s="36"/>
      <c r="R69" s="36"/>
      <c r="S69" s="36"/>
      <c r="T69" s="36"/>
    </row>
    <row r="70">
      <c r="A70" s="37"/>
      <c r="B70" s="36"/>
      <c r="N70" s="36"/>
      <c r="O70" s="36"/>
      <c r="P70" s="36"/>
      <c r="Q70" s="36"/>
      <c r="R70" s="36"/>
      <c r="S70" s="36"/>
      <c r="T70" s="36"/>
    </row>
    <row r="71">
      <c r="A71" s="37"/>
      <c r="B71" s="36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36"/>
      <c r="O71" s="36"/>
      <c r="P71" s="36"/>
      <c r="Q71" s="36"/>
      <c r="R71" s="36"/>
      <c r="S71" s="36"/>
      <c r="T71" s="36"/>
    </row>
    <row r="72">
      <c r="A72" s="37"/>
      <c r="B72" s="49"/>
      <c r="C72" s="68" t="s">
        <v>341</v>
      </c>
      <c r="D72" s="40"/>
      <c r="E72" s="68" t="s">
        <v>342</v>
      </c>
      <c r="F72" s="39"/>
      <c r="G72" s="39"/>
      <c r="H72" s="40"/>
      <c r="I72" s="69" t="s">
        <v>250</v>
      </c>
      <c r="J72" s="69" t="s">
        <v>28</v>
      </c>
      <c r="K72" s="69" t="s">
        <v>343</v>
      </c>
      <c r="L72" s="69" t="s">
        <v>344</v>
      </c>
      <c r="M72" s="69" t="s">
        <v>345</v>
      </c>
      <c r="N72" s="47"/>
      <c r="O72" s="36"/>
      <c r="P72" s="36"/>
      <c r="Q72" s="36"/>
      <c r="R72" s="36"/>
      <c r="S72" s="36"/>
      <c r="T72" s="36"/>
    </row>
    <row r="73">
      <c r="A73" s="37"/>
      <c r="B73" s="49"/>
      <c r="C73" s="70" t="s">
        <v>158</v>
      </c>
      <c r="D73" s="40"/>
      <c r="E73" s="70" t="s">
        <v>346</v>
      </c>
      <c r="F73" s="39"/>
      <c r="G73" s="39"/>
      <c r="H73" s="40"/>
      <c r="I73" s="71">
        <v>15.0</v>
      </c>
      <c r="J73" s="71">
        <v>17.0</v>
      </c>
      <c r="K73" s="72"/>
      <c r="L73" s="71">
        <v>39.0</v>
      </c>
      <c r="M73" s="72"/>
      <c r="N73" s="47"/>
      <c r="O73" s="45" t="s">
        <v>347</v>
      </c>
      <c r="P73" s="34"/>
      <c r="Q73" s="36"/>
      <c r="R73" s="36"/>
      <c r="S73" s="36"/>
      <c r="T73" s="36"/>
    </row>
    <row r="74">
      <c r="A74" s="37"/>
      <c r="B74" s="49"/>
      <c r="C74" s="70" t="s">
        <v>49</v>
      </c>
      <c r="D74" s="40"/>
      <c r="E74" s="70" t="s">
        <v>348</v>
      </c>
      <c r="F74" s="39"/>
      <c r="G74" s="39"/>
      <c r="H74" s="40"/>
      <c r="I74" s="72"/>
      <c r="J74" s="72"/>
      <c r="K74" s="72"/>
      <c r="L74" s="72"/>
      <c r="M74" s="72"/>
      <c r="N74" s="47"/>
      <c r="O74" s="45" t="s">
        <v>349</v>
      </c>
      <c r="P74" s="34"/>
      <c r="Q74" s="36"/>
      <c r="R74" s="36"/>
      <c r="S74" s="36"/>
      <c r="T74" s="36"/>
    </row>
    <row r="75">
      <c r="A75" s="37"/>
      <c r="B75" s="49"/>
      <c r="C75" s="70" t="s">
        <v>350</v>
      </c>
      <c r="D75" s="40"/>
      <c r="E75" s="70" t="s">
        <v>351</v>
      </c>
      <c r="F75" s="39"/>
      <c r="G75" s="39"/>
      <c r="H75" s="40"/>
      <c r="I75" s="71">
        <v>14.0</v>
      </c>
      <c r="J75" s="71">
        <v>15.0</v>
      </c>
      <c r="K75" s="72"/>
      <c r="L75" s="72"/>
      <c r="M75" s="72"/>
      <c r="N75" s="47"/>
      <c r="O75" s="45" t="s">
        <v>352</v>
      </c>
      <c r="P75" s="34"/>
      <c r="Q75" s="36"/>
      <c r="R75" s="36"/>
      <c r="S75" s="36"/>
      <c r="T75" s="36"/>
    </row>
    <row r="76">
      <c r="A76" s="37"/>
      <c r="B76" s="49"/>
      <c r="C76" s="70" t="s">
        <v>353</v>
      </c>
      <c r="D76" s="40"/>
      <c r="E76" s="70" t="s">
        <v>354</v>
      </c>
      <c r="F76" s="39"/>
      <c r="G76" s="39"/>
      <c r="H76" s="40"/>
      <c r="I76" s="72"/>
      <c r="J76" s="72"/>
      <c r="K76" s="72"/>
      <c r="L76" s="71">
        <v>29.0</v>
      </c>
      <c r="M76" s="72"/>
      <c r="N76" s="47"/>
      <c r="O76" s="45" t="s">
        <v>355</v>
      </c>
      <c r="P76" s="34"/>
      <c r="Q76" s="36"/>
      <c r="R76" s="36"/>
      <c r="S76" s="36"/>
      <c r="T76" s="36"/>
    </row>
    <row r="77">
      <c r="A77" s="37"/>
      <c r="B77" s="49"/>
      <c r="C77" s="70" t="s">
        <v>356</v>
      </c>
      <c r="D77" s="40"/>
      <c r="E77" s="70" t="s">
        <v>200</v>
      </c>
      <c r="F77" s="39"/>
      <c r="G77" s="39"/>
      <c r="H77" s="40"/>
      <c r="I77" s="71">
        <v>16.0</v>
      </c>
      <c r="J77" s="71">
        <v>17.0</v>
      </c>
      <c r="K77" s="72"/>
      <c r="L77" s="72"/>
      <c r="M77" s="72"/>
      <c r="N77" s="47"/>
      <c r="O77" s="45" t="s">
        <v>357</v>
      </c>
      <c r="P77" s="34"/>
      <c r="Q77" s="36"/>
      <c r="R77" s="36"/>
      <c r="S77" s="36"/>
      <c r="T77" s="36"/>
    </row>
    <row r="78">
      <c r="A78" s="37"/>
      <c r="B78" s="49"/>
      <c r="C78" s="70" t="s">
        <v>358</v>
      </c>
      <c r="D78" s="40"/>
      <c r="E78" s="70" t="s">
        <v>359</v>
      </c>
      <c r="F78" s="39"/>
      <c r="G78" s="39"/>
      <c r="H78" s="40"/>
      <c r="I78" s="72"/>
      <c r="J78" s="72"/>
      <c r="K78" s="72"/>
      <c r="L78" s="71">
        <v>33.0</v>
      </c>
      <c r="M78" s="72"/>
      <c r="N78" s="47"/>
      <c r="Q78" s="36"/>
      <c r="R78" s="36"/>
      <c r="S78" s="36"/>
      <c r="T78" s="36"/>
    </row>
    <row r="79">
      <c r="A79" s="37"/>
      <c r="B79" s="49"/>
      <c r="C79" s="70" t="s">
        <v>159</v>
      </c>
      <c r="D79" s="40"/>
      <c r="E79" s="70" t="s">
        <v>360</v>
      </c>
      <c r="F79" s="39"/>
      <c r="G79" s="39"/>
      <c r="H79" s="40"/>
      <c r="I79" s="71">
        <v>17.0</v>
      </c>
      <c r="J79" s="71">
        <v>20.0</v>
      </c>
      <c r="K79" s="72"/>
      <c r="L79" s="72"/>
      <c r="M79" s="72"/>
      <c r="N79" s="47"/>
      <c r="Q79" s="36"/>
      <c r="R79" s="36"/>
      <c r="S79" s="36"/>
      <c r="T79" s="36"/>
    </row>
    <row r="80">
      <c r="A80" s="37"/>
      <c r="B80" s="49"/>
      <c r="C80" s="70" t="s">
        <v>361</v>
      </c>
      <c r="D80" s="40"/>
      <c r="E80" s="70" t="s">
        <v>362</v>
      </c>
      <c r="F80" s="39"/>
      <c r="G80" s="39"/>
      <c r="H80" s="40"/>
      <c r="I80" s="71">
        <v>16.0</v>
      </c>
      <c r="J80" s="72"/>
      <c r="K80" s="72"/>
      <c r="L80" s="72"/>
      <c r="M80" s="72"/>
      <c r="N80" s="47"/>
      <c r="Q80" s="36"/>
      <c r="R80" s="36"/>
      <c r="S80" s="36"/>
      <c r="T80" s="36"/>
    </row>
    <row r="81">
      <c r="A81" s="37"/>
      <c r="B81" s="49"/>
      <c r="C81" s="70" t="s">
        <v>363</v>
      </c>
      <c r="D81" s="40"/>
      <c r="E81" s="70" t="s">
        <v>364</v>
      </c>
      <c r="F81" s="39"/>
      <c r="G81" s="39"/>
      <c r="H81" s="40"/>
      <c r="I81" s="71">
        <v>24.0</v>
      </c>
      <c r="J81" s="71">
        <v>24.0</v>
      </c>
      <c r="K81" s="72"/>
      <c r="L81" s="72"/>
      <c r="M81" s="72"/>
      <c r="N81" s="47"/>
      <c r="Q81" s="36"/>
      <c r="R81" s="36"/>
      <c r="S81" s="36"/>
      <c r="T81" s="36"/>
    </row>
    <row r="82">
      <c r="A82" s="37"/>
      <c r="B82" s="49"/>
      <c r="C82" s="70" t="s">
        <v>161</v>
      </c>
      <c r="D82" s="40"/>
      <c r="E82" s="70" t="s">
        <v>365</v>
      </c>
      <c r="F82" s="39"/>
      <c r="G82" s="39"/>
      <c r="H82" s="40"/>
      <c r="I82" s="72"/>
      <c r="J82" s="72"/>
      <c r="K82" s="72"/>
      <c r="L82" s="72"/>
      <c r="M82" s="72"/>
      <c r="N82" s="47"/>
      <c r="Q82" s="36"/>
      <c r="R82" s="36"/>
      <c r="S82" s="36"/>
      <c r="T82" s="36"/>
    </row>
    <row r="83">
      <c r="A83" s="37"/>
      <c r="B83" s="49"/>
      <c r="C83" s="70" t="s">
        <v>366</v>
      </c>
      <c r="D83" s="40"/>
      <c r="E83" s="70" t="s">
        <v>367</v>
      </c>
      <c r="F83" s="39"/>
      <c r="G83" s="39"/>
      <c r="H83" s="40"/>
      <c r="I83" s="72"/>
      <c r="J83" s="72"/>
      <c r="K83" s="72"/>
      <c r="L83" s="72"/>
      <c r="M83" s="72"/>
      <c r="N83" s="47"/>
      <c r="Q83" s="36"/>
      <c r="R83" s="36"/>
      <c r="S83" s="36"/>
      <c r="T83" s="36"/>
    </row>
    <row r="84">
      <c r="A84" s="37"/>
      <c r="B84" s="49"/>
      <c r="C84" s="70" t="s">
        <v>366</v>
      </c>
      <c r="D84" s="40"/>
      <c r="E84" s="70" t="s">
        <v>368</v>
      </c>
      <c r="F84" s="39"/>
      <c r="G84" s="39"/>
      <c r="H84" s="40"/>
      <c r="I84" s="72"/>
      <c r="J84" s="72"/>
      <c r="K84" s="72"/>
      <c r="L84" s="72"/>
      <c r="M84" s="72"/>
      <c r="N84" s="47"/>
      <c r="Q84" s="36"/>
      <c r="R84" s="36"/>
      <c r="S84" s="36"/>
      <c r="T84" s="36"/>
    </row>
    <row r="85">
      <c r="A85" s="37"/>
      <c r="B85" s="49"/>
      <c r="C85" s="70" t="s">
        <v>369</v>
      </c>
      <c r="D85" s="40"/>
      <c r="E85" s="70" t="s">
        <v>370</v>
      </c>
      <c r="F85" s="39"/>
      <c r="G85" s="39"/>
      <c r="H85" s="40"/>
      <c r="I85" s="72"/>
      <c r="J85" s="72"/>
      <c r="K85" s="72"/>
      <c r="L85" s="71">
        <v>59.0</v>
      </c>
      <c r="M85" s="72"/>
      <c r="N85" s="47"/>
      <c r="Q85" s="36"/>
      <c r="R85" s="36"/>
      <c r="S85" s="36"/>
      <c r="T85" s="36"/>
    </row>
    <row r="86">
      <c r="A86" s="37"/>
      <c r="B86" s="49"/>
      <c r="C86" s="70" t="s">
        <v>369</v>
      </c>
      <c r="D86" s="40"/>
      <c r="E86" s="70" t="s">
        <v>371</v>
      </c>
      <c r="F86" s="39"/>
      <c r="G86" s="39"/>
      <c r="H86" s="40"/>
      <c r="I86" s="72"/>
      <c r="J86" s="72"/>
      <c r="K86" s="72"/>
      <c r="L86" s="72"/>
      <c r="M86" s="72"/>
      <c r="N86" s="47"/>
      <c r="Q86" s="36"/>
      <c r="R86" s="36"/>
      <c r="S86" s="36"/>
      <c r="T86" s="36"/>
    </row>
    <row r="87">
      <c r="A87" s="37"/>
      <c r="B87" s="49"/>
      <c r="C87" s="70" t="s">
        <v>372</v>
      </c>
      <c r="D87" s="40"/>
      <c r="E87" s="70" t="s">
        <v>373</v>
      </c>
      <c r="F87" s="39"/>
      <c r="G87" s="39"/>
      <c r="H87" s="40"/>
      <c r="I87" s="72"/>
      <c r="J87" s="72"/>
      <c r="K87" s="72"/>
      <c r="L87" s="72"/>
      <c r="M87" s="72"/>
      <c r="N87" s="47"/>
      <c r="Q87" s="36"/>
      <c r="R87" s="36"/>
      <c r="S87" s="36"/>
      <c r="T87" s="36"/>
    </row>
    <row r="88">
      <c r="A88" s="37"/>
      <c r="B88" s="49"/>
      <c r="C88" s="70" t="s">
        <v>374</v>
      </c>
      <c r="D88" s="40"/>
      <c r="E88" s="70" t="s">
        <v>375</v>
      </c>
      <c r="F88" s="39"/>
      <c r="G88" s="39"/>
      <c r="H88" s="40"/>
      <c r="I88" s="72"/>
      <c r="J88" s="72"/>
      <c r="K88" s="72"/>
      <c r="L88" s="72"/>
      <c r="M88" s="72"/>
      <c r="N88" s="47"/>
      <c r="Q88" s="36"/>
      <c r="R88" s="36"/>
      <c r="S88" s="36"/>
      <c r="T88" s="36"/>
    </row>
    <row r="89">
      <c r="A89" s="37"/>
      <c r="B89" s="49"/>
      <c r="C89" s="70" t="s">
        <v>376</v>
      </c>
      <c r="D89" s="40"/>
      <c r="E89" s="70" t="s">
        <v>377</v>
      </c>
      <c r="F89" s="39"/>
      <c r="G89" s="39"/>
      <c r="H89" s="40"/>
      <c r="I89" s="72"/>
      <c r="J89" s="71">
        <v>12.0</v>
      </c>
      <c r="K89" s="72"/>
      <c r="L89" s="72"/>
      <c r="M89" s="72"/>
      <c r="N89" s="47"/>
      <c r="Q89" s="36"/>
      <c r="R89" s="36"/>
      <c r="S89" s="36"/>
      <c r="T89" s="36"/>
    </row>
    <row r="90">
      <c r="A90" s="37"/>
      <c r="B90" s="36"/>
      <c r="C90" s="47"/>
      <c r="D90" s="47"/>
      <c r="E90" s="47"/>
    </row>
    <row r="94">
      <c r="A94" s="29">
        <v>0.4165</v>
      </c>
    </row>
    <row r="95">
      <c r="A95" s="5" t="s">
        <v>378</v>
      </c>
      <c r="B95" s="21">
        <v>0.3</v>
      </c>
      <c r="C95" s="5">
        <v>0.3</v>
      </c>
      <c r="E95">
        <f>0.7*0.85*0.7</f>
        <v>0.4165</v>
      </c>
    </row>
    <row r="96">
      <c r="A96" s="5" t="s">
        <v>379</v>
      </c>
      <c r="B96" s="21">
        <v>0.15</v>
      </c>
      <c r="C96" s="5">
        <v>0.15</v>
      </c>
    </row>
    <row r="97">
      <c r="A97" s="5" t="s">
        <v>380</v>
      </c>
      <c r="B97" s="21">
        <v>0.15</v>
      </c>
      <c r="C97" s="5">
        <v>0.15</v>
      </c>
    </row>
    <row r="98">
      <c r="C98">
        <f>C95+C96+C97</f>
        <v>0.6</v>
      </c>
    </row>
    <row r="99">
      <c r="B99" s="5">
        <v>100.0</v>
      </c>
    </row>
    <row r="100">
      <c r="B100">
        <f>$B$99-($B$99*C95)</f>
        <v>70</v>
      </c>
      <c r="C100">
        <f>$B$99-($B$99*C96)</f>
        <v>85</v>
      </c>
      <c r="D100">
        <f>$B$99-($B$99*C97)</f>
        <v>85</v>
      </c>
    </row>
    <row r="101">
      <c r="B101" s="5" t="s">
        <v>381</v>
      </c>
    </row>
    <row r="102">
      <c r="A102" s="5" t="s">
        <v>382</v>
      </c>
      <c r="B102">
        <f>0.5+(0.5*0.5)</f>
        <v>0.75</v>
      </c>
      <c r="C102">
        <f>0.5*0.5</f>
        <v>0.25</v>
      </c>
    </row>
    <row r="103">
      <c r="A103" s="5" t="s">
        <v>383</v>
      </c>
      <c r="B103">
        <f>0.3+(0.3*0.3)</f>
        <v>0.39</v>
      </c>
      <c r="C103" s="5">
        <f>0.7*0.7</f>
        <v>0.49</v>
      </c>
    </row>
    <row r="104">
      <c r="A104" s="5" t="s">
        <v>384</v>
      </c>
      <c r="B104">
        <f>0.1+(0.1*0.1)</f>
        <v>0.11</v>
      </c>
      <c r="C104">
        <f>0.9*0.9</f>
        <v>0.81</v>
      </c>
    </row>
    <row r="105">
      <c r="A105" s="5" t="s">
        <v>385</v>
      </c>
      <c r="B105">
        <f>0.7+(0.15*0.15)</f>
        <v>0.7225</v>
      </c>
      <c r="C105">
        <f>0.7*0.85*0.7</f>
        <v>0.4165</v>
      </c>
      <c r="D105">
        <f>0.85*0.85*0.7</f>
        <v>0.50575</v>
      </c>
    </row>
    <row r="106">
      <c r="A106" s="73">
        <v>40461.0</v>
      </c>
      <c r="B106">
        <f>0.1+(0.1*0.1*0.1)</f>
        <v>0.101</v>
      </c>
    </row>
    <row r="107">
      <c r="A107" s="5" t="s">
        <v>386</v>
      </c>
      <c r="B107">
        <f>1.3*1.15</f>
        <v>1.495</v>
      </c>
    </row>
  </sheetData>
  <mergeCells count="255">
    <mergeCell ref="A2:I2"/>
    <mergeCell ref="J2:L2"/>
    <mergeCell ref="N2:S2"/>
    <mergeCell ref="O3:T3"/>
    <mergeCell ref="G4:I4"/>
    <mergeCell ref="K4:M4"/>
    <mergeCell ref="O4:T4"/>
    <mergeCell ref="B4:E4"/>
    <mergeCell ref="B5:D5"/>
    <mergeCell ref="G5:H5"/>
    <mergeCell ref="K5:L5"/>
    <mergeCell ref="B6:D6"/>
    <mergeCell ref="K6:L6"/>
    <mergeCell ref="K7:L7"/>
    <mergeCell ref="O5:T5"/>
    <mergeCell ref="O6:T6"/>
    <mergeCell ref="O7:T7"/>
    <mergeCell ref="O8:T8"/>
    <mergeCell ref="O9:T9"/>
    <mergeCell ref="O10:T10"/>
    <mergeCell ref="O11:T11"/>
    <mergeCell ref="B15:D15"/>
    <mergeCell ref="B16:D16"/>
    <mergeCell ref="B17:D17"/>
    <mergeCell ref="B18:D18"/>
    <mergeCell ref="B19:D19"/>
    <mergeCell ref="B21:E21"/>
    <mergeCell ref="B22:D22"/>
    <mergeCell ref="K30:L30"/>
    <mergeCell ref="K31:L31"/>
    <mergeCell ref="K32:L32"/>
    <mergeCell ref="K33:L33"/>
    <mergeCell ref="C34:D34"/>
    <mergeCell ref="C36:D36"/>
    <mergeCell ref="B23:D23"/>
    <mergeCell ref="C26:E26"/>
    <mergeCell ref="C27:D27"/>
    <mergeCell ref="C28:D28"/>
    <mergeCell ref="C29:D29"/>
    <mergeCell ref="C30:D30"/>
    <mergeCell ref="C31:D31"/>
    <mergeCell ref="H49:J49"/>
    <mergeCell ref="H50:J50"/>
    <mergeCell ref="C47:F47"/>
    <mergeCell ref="H47:K47"/>
    <mergeCell ref="M47:P47"/>
    <mergeCell ref="C48:E48"/>
    <mergeCell ref="H48:J48"/>
    <mergeCell ref="C49:E49"/>
    <mergeCell ref="M50:O50"/>
    <mergeCell ref="M56:O56"/>
    <mergeCell ref="M57:O57"/>
    <mergeCell ref="M58:O58"/>
    <mergeCell ref="M59:P59"/>
    <mergeCell ref="M60:O60"/>
    <mergeCell ref="M61:O61"/>
    <mergeCell ref="M62:O62"/>
    <mergeCell ref="M63:O63"/>
    <mergeCell ref="M64:O64"/>
    <mergeCell ref="M65:O65"/>
    <mergeCell ref="O73:P73"/>
    <mergeCell ref="O74:P74"/>
    <mergeCell ref="O75:P75"/>
    <mergeCell ref="O76:P76"/>
    <mergeCell ref="O84:P84"/>
    <mergeCell ref="O85:P85"/>
    <mergeCell ref="O86:P86"/>
    <mergeCell ref="O87:P87"/>
    <mergeCell ref="O88:P88"/>
    <mergeCell ref="O89:P89"/>
    <mergeCell ref="O77:P77"/>
    <mergeCell ref="O78:P78"/>
    <mergeCell ref="O79:P79"/>
    <mergeCell ref="O80:P80"/>
    <mergeCell ref="O81:P81"/>
    <mergeCell ref="O82:P82"/>
    <mergeCell ref="O83:P83"/>
    <mergeCell ref="C32:D32"/>
    <mergeCell ref="C33:D33"/>
    <mergeCell ref="O33:T33"/>
    <mergeCell ref="G34:H34"/>
    <mergeCell ref="K34:L34"/>
    <mergeCell ref="O34:T34"/>
    <mergeCell ref="O35:T35"/>
    <mergeCell ref="L36:N36"/>
    <mergeCell ref="O36:T36"/>
    <mergeCell ref="C37:D37"/>
    <mergeCell ref="L37:M37"/>
    <mergeCell ref="O37:T37"/>
    <mergeCell ref="L38:M38"/>
    <mergeCell ref="L39:M39"/>
    <mergeCell ref="O43:T43"/>
    <mergeCell ref="O44:T44"/>
    <mergeCell ref="O38:T38"/>
    <mergeCell ref="O39:T39"/>
    <mergeCell ref="L40:M40"/>
    <mergeCell ref="O40:T40"/>
    <mergeCell ref="L41:M41"/>
    <mergeCell ref="O41:T41"/>
    <mergeCell ref="O42:T42"/>
    <mergeCell ref="C38:D38"/>
    <mergeCell ref="C39:D39"/>
    <mergeCell ref="C40:D40"/>
    <mergeCell ref="C41:D41"/>
    <mergeCell ref="C42:D42"/>
    <mergeCell ref="C43:D43"/>
    <mergeCell ref="C44:D44"/>
    <mergeCell ref="C55:E55"/>
    <mergeCell ref="H55:J55"/>
    <mergeCell ref="M48:O48"/>
    <mergeCell ref="M49:O49"/>
    <mergeCell ref="M51:O51"/>
    <mergeCell ref="M52:O52"/>
    <mergeCell ref="M53:O53"/>
    <mergeCell ref="M54:O54"/>
    <mergeCell ref="M55:O55"/>
    <mergeCell ref="C65:E65"/>
    <mergeCell ref="C72:D72"/>
    <mergeCell ref="C73:D73"/>
    <mergeCell ref="C74:D74"/>
    <mergeCell ref="C75:D75"/>
    <mergeCell ref="C76:D76"/>
    <mergeCell ref="C77:D77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84:D84"/>
    <mergeCell ref="E86:H86"/>
    <mergeCell ref="E87:H87"/>
    <mergeCell ref="E88:H88"/>
    <mergeCell ref="E89:H89"/>
    <mergeCell ref="E79:H79"/>
    <mergeCell ref="E80:H80"/>
    <mergeCell ref="E81:H81"/>
    <mergeCell ref="E82:H82"/>
    <mergeCell ref="E83:H83"/>
    <mergeCell ref="E84:H84"/>
    <mergeCell ref="E85:H85"/>
    <mergeCell ref="H53:J53"/>
    <mergeCell ref="H54:J54"/>
    <mergeCell ref="C50:E50"/>
    <mergeCell ref="C51:E51"/>
    <mergeCell ref="H51:J51"/>
    <mergeCell ref="C52:E52"/>
    <mergeCell ref="H52:J52"/>
    <mergeCell ref="C53:E53"/>
    <mergeCell ref="C54:E54"/>
    <mergeCell ref="C56:E56"/>
    <mergeCell ref="H56:J56"/>
    <mergeCell ref="C57:E57"/>
    <mergeCell ref="H57:J57"/>
    <mergeCell ref="C58:E58"/>
    <mergeCell ref="H58:J58"/>
    <mergeCell ref="H59:K59"/>
    <mergeCell ref="H62:J62"/>
    <mergeCell ref="H63:J63"/>
    <mergeCell ref="C59:F59"/>
    <mergeCell ref="C60:E60"/>
    <mergeCell ref="H60:J60"/>
    <mergeCell ref="C61:E61"/>
    <mergeCell ref="H61:J61"/>
    <mergeCell ref="C62:E62"/>
    <mergeCell ref="C63:E63"/>
    <mergeCell ref="C64:E64"/>
    <mergeCell ref="H64:J64"/>
    <mergeCell ref="H65:J65"/>
    <mergeCell ref="C67:M67"/>
    <mergeCell ref="C68:M68"/>
    <mergeCell ref="C69:M69"/>
    <mergeCell ref="C70:M70"/>
    <mergeCell ref="E72:H72"/>
    <mergeCell ref="E73:H73"/>
    <mergeCell ref="E74:H74"/>
    <mergeCell ref="E75:H75"/>
    <mergeCell ref="E76:H76"/>
    <mergeCell ref="E77:H77"/>
    <mergeCell ref="E78:H78"/>
    <mergeCell ref="K15:L15"/>
    <mergeCell ref="K16:L16"/>
    <mergeCell ref="K8:L8"/>
    <mergeCell ref="K9:L9"/>
    <mergeCell ref="K10:L10"/>
    <mergeCell ref="K11:L11"/>
    <mergeCell ref="K12:L12"/>
    <mergeCell ref="K13:L13"/>
    <mergeCell ref="K14:L14"/>
    <mergeCell ref="O19:T19"/>
    <mergeCell ref="O20:T20"/>
    <mergeCell ref="O12:T12"/>
    <mergeCell ref="O13:T13"/>
    <mergeCell ref="O14:T14"/>
    <mergeCell ref="O15:T15"/>
    <mergeCell ref="O16:T16"/>
    <mergeCell ref="O17:T17"/>
    <mergeCell ref="O18:T18"/>
    <mergeCell ref="G22:H22"/>
    <mergeCell ref="K22:L22"/>
    <mergeCell ref="K24:L24"/>
    <mergeCell ref="G16:H16"/>
    <mergeCell ref="G18:I18"/>
    <mergeCell ref="K18:M18"/>
    <mergeCell ref="G19:H19"/>
    <mergeCell ref="K19:L19"/>
    <mergeCell ref="G20:H20"/>
    <mergeCell ref="G21:H21"/>
    <mergeCell ref="B7:D7"/>
    <mergeCell ref="B8:D8"/>
    <mergeCell ref="B9:D9"/>
    <mergeCell ref="B11:E11"/>
    <mergeCell ref="B12:D12"/>
    <mergeCell ref="B13:D13"/>
    <mergeCell ref="B14:D14"/>
    <mergeCell ref="G6:H6"/>
    <mergeCell ref="G7:H7"/>
    <mergeCell ref="G8:H8"/>
    <mergeCell ref="G11:I11"/>
    <mergeCell ref="G12:H12"/>
    <mergeCell ref="G13:H13"/>
    <mergeCell ref="G15:I15"/>
    <mergeCell ref="K23:L23"/>
    <mergeCell ref="K26:M26"/>
    <mergeCell ref="K27:L27"/>
    <mergeCell ref="K20:L20"/>
    <mergeCell ref="K21:L21"/>
    <mergeCell ref="O21:T21"/>
    <mergeCell ref="O22:T22"/>
    <mergeCell ref="O23:T23"/>
    <mergeCell ref="O24:T24"/>
    <mergeCell ref="O25:T25"/>
    <mergeCell ref="O31:T31"/>
    <mergeCell ref="O32:T32"/>
    <mergeCell ref="O26:T26"/>
    <mergeCell ref="O27:T27"/>
    <mergeCell ref="K28:L28"/>
    <mergeCell ref="O28:T28"/>
    <mergeCell ref="K29:L29"/>
    <mergeCell ref="O29:T29"/>
    <mergeCell ref="O30:T30"/>
    <mergeCell ref="G32:H32"/>
    <mergeCell ref="G33:H33"/>
    <mergeCell ref="G23:H23"/>
    <mergeCell ref="G26:I26"/>
    <mergeCell ref="G27:H27"/>
    <mergeCell ref="G28:H28"/>
    <mergeCell ref="G29:H29"/>
    <mergeCell ref="G30:H30"/>
    <mergeCell ref="G31:H31"/>
  </mergeCells>
  <hyperlinks>
    <hyperlink r:id="rId1" ref="A1"/>
    <hyperlink r:id="rId2" ref="O5"/>
    <hyperlink r:id="rId3" ref="O6"/>
    <hyperlink r:id="rId4" ref="O7"/>
    <hyperlink r:id="rId5" ref="O8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14"/>
  </cols>
  <sheetData>
    <row r="1">
      <c r="A1" s="5"/>
      <c r="B1" s="5" t="s">
        <v>387</v>
      </c>
      <c r="R1" s="23"/>
      <c r="S1" s="2" t="s">
        <v>1</v>
      </c>
      <c r="T1" s="3" t="s">
        <v>2</v>
      </c>
      <c r="U1" s="4" t="s">
        <v>3</v>
      </c>
    </row>
    <row r="2">
      <c r="O2" s="5" t="s">
        <v>146</v>
      </c>
      <c r="R2" s="6" t="s">
        <v>1</v>
      </c>
      <c r="S2" s="7">
        <v>3000.0</v>
      </c>
      <c r="T2" s="8">
        <f>S2/(S2+S5)</f>
        <v>0.2005347594</v>
      </c>
      <c r="U2" s="4">
        <f>(S2)/(S2+S6)</f>
        <v>0.2212797345</v>
      </c>
    </row>
    <row r="3">
      <c r="A3" s="5">
        <f>A4*4</f>
        <v>1400</v>
      </c>
      <c r="B3" s="5" t="s">
        <v>387</v>
      </c>
      <c r="O3" s="5" t="s">
        <v>388</v>
      </c>
      <c r="P3" s="5">
        <v>420.0</v>
      </c>
      <c r="Q3" s="5"/>
      <c r="R3" s="6" t="s">
        <v>8</v>
      </c>
      <c r="S3" s="7">
        <v>19749.4</v>
      </c>
      <c r="T3" s="11"/>
      <c r="U3" s="5">
        <v>96.0</v>
      </c>
    </row>
    <row r="4">
      <c r="A4" s="5">
        <f>A5*1.75</f>
        <v>350</v>
      </c>
      <c r="B4" s="5"/>
      <c r="C4" s="5" t="s">
        <v>389</v>
      </c>
      <c r="D4" s="5"/>
      <c r="E4" s="5" t="s">
        <v>387</v>
      </c>
      <c r="F4" s="5" t="s">
        <v>390</v>
      </c>
      <c r="G4" s="5" t="s">
        <v>391</v>
      </c>
      <c r="I4" s="10" t="s">
        <v>392</v>
      </c>
      <c r="O4" s="5" t="s">
        <v>223</v>
      </c>
      <c r="P4" s="5">
        <v>1.4</v>
      </c>
      <c r="Q4" s="5"/>
      <c r="R4" s="12" t="s">
        <v>11</v>
      </c>
      <c r="S4" s="13">
        <f>(S3)/(1-(T2))</f>
        <v>24703.26288</v>
      </c>
      <c r="T4" s="14">
        <v>0.6136950904392765</v>
      </c>
      <c r="U4" s="5">
        <v>82.0</v>
      </c>
    </row>
    <row r="5">
      <c r="A5" s="5">
        <v>200.0</v>
      </c>
      <c r="B5" s="5" t="s">
        <v>393</v>
      </c>
      <c r="C5" s="21">
        <v>1.75</v>
      </c>
      <c r="D5" s="5">
        <v>350.0</v>
      </c>
      <c r="E5" s="5">
        <v>1.75</v>
      </c>
      <c r="F5" s="5" t="s">
        <v>394</v>
      </c>
      <c r="G5" s="5">
        <v>523.25</v>
      </c>
      <c r="H5" s="5"/>
      <c r="I5" s="5">
        <v>196.0</v>
      </c>
      <c r="J5" s="5"/>
      <c r="K5" s="5">
        <v>196.0</v>
      </c>
      <c r="O5" s="5" t="s">
        <v>395</v>
      </c>
      <c r="P5" s="5">
        <v>196.0</v>
      </c>
      <c r="Q5" s="5"/>
      <c r="R5" s="4" t="s">
        <v>16</v>
      </c>
      <c r="S5" s="4">
        <v>11960.0</v>
      </c>
      <c r="T5">
        <f>T2-T4</f>
        <v>-0.4131603311</v>
      </c>
      <c r="U5">
        <f>U3-U4</f>
        <v>14</v>
      </c>
    </row>
    <row r="6">
      <c r="A6" s="74"/>
      <c r="B6" s="74" t="s">
        <v>328</v>
      </c>
      <c r="C6" s="74">
        <v>301.0</v>
      </c>
      <c r="D6" s="5"/>
      <c r="E6" s="5">
        <v>1.0</v>
      </c>
      <c r="F6" s="5">
        <v>1.0</v>
      </c>
      <c r="I6" s="5">
        <v>258.0</v>
      </c>
      <c r="J6" s="5" t="s">
        <v>394</v>
      </c>
      <c r="K6">
        <f>(I6*1.3)*1.15</f>
        <v>385.71</v>
      </c>
      <c r="P6">
        <f>(P5*1.3)*1.15</f>
        <v>293.02</v>
      </c>
      <c r="R6" s="4" t="s">
        <v>21</v>
      </c>
      <c r="S6" s="4">
        <v>10557.5</v>
      </c>
    </row>
    <row r="7">
      <c r="A7" s="5"/>
      <c r="B7" s="5" t="s">
        <v>325</v>
      </c>
      <c r="C7" s="5">
        <v>307.0</v>
      </c>
      <c r="D7" s="5"/>
      <c r="K7">
        <f>K6+K5</f>
        <v>581.71</v>
      </c>
      <c r="L7">
        <f>K7</f>
        <v>581.71</v>
      </c>
      <c r="P7">
        <f>P6+P3</f>
        <v>713.02</v>
      </c>
      <c r="R7" s="4" t="s">
        <v>23</v>
      </c>
      <c r="S7" s="4">
        <v>5957.0</v>
      </c>
      <c r="U7">
        <v>78204.98193979934</v>
      </c>
    </row>
    <row r="8">
      <c r="A8" s="5">
        <v>2800.0</v>
      </c>
      <c r="B8" s="5" t="s">
        <v>396</v>
      </c>
      <c r="C8" s="5">
        <v>230.0</v>
      </c>
      <c r="D8" s="5"/>
      <c r="F8" s="5" t="s">
        <v>394</v>
      </c>
      <c r="G8" s="5">
        <f t="shared" ref="G8:G13" si="1">(C8*1.3)*1.15</f>
        <v>343.85</v>
      </c>
      <c r="H8" s="5"/>
      <c r="K8">
        <f>K7/1.4</f>
        <v>415.5071429</v>
      </c>
      <c r="L8">
        <f>L7/1.6</f>
        <v>363.56875</v>
      </c>
    </row>
    <row r="9">
      <c r="A9" s="5">
        <v>700.0</v>
      </c>
      <c r="B9" s="5" t="s">
        <v>326</v>
      </c>
      <c r="C9" s="5">
        <v>200.0</v>
      </c>
      <c r="D9" s="5"/>
      <c r="E9">
        <f>C9*1.3*1.15</f>
        <v>299</v>
      </c>
      <c r="G9" s="5">
        <f t="shared" si="1"/>
        <v>299</v>
      </c>
      <c r="L9">
        <f>K8-L8</f>
        <v>51.93839286</v>
      </c>
      <c r="P9">
        <f>P7/P4</f>
        <v>509.3</v>
      </c>
    </row>
    <row r="10">
      <c r="A10" s="5"/>
      <c r="B10" s="5" t="s">
        <v>397</v>
      </c>
      <c r="C10" s="5">
        <v>225.0</v>
      </c>
      <c r="D10" s="5"/>
      <c r="G10" s="5">
        <f t="shared" si="1"/>
        <v>336.375</v>
      </c>
    </row>
    <row r="11">
      <c r="A11" s="5">
        <f>5.4/1.6</f>
        <v>3.375</v>
      </c>
      <c r="B11" s="5" t="s">
        <v>177</v>
      </c>
      <c r="C11" s="5">
        <v>196.0</v>
      </c>
      <c r="D11" s="5"/>
      <c r="G11" s="5">
        <f t="shared" si="1"/>
        <v>293.02</v>
      </c>
      <c r="H11" s="5" t="s">
        <v>398</v>
      </c>
    </row>
    <row r="12">
      <c r="A12" s="5">
        <f>1/1.6</f>
        <v>0.625</v>
      </c>
      <c r="B12" s="5" t="s">
        <v>399</v>
      </c>
      <c r="C12" s="5">
        <v>181.0</v>
      </c>
      <c r="D12" s="5"/>
      <c r="G12" s="5">
        <f t="shared" si="1"/>
        <v>270.595</v>
      </c>
      <c r="H12" s="5" t="s">
        <v>400</v>
      </c>
      <c r="O12" s="5" t="s">
        <v>146</v>
      </c>
    </row>
    <row r="13">
      <c r="A13" s="5">
        <f>A12*12+A11</f>
        <v>10.875</v>
      </c>
      <c r="B13" s="5" t="s">
        <v>401</v>
      </c>
      <c r="C13" s="5">
        <v>104.0</v>
      </c>
      <c r="D13" s="5"/>
      <c r="G13" s="5">
        <f t="shared" si="1"/>
        <v>155.48</v>
      </c>
      <c r="H13" s="5" t="s">
        <v>402</v>
      </c>
      <c r="I13" s="5">
        <v>100.4</v>
      </c>
      <c r="O13" s="5" t="s">
        <v>388</v>
      </c>
      <c r="P13" s="5">
        <v>269.0</v>
      </c>
      <c r="Q13">
        <f>P13*(1+T2)</f>
        <v>322.9438503</v>
      </c>
    </row>
    <row r="14">
      <c r="A14" s="5"/>
      <c r="B14" s="5" t="s">
        <v>403</v>
      </c>
      <c r="C14" s="5">
        <v>119.0</v>
      </c>
      <c r="D14" s="5">
        <v>50.0</v>
      </c>
      <c r="E14" s="5">
        <f>(C6+C14)*1.3</f>
        <v>546</v>
      </c>
      <c r="F14" s="5" t="s">
        <v>394</v>
      </c>
      <c r="G14">
        <f t="shared" ref="G14:G19" si="2">(E14*1.3)*1.15</f>
        <v>816.27</v>
      </c>
      <c r="H14" s="5" t="s">
        <v>404</v>
      </c>
      <c r="I14" s="5">
        <v>1.7</v>
      </c>
      <c r="O14" s="5" t="s">
        <v>223</v>
      </c>
      <c r="P14" s="5">
        <v>1.4</v>
      </c>
    </row>
    <row r="15">
      <c r="A15" s="5"/>
      <c r="B15" s="5" t="s">
        <v>405</v>
      </c>
      <c r="C15" s="5">
        <v>134.0</v>
      </c>
      <c r="D15" s="5">
        <v>85.0</v>
      </c>
      <c r="E15" s="5">
        <f>(C15+C6)*1.3</f>
        <v>565.5</v>
      </c>
      <c r="G15">
        <f t="shared" si="2"/>
        <v>845.4225</v>
      </c>
      <c r="H15" s="5" t="s">
        <v>39</v>
      </c>
      <c r="I15" s="5">
        <v>620.0</v>
      </c>
      <c r="O15" s="5" t="s">
        <v>395</v>
      </c>
      <c r="P15" s="5">
        <v>196.0</v>
      </c>
    </row>
    <row r="16">
      <c r="A16" s="5"/>
      <c r="B16" s="5" t="s">
        <v>406</v>
      </c>
      <c r="C16" s="5">
        <v>148.0</v>
      </c>
      <c r="D16" s="5">
        <v>110.0</v>
      </c>
      <c r="E16" s="5">
        <f>(C16+C6)*1.3</f>
        <v>583.7</v>
      </c>
      <c r="G16">
        <f t="shared" si="2"/>
        <v>872.6315</v>
      </c>
      <c r="I16">
        <f>I13+((I14*I15)/3.5)</f>
        <v>401.5428571</v>
      </c>
    </row>
    <row r="17">
      <c r="A17" s="5"/>
      <c r="B17" s="5" t="s">
        <v>407</v>
      </c>
      <c r="C17" s="5">
        <v>162.0</v>
      </c>
      <c r="D17" s="5">
        <v>145.0</v>
      </c>
      <c r="E17" s="5">
        <f>(C17+C6)*1.3</f>
        <v>601.9</v>
      </c>
      <c r="G17">
        <f t="shared" si="2"/>
        <v>899.8405</v>
      </c>
    </row>
    <row r="18">
      <c r="A18" s="5"/>
      <c r="B18" s="5" t="s">
        <v>408</v>
      </c>
      <c r="C18" s="5">
        <v>176.0</v>
      </c>
      <c r="D18" s="5">
        <v>180.0</v>
      </c>
      <c r="E18" s="5">
        <f>(C18+C6)*1.3</f>
        <v>620.1</v>
      </c>
      <c r="G18">
        <f t="shared" si="2"/>
        <v>927.0495</v>
      </c>
      <c r="H18" s="5" t="s">
        <v>402</v>
      </c>
      <c r="I18" s="5">
        <v>100.4</v>
      </c>
      <c r="K18" s="5" t="s">
        <v>402</v>
      </c>
      <c r="L18" s="5">
        <v>87.3</v>
      </c>
    </row>
    <row r="19">
      <c r="A19" s="5">
        <f>6.7/2.7</f>
        <v>2.481481481</v>
      </c>
      <c r="B19" s="5" t="s">
        <v>409</v>
      </c>
      <c r="C19" s="5">
        <v>0.0</v>
      </c>
      <c r="D19" s="5">
        <v>215.0</v>
      </c>
      <c r="E19" s="5">
        <v>301.0</v>
      </c>
      <c r="G19">
        <f t="shared" si="2"/>
        <v>449.995</v>
      </c>
      <c r="H19" s="5" t="s">
        <v>404</v>
      </c>
      <c r="I19" s="5">
        <v>2.4</v>
      </c>
      <c r="K19" s="5" t="s">
        <v>404</v>
      </c>
      <c r="L19" s="5">
        <v>1.7</v>
      </c>
    </row>
    <row r="20">
      <c r="A20" s="5">
        <f>1/2.7</f>
        <v>0.3703703704</v>
      </c>
      <c r="B20" s="5" t="s">
        <v>410</v>
      </c>
      <c r="C20" s="5">
        <v>56.0</v>
      </c>
      <c r="D20" s="5"/>
      <c r="G20">
        <f t="shared" ref="G20:G21" si="3">C20</f>
        <v>56</v>
      </c>
      <c r="H20" s="5" t="s">
        <v>39</v>
      </c>
      <c r="I20" s="5">
        <v>620.0</v>
      </c>
      <c r="K20" s="5" t="s">
        <v>39</v>
      </c>
      <c r="L20" s="5">
        <v>620.0</v>
      </c>
      <c r="O20" s="5" t="s">
        <v>411</v>
      </c>
      <c r="R20" s="5">
        <v>2.0</v>
      </c>
    </row>
    <row r="21">
      <c r="A21" s="5">
        <f>A20*9+A19</f>
        <v>5.814814815</v>
      </c>
      <c r="B21" s="5" t="s">
        <v>412</v>
      </c>
      <c r="C21" s="5">
        <v>68.0</v>
      </c>
      <c r="D21" s="5"/>
      <c r="E21" s="5"/>
      <c r="G21">
        <f t="shared" si="3"/>
        <v>68</v>
      </c>
      <c r="I21">
        <f>I18+((I19*I20)/3.5)</f>
        <v>525.5428571</v>
      </c>
      <c r="L21">
        <f>L18+((L19*L20)/3.5)</f>
        <v>388.4428571</v>
      </c>
      <c r="O21" s="5" t="s">
        <v>146</v>
      </c>
      <c r="R21" s="5" t="s">
        <v>146</v>
      </c>
    </row>
    <row r="22">
      <c r="A22" s="5"/>
      <c r="B22" s="5" t="s">
        <v>413</v>
      </c>
      <c r="C22" s="5">
        <v>130.0</v>
      </c>
      <c r="D22" s="5"/>
      <c r="G22">
        <f t="shared" ref="G22:G23" si="4">((C22*1.3)*1.15)/2</f>
        <v>97.175</v>
      </c>
      <c r="O22" s="5" t="s">
        <v>388</v>
      </c>
      <c r="P22" s="5">
        <v>420.0</v>
      </c>
      <c r="R22" s="5" t="s">
        <v>388</v>
      </c>
      <c r="S22" s="5">
        <v>269.0</v>
      </c>
    </row>
    <row r="23">
      <c r="A23" s="5"/>
      <c r="B23" s="5" t="s">
        <v>414</v>
      </c>
      <c r="C23" s="75">
        <f>C22*240%</f>
        <v>312</v>
      </c>
      <c r="D23" s="5"/>
      <c r="G23">
        <f t="shared" si="4"/>
        <v>233.22</v>
      </c>
      <c r="O23" s="5" t="s">
        <v>223</v>
      </c>
      <c r="P23" s="5">
        <v>1.4</v>
      </c>
      <c r="R23" s="5" t="s">
        <v>223</v>
      </c>
      <c r="S23" s="5">
        <v>1.4</v>
      </c>
    </row>
    <row r="24">
      <c r="A24" s="5"/>
      <c r="B24" s="5" t="s">
        <v>415</v>
      </c>
      <c r="C24" s="5">
        <v>69.0</v>
      </c>
      <c r="D24" s="5"/>
      <c r="O24" s="5" t="s">
        <v>395</v>
      </c>
      <c r="P24" s="5">
        <v>196.0</v>
      </c>
      <c r="R24" s="5" t="s">
        <v>395</v>
      </c>
      <c r="S24" s="5">
        <v>196.0</v>
      </c>
    </row>
    <row r="25">
      <c r="A25" s="5"/>
      <c r="B25" s="5" t="s">
        <v>416</v>
      </c>
      <c r="C25" s="21">
        <v>1.0</v>
      </c>
      <c r="D25" s="5"/>
      <c r="P25">
        <f>(P24*1.3)*1.15</f>
        <v>293.02</v>
      </c>
    </row>
    <row r="26">
      <c r="A26" s="5"/>
      <c r="B26" s="5" t="s">
        <v>417</v>
      </c>
      <c r="C26" s="21">
        <v>1.0</v>
      </c>
      <c r="F26" s="5">
        <v>55.0</v>
      </c>
      <c r="H26" s="5" t="s">
        <v>418</v>
      </c>
      <c r="P26">
        <f>P25+P22</f>
        <v>713.02</v>
      </c>
    </row>
    <row r="27">
      <c r="A27" s="5"/>
      <c r="B27" s="5" t="s">
        <v>419</v>
      </c>
      <c r="C27" s="21">
        <v>1.0</v>
      </c>
    </row>
    <row r="28">
      <c r="A28" s="5">
        <v>640.0</v>
      </c>
      <c r="B28" s="5">
        <v>1500.0</v>
      </c>
      <c r="C28" s="5">
        <v>800.0</v>
      </c>
      <c r="E28" s="5">
        <f>101*1.19</f>
        <v>120.19</v>
      </c>
      <c r="F28" s="5">
        <f>(101*1.3)*1.15</f>
        <v>150.995</v>
      </c>
      <c r="P28">
        <f>P26/P23</f>
        <v>509.3</v>
      </c>
    </row>
    <row r="29">
      <c r="A29" s="5"/>
      <c r="B29" s="5" t="s">
        <v>420</v>
      </c>
      <c r="J29" s="5">
        <v>119.0</v>
      </c>
    </row>
    <row r="30">
      <c r="A30" s="5"/>
      <c r="B30" s="17" t="s">
        <v>421</v>
      </c>
      <c r="J30" s="5">
        <v>134.0</v>
      </c>
    </row>
    <row r="31">
      <c r="A31" s="5"/>
      <c r="B31" s="17" t="s">
        <v>422</v>
      </c>
      <c r="D31" s="21"/>
      <c r="E31" s="5"/>
      <c r="J31" s="5">
        <v>148.0</v>
      </c>
    </row>
    <row r="32">
      <c r="A32" s="5"/>
      <c r="B32" s="17" t="s">
        <v>243</v>
      </c>
      <c r="D32" s="5"/>
      <c r="E32" s="5"/>
      <c r="J32" s="5">
        <v>162.0</v>
      </c>
    </row>
    <row r="33">
      <c r="A33" s="5"/>
      <c r="B33" s="17" t="s">
        <v>423</v>
      </c>
      <c r="D33" s="5"/>
      <c r="E33" s="5"/>
      <c r="J33" s="5">
        <v>176.0</v>
      </c>
    </row>
    <row r="34">
      <c r="A34" s="5"/>
      <c r="B34" s="17" t="s">
        <v>424</v>
      </c>
      <c r="J34">
        <f>AVERAGE(J29:J33)</f>
        <v>147.8</v>
      </c>
    </row>
    <row r="35">
      <c r="A35" s="5"/>
      <c r="B35" s="17" t="s">
        <v>423</v>
      </c>
    </row>
    <row r="36">
      <c r="A36" s="5"/>
      <c r="B36" s="17" t="s">
        <v>425</v>
      </c>
    </row>
    <row r="37">
      <c r="A37" s="76"/>
      <c r="B37" s="77" t="s">
        <v>426</v>
      </c>
      <c r="E37" s="5"/>
      <c r="F37" s="5"/>
    </row>
    <row r="38">
      <c r="A38" s="76"/>
      <c r="B38" s="76" t="s">
        <v>427</v>
      </c>
      <c r="E38" s="5"/>
      <c r="F38" s="5"/>
    </row>
    <row r="39">
      <c r="A39" s="5"/>
      <c r="B39" s="5" t="s">
        <v>428</v>
      </c>
      <c r="C39" s="5" t="s">
        <v>429</v>
      </c>
      <c r="D39" s="78" t="s">
        <v>430</v>
      </c>
      <c r="E39" s="5" t="s">
        <v>431</v>
      </c>
      <c r="F39" s="5" t="s">
        <v>432</v>
      </c>
      <c r="G39" s="5" t="s">
        <v>433</v>
      </c>
      <c r="H39" s="5"/>
      <c r="I39" s="5"/>
      <c r="J39" s="5"/>
    </row>
    <row r="40">
      <c r="A40" s="5"/>
      <c r="B40" s="5" t="s">
        <v>434</v>
      </c>
      <c r="C40" s="5">
        <f>(C54*F40)</f>
        <v>2080</v>
      </c>
      <c r="D40" s="78">
        <f>(C54*F40)*G40</f>
        <v>2288</v>
      </c>
      <c r="E40" s="5">
        <v>1.41</v>
      </c>
      <c r="F40" s="5">
        <v>2.08</v>
      </c>
      <c r="G40" s="5">
        <v>1.1</v>
      </c>
      <c r="H40" s="5"/>
      <c r="I40" s="5"/>
      <c r="J40" s="5"/>
    </row>
    <row r="41">
      <c r="A41" s="5"/>
      <c r="B41" s="5" t="s">
        <v>435</v>
      </c>
      <c r="C41" s="5">
        <f>(C54*F41)</f>
        <v>1790</v>
      </c>
      <c r="D41" s="78">
        <f>(C54*F41)*G41</f>
        <v>2327</v>
      </c>
      <c r="E41" s="5">
        <v>1.25</v>
      </c>
      <c r="F41" s="5">
        <v>1.79</v>
      </c>
      <c r="G41" s="5">
        <v>1.3</v>
      </c>
      <c r="H41" s="5"/>
      <c r="I41" s="5"/>
      <c r="J41" s="5"/>
    </row>
    <row r="42">
      <c r="A42" s="5"/>
      <c r="B42" s="5" t="s">
        <v>436</v>
      </c>
      <c r="C42" s="5">
        <f>(C54*F42)</f>
        <v>1430</v>
      </c>
      <c r="D42" s="78">
        <f>(C54*F42)*G42</f>
        <v>1859</v>
      </c>
      <c r="E42" s="5">
        <v>1.0</v>
      </c>
      <c r="F42" s="5">
        <v>1.43</v>
      </c>
      <c r="G42" s="5">
        <v>1.3</v>
      </c>
      <c r="H42" s="5"/>
      <c r="I42" s="5"/>
      <c r="J42" s="5"/>
    </row>
    <row r="43">
      <c r="A43" s="5"/>
      <c r="B43" s="5" t="s">
        <v>437</v>
      </c>
      <c r="C43" s="5">
        <f>(C54*F43)</f>
        <v>1590</v>
      </c>
      <c r="D43" s="78">
        <f>(C54*F43)*G43</f>
        <v>2067</v>
      </c>
      <c r="E43" s="5">
        <v>1.11</v>
      </c>
      <c r="F43" s="5">
        <v>1.59</v>
      </c>
      <c r="G43" s="5">
        <v>1.3</v>
      </c>
      <c r="H43" s="5"/>
      <c r="I43" s="5"/>
      <c r="J43" s="5"/>
    </row>
    <row r="44">
      <c r="A44" s="5"/>
      <c r="B44" s="5" t="s">
        <v>438</v>
      </c>
      <c r="C44" s="5">
        <f>(C54*F44)</f>
        <v>2380</v>
      </c>
      <c r="D44" s="78">
        <f>(C54*F44)*G44</f>
        <v>3094</v>
      </c>
      <c r="E44" s="5">
        <v>1.66</v>
      </c>
      <c r="F44" s="5">
        <v>2.38</v>
      </c>
      <c r="G44" s="5">
        <v>1.3</v>
      </c>
      <c r="H44" s="5"/>
      <c r="I44" s="5"/>
      <c r="J44" s="5"/>
    </row>
    <row r="45">
      <c r="A45" s="5"/>
      <c r="B45" s="5" t="s">
        <v>439</v>
      </c>
      <c r="C45" s="5">
        <f>(C54*F45)</f>
        <v>2040</v>
      </c>
      <c r="D45" s="78">
        <f>(C54*F45)*G45</f>
        <v>2244</v>
      </c>
      <c r="E45" s="5">
        <v>1.43</v>
      </c>
      <c r="F45" s="5">
        <v>2.04</v>
      </c>
      <c r="G45" s="5">
        <v>1.1</v>
      </c>
      <c r="H45" s="5"/>
      <c r="I45" s="5"/>
      <c r="J45" s="5"/>
    </row>
    <row r="46">
      <c r="A46" s="5"/>
      <c r="B46" s="5" t="s">
        <v>440</v>
      </c>
      <c r="C46" s="5">
        <f>(C54*F46)</f>
        <v>1800</v>
      </c>
      <c r="D46" s="78">
        <f>(C54*F46)*G46</f>
        <v>2340</v>
      </c>
      <c r="E46" s="5">
        <v>1.33</v>
      </c>
      <c r="F46" s="5">
        <v>1.8</v>
      </c>
      <c r="G46" s="5">
        <v>1.3</v>
      </c>
      <c r="H46" s="5"/>
      <c r="I46" s="5"/>
      <c r="J46" s="5"/>
    </row>
    <row r="47">
      <c r="A47" s="5"/>
      <c r="B47" s="5" t="s">
        <v>441</v>
      </c>
      <c r="C47" s="5">
        <f>(C54*F47)</f>
        <v>2080</v>
      </c>
      <c r="D47" s="78">
        <f>(C54*F47)*G47</f>
        <v>2288</v>
      </c>
      <c r="E47" s="5">
        <v>1.41</v>
      </c>
      <c r="F47" s="5">
        <v>2.08</v>
      </c>
      <c r="G47" s="5">
        <v>1.1</v>
      </c>
      <c r="H47" s="5"/>
      <c r="I47" s="5"/>
      <c r="J47" s="5"/>
    </row>
    <row r="48">
      <c r="A48" s="5"/>
      <c r="B48" s="5" t="s">
        <v>442</v>
      </c>
      <c r="C48" s="5">
        <f>(C54*F48)</f>
        <v>1590</v>
      </c>
      <c r="D48" s="78">
        <f>(C54*F48)*G48</f>
        <v>2067</v>
      </c>
      <c r="E48" s="5">
        <v>1.11</v>
      </c>
      <c r="F48" s="5">
        <v>1.59</v>
      </c>
      <c r="G48" s="5">
        <v>1.3</v>
      </c>
      <c r="H48" s="5"/>
      <c r="I48" s="5"/>
      <c r="J48" s="5"/>
    </row>
    <row r="49">
      <c r="A49" s="5"/>
      <c r="B49" s="5" t="s">
        <v>443</v>
      </c>
      <c r="C49" s="5">
        <f>(C54*F49)</f>
        <v>2040</v>
      </c>
      <c r="D49" s="78">
        <f>(C54*F49)*G49</f>
        <v>2244</v>
      </c>
      <c r="E49" s="5">
        <v>1.43</v>
      </c>
      <c r="F49" s="5">
        <v>2.04</v>
      </c>
      <c r="G49" s="5">
        <v>1.1</v>
      </c>
      <c r="H49" s="5"/>
      <c r="I49" s="5"/>
      <c r="J49" s="5"/>
    </row>
    <row r="50">
      <c r="A50" s="5"/>
      <c r="B50" s="5" t="s">
        <v>444</v>
      </c>
      <c r="C50" s="5">
        <f>C54*F50</f>
        <v>1590</v>
      </c>
      <c r="D50" s="78">
        <f>(C54*F50)*G50</f>
        <v>2067</v>
      </c>
      <c r="E50" s="5">
        <v>1.11</v>
      </c>
      <c r="F50" s="5">
        <v>1.59</v>
      </c>
      <c r="G50" s="5">
        <v>1.3</v>
      </c>
      <c r="H50" s="5"/>
      <c r="I50" s="5"/>
      <c r="J50" s="5"/>
    </row>
    <row r="51">
      <c r="A51" s="5"/>
      <c r="B51" s="5" t="s">
        <v>445</v>
      </c>
      <c r="C51" s="5">
        <f>C54*F51</f>
        <v>2040</v>
      </c>
      <c r="D51" s="78">
        <f>(C54*F51)*G51</f>
        <v>2244</v>
      </c>
      <c r="E51" s="5">
        <v>1.43</v>
      </c>
      <c r="F51" s="5">
        <v>2.04</v>
      </c>
      <c r="G51" s="5">
        <v>1.1</v>
      </c>
      <c r="H51" s="5"/>
      <c r="I51" s="5"/>
      <c r="J51" s="5"/>
    </row>
    <row r="52">
      <c r="A52" s="5"/>
      <c r="B52" s="5" t="s">
        <v>446</v>
      </c>
      <c r="C52" s="5">
        <f>C54*F52</f>
        <v>1790</v>
      </c>
      <c r="D52" s="78">
        <f>(C54*F52)*G52</f>
        <v>1969</v>
      </c>
      <c r="E52" s="5">
        <v>1.25</v>
      </c>
      <c r="F52" s="5">
        <v>1.79</v>
      </c>
      <c r="G52" s="5">
        <v>1.1</v>
      </c>
      <c r="H52" s="5"/>
      <c r="I52" s="5"/>
      <c r="J52" s="5"/>
    </row>
    <row r="54">
      <c r="A54" s="5"/>
      <c r="B54" s="5" t="s">
        <v>447</v>
      </c>
      <c r="C54" s="9">
        <v>1000.0</v>
      </c>
    </row>
    <row r="56">
      <c r="A56" s="76"/>
      <c r="B56" s="76" t="s">
        <v>448</v>
      </c>
      <c r="K56" s="5" t="s">
        <v>449</v>
      </c>
    </row>
    <row r="57">
      <c r="A57" s="5"/>
      <c r="B57" s="5" t="s">
        <v>450</v>
      </c>
      <c r="C57" s="5" t="s">
        <v>451</v>
      </c>
      <c r="D57" s="5" t="s">
        <v>452</v>
      </c>
      <c r="E57" s="5" t="s">
        <v>453</v>
      </c>
      <c r="F57" s="5" t="s">
        <v>387</v>
      </c>
      <c r="G57" s="5" t="s">
        <v>454</v>
      </c>
      <c r="H57" s="5" t="s">
        <v>455</v>
      </c>
      <c r="I57" s="5" t="s">
        <v>450</v>
      </c>
      <c r="J57" s="5" t="s">
        <v>451</v>
      </c>
      <c r="K57" s="5" t="s">
        <v>452</v>
      </c>
      <c r="L57" s="5" t="s">
        <v>453</v>
      </c>
      <c r="M57" s="5" t="s">
        <v>387</v>
      </c>
      <c r="N57" s="5" t="s">
        <v>456</v>
      </c>
    </row>
    <row r="58">
      <c r="A58" s="5"/>
      <c r="B58" s="5" t="s">
        <v>457</v>
      </c>
      <c r="C58" s="5">
        <v>115.0</v>
      </c>
      <c r="D58" s="5">
        <v>214.0</v>
      </c>
      <c r="E58">
        <f t="shared" ref="E58:E65" si="5">(D58+C58)/2</f>
        <v>164.5</v>
      </c>
      <c r="F58">
        <f>E58+C67</f>
        <v>455.9285714</v>
      </c>
      <c r="G58" s="79">
        <f t="shared" ref="G58:G65" si="6">(F58/2)+(35*5)</f>
        <v>402.9642857</v>
      </c>
      <c r="H58">
        <f>G58/1.333</f>
        <v>302.298789</v>
      </c>
      <c r="I58" s="5" t="s">
        <v>458</v>
      </c>
      <c r="J58" s="5">
        <v>110.0</v>
      </c>
      <c r="K58" s="5">
        <v>205.0</v>
      </c>
      <c r="L58">
        <f t="shared" ref="L58:L59" si="7">((K58+J58)/2)*1.005</f>
        <v>158.2875</v>
      </c>
      <c r="M58">
        <f>L58+C67</f>
        <v>449.7160714</v>
      </c>
      <c r="N58" s="79">
        <f t="shared" ref="N58:N59" si="8">(M58/2)+(35*5)</f>
        <v>399.8580357</v>
      </c>
    </row>
    <row r="59">
      <c r="A59" s="5"/>
      <c r="B59" s="5" t="s">
        <v>459</v>
      </c>
      <c r="C59" s="5">
        <v>98.0</v>
      </c>
      <c r="D59" s="5">
        <v>183.0</v>
      </c>
      <c r="E59">
        <f t="shared" si="5"/>
        <v>140.5</v>
      </c>
      <c r="F59">
        <f>E59+C67</f>
        <v>431.9285714</v>
      </c>
      <c r="G59" s="79">
        <f t="shared" si="6"/>
        <v>390.9642857</v>
      </c>
      <c r="I59" s="5" t="s">
        <v>459</v>
      </c>
      <c r="J59" s="5">
        <v>98.0</v>
      </c>
      <c r="K59" s="5">
        <v>183.0</v>
      </c>
      <c r="L59">
        <f t="shared" si="7"/>
        <v>141.2025</v>
      </c>
      <c r="M59">
        <f>L59+C67</f>
        <v>432.6310714</v>
      </c>
      <c r="N59" s="79">
        <f t="shared" si="8"/>
        <v>391.3155357</v>
      </c>
    </row>
    <row r="60">
      <c r="A60" s="5"/>
      <c r="B60" s="5" t="s">
        <v>460</v>
      </c>
      <c r="C60" s="5">
        <v>128.0</v>
      </c>
      <c r="D60" s="5">
        <v>193.0</v>
      </c>
      <c r="E60">
        <f t="shared" si="5"/>
        <v>160.5</v>
      </c>
      <c r="F60">
        <f>E60+C67</f>
        <v>451.9285714</v>
      </c>
      <c r="G60" s="79">
        <f t="shared" si="6"/>
        <v>400.9642857</v>
      </c>
    </row>
    <row r="61">
      <c r="A61" s="5"/>
      <c r="B61" s="5" t="s">
        <v>461</v>
      </c>
      <c r="C61" s="5">
        <v>93.0</v>
      </c>
      <c r="D61" s="5">
        <v>174.0</v>
      </c>
      <c r="E61">
        <f t="shared" si="5"/>
        <v>133.5</v>
      </c>
      <c r="F61">
        <f>E61+C67</f>
        <v>424.9285714</v>
      </c>
      <c r="G61" s="79">
        <f t="shared" si="6"/>
        <v>387.4642857</v>
      </c>
      <c r="H61">
        <f>G62/G59</f>
        <v>1.027496118</v>
      </c>
    </row>
    <row r="62">
      <c r="A62" s="5"/>
      <c r="B62" s="5" t="s">
        <v>462</v>
      </c>
      <c r="C62" s="5">
        <v>113.0</v>
      </c>
      <c r="D62" s="5">
        <v>211.0</v>
      </c>
      <c r="E62">
        <f t="shared" si="5"/>
        <v>162</v>
      </c>
      <c r="F62">
        <f>E62+C67</f>
        <v>453.4285714</v>
      </c>
      <c r="G62" s="79">
        <f t="shared" si="6"/>
        <v>401.7142857</v>
      </c>
    </row>
    <row r="63">
      <c r="A63" s="5"/>
      <c r="B63" s="5" t="s">
        <v>463</v>
      </c>
      <c r="C63" s="5">
        <v>182.0</v>
      </c>
      <c r="D63" s="5">
        <v>339.0</v>
      </c>
      <c r="E63">
        <f t="shared" si="5"/>
        <v>260.5</v>
      </c>
      <c r="F63">
        <f>E63+C67</f>
        <v>551.9285714</v>
      </c>
      <c r="G63" s="79">
        <f t="shared" si="6"/>
        <v>450.9642857</v>
      </c>
      <c r="H63">
        <f>G63/1.333</f>
        <v>338.3077912</v>
      </c>
      <c r="I63" s="80"/>
    </row>
    <row r="64">
      <c r="A64" s="5"/>
      <c r="B64" s="5" t="s">
        <v>464</v>
      </c>
      <c r="C64" s="5">
        <v>214.0</v>
      </c>
      <c r="D64" s="5">
        <v>398.0</v>
      </c>
      <c r="E64">
        <f t="shared" si="5"/>
        <v>306</v>
      </c>
      <c r="F64">
        <f>E64+C67</f>
        <v>597.4285714</v>
      </c>
      <c r="G64" s="79">
        <f t="shared" si="6"/>
        <v>473.7142857</v>
      </c>
      <c r="I64" s="81">
        <v>390.9642857142857</v>
      </c>
    </row>
    <row r="65">
      <c r="A65" s="5"/>
      <c r="B65" s="5" t="s">
        <v>465</v>
      </c>
      <c r="C65" s="5">
        <v>44.0</v>
      </c>
      <c r="D65" s="5">
        <v>115.0</v>
      </c>
      <c r="E65">
        <f t="shared" si="5"/>
        <v>79.5</v>
      </c>
      <c r="F65">
        <f>E65+C67</f>
        <v>370.9285714</v>
      </c>
      <c r="G65" s="79">
        <f t="shared" si="6"/>
        <v>360.4642857</v>
      </c>
      <c r="I65" s="81">
        <v>348.4642857142857</v>
      </c>
    </row>
    <row r="66">
      <c r="A66" s="5"/>
      <c r="B66" s="5" t="s">
        <v>466</v>
      </c>
      <c r="C66" s="9">
        <v>1700.0</v>
      </c>
      <c r="I66">
        <f>I64-I65</f>
        <v>42.5</v>
      </c>
    </row>
    <row r="67">
      <c r="A67" s="5"/>
      <c r="B67" s="5" t="s">
        <v>467</v>
      </c>
      <c r="C67">
        <f>C66/14*2.4</f>
        <v>291.4285714</v>
      </c>
      <c r="G67">
        <f>6/2</f>
        <v>3</v>
      </c>
    </row>
    <row r="68">
      <c r="A68" s="5"/>
      <c r="B68" s="5"/>
    </row>
    <row r="69">
      <c r="H69" s="5">
        <v>155.0</v>
      </c>
    </row>
    <row r="70">
      <c r="H70" s="5">
        <v>301.0</v>
      </c>
    </row>
    <row r="71">
      <c r="A71" s="5"/>
      <c r="B71" s="5" t="s">
        <v>134</v>
      </c>
      <c r="C71" s="5" t="s">
        <v>468</v>
      </c>
    </row>
    <row r="72">
      <c r="A72" s="5"/>
      <c r="B72" s="5">
        <v>4.6</v>
      </c>
      <c r="C72" s="5">
        <v>1.0</v>
      </c>
      <c r="D72">
        <f>C72/B72</f>
        <v>0.2173913043</v>
      </c>
    </row>
    <row r="73">
      <c r="A73" s="5"/>
      <c r="B73" s="5">
        <v>15.0</v>
      </c>
      <c r="C73">
        <f>B73*D72</f>
        <v>3.260869565</v>
      </c>
    </row>
    <row r="75">
      <c r="A75" s="5"/>
      <c r="B75" s="5">
        <v>2000.0</v>
      </c>
      <c r="C75">
        <f>B75/6</f>
        <v>333.3333333</v>
      </c>
      <c r="D75">
        <f>C75/200</f>
        <v>1.666666667</v>
      </c>
    </row>
    <row r="76">
      <c r="D76" s="5">
        <v>0.4</v>
      </c>
    </row>
    <row r="77">
      <c r="D77" s="5">
        <v>1.0</v>
      </c>
      <c r="E77" s="5" t="s">
        <v>469</v>
      </c>
    </row>
    <row r="78">
      <c r="D78">
        <f>SUM(D75:D77)</f>
        <v>3.066666667</v>
      </c>
    </row>
    <row r="80">
      <c r="A80" s="76"/>
      <c r="B80" s="76" t="s">
        <v>470</v>
      </c>
    </row>
    <row r="81">
      <c r="H81" s="5" t="s">
        <v>471</v>
      </c>
      <c r="I81" s="5" t="s">
        <v>273</v>
      </c>
      <c r="J81" s="5" t="s">
        <v>387</v>
      </c>
      <c r="M81" s="5" t="s">
        <v>471</v>
      </c>
      <c r="N81" s="5" t="s">
        <v>273</v>
      </c>
      <c r="O81" s="5" t="s">
        <v>387</v>
      </c>
    </row>
    <row r="82">
      <c r="A82" s="5"/>
      <c r="B82" s="82" t="s">
        <v>472</v>
      </c>
      <c r="C82" s="83">
        <v>45.0</v>
      </c>
      <c r="D82" s="83">
        <v>120.0</v>
      </c>
      <c r="E82" s="83">
        <v>45.0</v>
      </c>
      <c r="F82" s="84"/>
      <c r="H82" s="85">
        <f t="shared" ref="H82:H96" si="9">J82/I82</f>
        <v>58.57692308</v>
      </c>
      <c r="I82" s="5">
        <v>2.6</v>
      </c>
      <c r="J82" s="5">
        <v>152.3</v>
      </c>
      <c r="K82">
        <f t="shared" ref="K82:K96" si="10">J82*I82</f>
        <v>395.98</v>
      </c>
      <c r="M82" s="85">
        <f t="shared" ref="M82:M85" si="11">O82/N82</f>
        <v>58.57692308</v>
      </c>
      <c r="N82" s="5">
        <v>2.6</v>
      </c>
      <c r="O82" s="5">
        <v>152.3</v>
      </c>
      <c r="P82">
        <f t="shared" ref="P82:P85" si="12">O82*N82</f>
        <v>395.98</v>
      </c>
    </row>
    <row r="83">
      <c r="A83" s="5"/>
      <c r="B83" s="86" t="s">
        <v>473</v>
      </c>
      <c r="D83" s="5" t="s">
        <v>474</v>
      </c>
      <c r="E83" s="5" t="s">
        <v>475</v>
      </c>
      <c r="F83" s="87"/>
      <c r="H83" s="85">
        <f t="shared" si="9"/>
        <v>68.75</v>
      </c>
      <c r="I83" s="5">
        <v>2.4</v>
      </c>
      <c r="J83" s="5">
        <v>165.0</v>
      </c>
      <c r="K83">
        <f t="shared" si="10"/>
        <v>396</v>
      </c>
      <c r="M83" s="85">
        <f t="shared" si="11"/>
        <v>68.75</v>
      </c>
      <c r="N83" s="5">
        <v>2.4</v>
      </c>
      <c r="O83" s="5">
        <v>165.0</v>
      </c>
      <c r="P83">
        <f t="shared" si="12"/>
        <v>396</v>
      </c>
    </row>
    <row r="84">
      <c r="A84" s="5"/>
      <c r="B84" s="86" t="s">
        <v>476</v>
      </c>
      <c r="C84" s="5">
        <v>45.0</v>
      </c>
      <c r="D84" s="5">
        <v>120.0</v>
      </c>
      <c r="E84" s="5">
        <v>45.0</v>
      </c>
      <c r="F84" s="87"/>
      <c r="H84" s="85">
        <f t="shared" si="9"/>
        <v>81.81818182</v>
      </c>
      <c r="I84" s="5">
        <v>2.2</v>
      </c>
      <c r="J84" s="5">
        <v>180.0</v>
      </c>
      <c r="K84">
        <f t="shared" si="10"/>
        <v>396</v>
      </c>
      <c r="M84" s="85">
        <f t="shared" si="11"/>
        <v>81.81818182</v>
      </c>
      <c r="N84" s="5">
        <v>2.2</v>
      </c>
      <c r="O84" s="5">
        <v>180.0</v>
      </c>
      <c r="P84">
        <f t="shared" si="12"/>
        <v>396</v>
      </c>
    </row>
    <row r="85">
      <c r="A85" s="5"/>
      <c r="B85" s="86" t="s">
        <v>477</v>
      </c>
      <c r="C85" s="5">
        <v>10.0</v>
      </c>
      <c r="D85" s="5">
        <v>15.0</v>
      </c>
      <c r="E85" s="5">
        <v>10.0</v>
      </c>
      <c r="F85" s="87"/>
      <c r="H85" s="85">
        <f t="shared" si="9"/>
        <v>99</v>
      </c>
      <c r="I85" s="5">
        <v>2.0</v>
      </c>
      <c r="J85" s="5">
        <v>198.0</v>
      </c>
      <c r="K85">
        <f t="shared" si="10"/>
        <v>396</v>
      </c>
      <c r="M85" s="85">
        <f t="shared" si="11"/>
        <v>99</v>
      </c>
      <c r="N85" s="5">
        <v>2.0</v>
      </c>
      <c r="O85" s="5">
        <v>198.0</v>
      </c>
      <c r="P85">
        <f t="shared" si="12"/>
        <v>396</v>
      </c>
    </row>
    <row r="86">
      <c r="B86" s="88"/>
      <c r="C86">
        <f t="shared" ref="C86:E86" si="13">C85/C84</f>
        <v>0.2222222222</v>
      </c>
      <c r="D86">
        <f t="shared" si="13"/>
        <v>0.125</v>
      </c>
      <c r="E86">
        <f t="shared" si="13"/>
        <v>0.2222222222</v>
      </c>
      <c r="F86" s="87"/>
      <c r="G86" s="85">
        <f t="shared" ref="G86:G91" si="14">H87-H86</f>
        <v>14.77777778</v>
      </c>
      <c r="H86" s="85">
        <f t="shared" si="9"/>
        <v>122.2222222</v>
      </c>
      <c r="I86" s="5">
        <v>1.8</v>
      </c>
      <c r="J86" s="5">
        <v>220.0</v>
      </c>
      <c r="K86">
        <f t="shared" si="10"/>
        <v>396</v>
      </c>
    </row>
    <row r="87">
      <c r="A87" s="5"/>
      <c r="B87" s="86" t="s">
        <v>478</v>
      </c>
      <c r="C87" s="5">
        <v>20.61</v>
      </c>
      <c r="D87" s="5">
        <v>25.37</v>
      </c>
      <c r="E87" s="5">
        <v>12.68</v>
      </c>
      <c r="F87" s="87"/>
      <c r="G87" s="85">
        <f t="shared" si="14"/>
        <v>17.6875</v>
      </c>
      <c r="H87" s="85">
        <f t="shared" si="9"/>
        <v>137</v>
      </c>
      <c r="I87" s="5">
        <v>1.7</v>
      </c>
      <c r="J87" s="5">
        <v>232.9</v>
      </c>
      <c r="K87">
        <f t="shared" si="10"/>
        <v>395.93</v>
      </c>
    </row>
    <row r="88">
      <c r="B88" s="88"/>
      <c r="C88">
        <f t="shared" ref="C88:E88" si="15">C87*C86</f>
        <v>4.58</v>
      </c>
      <c r="D88">
        <f t="shared" si="15"/>
        <v>3.17125</v>
      </c>
      <c r="E88">
        <f t="shared" si="15"/>
        <v>2.817777778</v>
      </c>
      <c r="F88" s="87">
        <f>SUM(C88:E88)</f>
        <v>10.56902778</v>
      </c>
      <c r="G88" s="85">
        <f t="shared" si="14"/>
        <v>23.3125</v>
      </c>
      <c r="H88" s="85">
        <f t="shared" si="9"/>
        <v>154.6875</v>
      </c>
      <c r="I88" s="5">
        <v>1.6</v>
      </c>
      <c r="J88" s="5">
        <v>247.5</v>
      </c>
      <c r="K88">
        <f t="shared" si="10"/>
        <v>396</v>
      </c>
      <c r="M88" s="85">
        <f t="shared" ref="M88:M95" si="16">N89-N88</f>
        <v>14.77777778</v>
      </c>
      <c r="N88" s="85">
        <f t="shared" ref="N88:N96" si="17">P88/O88</f>
        <v>122.2222222</v>
      </c>
      <c r="O88" s="5">
        <v>1.8</v>
      </c>
      <c r="P88" s="5">
        <v>220.0</v>
      </c>
      <c r="Q88">
        <f>P88*O88</f>
        <v>396</v>
      </c>
    </row>
    <row r="89">
      <c r="A89" s="5"/>
      <c r="B89" s="86" t="s">
        <v>223</v>
      </c>
      <c r="C89" s="5">
        <v>1.4</v>
      </c>
      <c r="D89" s="5">
        <v>1.4</v>
      </c>
      <c r="E89" s="5">
        <v>1.4</v>
      </c>
      <c r="F89" s="89">
        <v>1.4</v>
      </c>
      <c r="G89" s="85">
        <f t="shared" si="14"/>
        <v>24.07142857</v>
      </c>
      <c r="H89" s="85">
        <f t="shared" si="9"/>
        <v>178</v>
      </c>
      <c r="I89" s="5">
        <v>1.5</v>
      </c>
      <c r="J89" s="5">
        <v>267.0</v>
      </c>
      <c r="K89">
        <f t="shared" si="10"/>
        <v>400.5</v>
      </c>
      <c r="M89" s="85">
        <f t="shared" si="16"/>
        <v>17.6875</v>
      </c>
      <c r="N89" s="85">
        <f t="shared" si="17"/>
        <v>137</v>
      </c>
      <c r="O89" s="5">
        <v>1.7</v>
      </c>
      <c r="P89" s="5">
        <v>232.9</v>
      </c>
      <c r="Q89" s="5">
        <v>396.0</v>
      </c>
    </row>
    <row r="90">
      <c r="B90" s="88"/>
      <c r="C90">
        <f t="shared" ref="C90:D90" si="18">C89/(C88/100+1)</f>
        <v>1.338688086</v>
      </c>
      <c r="D90">
        <f t="shared" si="18"/>
        <v>1.356967178</v>
      </c>
      <c r="F90" s="87">
        <f>F89/(F88/100+1)</f>
        <v>1.266177363</v>
      </c>
      <c r="G90" s="85">
        <f t="shared" si="14"/>
        <v>32.23626374</v>
      </c>
      <c r="H90" s="85">
        <f t="shared" si="9"/>
        <v>202.0714286</v>
      </c>
      <c r="I90" s="5">
        <v>1.4</v>
      </c>
      <c r="J90" s="5">
        <v>282.9</v>
      </c>
      <c r="K90">
        <f t="shared" si="10"/>
        <v>396.06</v>
      </c>
      <c r="M90" s="85">
        <f t="shared" si="16"/>
        <v>23.3125</v>
      </c>
      <c r="N90" s="85">
        <f t="shared" si="17"/>
        <v>154.6875</v>
      </c>
      <c r="O90" s="5">
        <v>1.6</v>
      </c>
      <c r="P90" s="5">
        <v>247.5</v>
      </c>
      <c r="Q90" s="5">
        <v>396.0</v>
      </c>
    </row>
    <row r="91">
      <c r="B91" s="88"/>
      <c r="F91" s="87"/>
      <c r="G91" s="85">
        <f t="shared" si="14"/>
        <v>16.92093438</v>
      </c>
      <c r="H91" s="85">
        <f t="shared" si="9"/>
        <v>234.3076923</v>
      </c>
      <c r="I91" s="5">
        <v>1.3</v>
      </c>
      <c r="J91" s="5">
        <v>304.6</v>
      </c>
      <c r="K91">
        <f t="shared" si="10"/>
        <v>395.98</v>
      </c>
      <c r="M91" s="85">
        <f t="shared" si="16"/>
        <v>24.07142857</v>
      </c>
      <c r="N91" s="85">
        <f t="shared" si="17"/>
        <v>178</v>
      </c>
      <c r="O91" s="5">
        <v>1.5</v>
      </c>
      <c r="P91" s="5">
        <v>267.0</v>
      </c>
      <c r="Q91" s="5">
        <v>396.0</v>
      </c>
    </row>
    <row r="92">
      <c r="B92" s="90"/>
      <c r="C92" s="91" t="s">
        <v>479</v>
      </c>
      <c r="D92" s="92">
        <f>J99/F90</f>
        <v>247.0052001</v>
      </c>
      <c r="E92" s="91"/>
      <c r="F92" s="93"/>
      <c r="H92" s="85">
        <f t="shared" si="9"/>
        <v>251.2286267</v>
      </c>
      <c r="I92" s="94">
        <f>F90</f>
        <v>1.266177363</v>
      </c>
      <c r="J92" s="94">
        <v>318.1</v>
      </c>
      <c r="K92">
        <f t="shared" si="10"/>
        <v>402.7710191</v>
      </c>
      <c r="M92" s="85">
        <f t="shared" si="16"/>
        <v>32.23626374</v>
      </c>
      <c r="N92" s="85">
        <f t="shared" si="17"/>
        <v>202.0714286</v>
      </c>
      <c r="O92" s="5">
        <v>1.4</v>
      </c>
      <c r="P92" s="5">
        <v>282.9</v>
      </c>
      <c r="Q92" s="5">
        <v>396.0</v>
      </c>
    </row>
    <row r="93">
      <c r="B93" s="95"/>
      <c r="C93" s="96" t="s">
        <v>471</v>
      </c>
      <c r="D93" s="39">
        <f>D92/6</f>
        <v>41.16753335</v>
      </c>
      <c r="E93" s="39"/>
      <c r="F93" s="40"/>
      <c r="G93" s="85">
        <f t="shared" ref="G93:G95" si="19">H94-H93</f>
        <v>24.09848485</v>
      </c>
      <c r="H93" s="85">
        <f t="shared" si="9"/>
        <v>265.0833333</v>
      </c>
      <c r="I93" s="94">
        <v>1.2</v>
      </c>
      <c r="J93" s="94">
        <v>318.1</v>
      </c>
      <c r="K93">
        <f t="shared" si="10"/>
        <v>381.72</v>
      </c>
      <c r="M93" s="85">
        <f t="shared" si="16"/>
        <v>30.77564103</v>
      </c>
      <c r="N93" s="85">
        <f t="shared" si="17"/>
        <v>234.3076923</v>
      </c>
      <c r="O93" s="5">
        <v>1.3</v>
      </c>
      <c r="P93" s="5">
        <v>304.6</v>
      </c>
      <c r="Q93" s="5">
        <v>396.0</v>
      </c>
    </row>
    <row r="94">
      <c r="A94" s="5"/>
      <c r="B94" s="97" t="s">
        <v>480</v>
      </c>
      <c r="C94" s="83">
        <v>45.0</v>
      </c>
      <c r="D94" s="83">
        <v>120.0</v>
      </c>
      <c r="E94" s="83">
        <v>45.0</v>
      </c>
      <c r="F94" s="84"/>
      <c r="G94" s="85">
        <f t="shared" si="19"/>
        <v>28.91818182</v>
      </c>
      <c r="H94" s="85">
        <f t="shared" si="9"/>
        <v>289.1818182</v>
      </c>
      <c r="I94" s="94">
        <v>1.1</v>
      </c>
      <c r="J94" s="94">
        <v>318.1</v>
      </c>
      <c r="K94">
        <f t="shared" si="10"/>
        <v>349.91</v>
      </c>
      <c r="M94" s="85">
        <f t="shared" si="16"/>
        <v>24.09848485</v>
      </c>
      <c r="N94" s="85">
        <f t="shared" si="17"/>
        <v>265.0833333</v>
      </c>
      <c r="O94" s="94">
        <v>1.2</v>
      </c>
      <c r="P94" s="94">
        <v>318.1</v>
      </c>
      <c r="Q94" s="5">
        <v>396.0</v>
      </c>
    </row>
    <row r="95">
      <c r="A95" s="5"/>
      <c r="B95" s="86" t="s">
        <v>473</v>
      </c>
      <c r="D95" s="5" t="s">
        <v>474</v>
      </c>
      <c r="F95" s="87"/>
      <c r="G95" s="85">
        <f t="shared" si="19"/>
        <v>318.1</v>
      </c>
      <c r="H95" s="85">
        <f t="shared" si="9"/>
        <v>318.1</v>
      </c>
      <c r="I95" s="94">
        <v>1.0</v>
      </c>
      <c r="J95" s="94">
        <v>318.1</v>
      </c>
      <c r="K95">
        <f t="shared" si="10"/>
        <v>318.1</v>
      </c>
      <c r="M95" s="85">
        <f t="shared" si="16"/>
        <v>28.91818182</v>
      </c>
      <c r="N95" s="85">
        <f t="shared" si="17"/>
        <v>289.1818182</v>
      </c>
      <c r="O95" s="94">
        <v>1.1</v>
      </c>
      <c r="P95" s="94">
        <v>318.1</v>
      </c>
      <c r="Q95" s="5">
        <v>396.0</v>
      </c>
    </row>
    <row r="96">
      <c r="A96" s="5"/>
      <c r="B96" s="86" t="s">
        <v>476</v>
      </c>
      <c r="C96" s="5">
        <v>10.0</v>
      </c>
      <c r="D96" s="5">
        <v>120.0</v>
      </c>
      <c r="E96" s="5">
        <v>20.0</v>
      </c>
      <c r="F96" s="87"/>
      <c r="H96" s="85">
        <f t="shared" si="9"/>
        <v>636.2</v>
      </c>
      <c r="I96" s="94">
        <v>0.5</v>
      </c>
      <c r="J96" s="94">
        <v>318.1</v>
      </c>
      <c r="K96">
        <f t="shared" si="10"/>
        <v>159.05</v>
      </c>
      <c r="N96" s="85">
        <f t="shared" si="17"/>
        <v>318.1</v>
      </c>
      <c r="O96" s="94">
        <v>1.0</v>
      </c>
      <c r="P96" s="94">
        <v>318.1</v>
      </c>
      <c r="Q96" s="5">
        <v>396.0</v>
      </c>
    </row>
    <row r="97">
      <c r="A97" s="5"/>
      <c r="B97" s="86" t="s">
        <v>477</v>
      </c>
      <c r="C97" s="5">
        <v>0.0</v>
      </c>
      <c r="D97" s="5">
        <v>0.0</v>
      </c>
      <c r="E97" s="5">
        <v>0.0</v>
      </c>
      <c r="F97" s="87"/>
      <c r="H97" s="85"/>
      <c r="N97" s="85"/>
      <c r="O97" s="94"/>
      <c r="P97" s="94"/>
      <c r="Q97" s="5">
        <v>396.0</v>
      </c>
    </row>
    <row r="98">
      <c r="B98" s="88"/>
      <c r="C98">
        <f t="shared" ref="C98:E98" si="20">C97/C96</f>
        <v>0</v>
      </c>
      <c r="D98">
        <f t="shared" si="20"/>
        <v>0</v>
      </c>
      <c r="E98">
        <f t="shared" si="20"/>
        <v>0</v>
      </c>
      <c r="F98" s="87"/>
      <c r="H98" s="85">
        <f t="shared" ref="H98:H107" si="21">J98/I98</f>
        <v>58.57988166</v>
      </c>
      <c r="I98" s="5">
        <v>2.6</v>
      </c>
      <c r="J98">
        <f t="shared" ref="J98:J107" si="22">K98/I98</f>
        <v>152.3076923</v>
      </c>
      <c r="K98" s="5">
        <v>396.0</v>
      </c>
    </row>
    <row r="99">
      <c r="A99" s="5"/>
      <c r="B99" s="86" t="s">
        <v>478</v>
      </c>
      <c r="C99" s="5">
        <v>20.61</v>
      </c>
      <c r="D99" s="5">
        <v>25.37</v>
      </c>
      <c r="E99" s="5">
        <v>12.68</v>
      </c>
      <c r="F99" s="87"/>
      <c r="H99" s="85">
        <f t="shared" si="21"/>
        <v>247.0052001</v>
      </c>
      <c r="I99" s="5">
        <f>F90</f>
        <v>1.266177363</v>
      </c>
      <c r="J99">
        <f t="shared" si="22"/>
        <v>312.7523929</v>
      </c>
      <c r="K99" s="5">
        <v>396.0</v>
      </c>
    </row>
    <row r="100">
      <c r="B100" s="88"/>
      <c r="C100">
        <f t="shared" ref="C100:E100" si="23">C99*C98</f>
        <v>0</v>
      </c>
      <c r="D100">
        <f t="shared" si="23"/>
        <v>0</v>
      </c>
      <c r="E100">
        <f t="shared" si="23"/>
        <v>0</v>
      </c>
      <c r="F100" s="87">
        <f>SUM(C100:E100)</f>
        <v>0</v>
      </c>
      <c r="H100" s="85">
        <f t="shared" si="21"/>
        <v>275</v>
      </c>
      <c r="I100" s="5">
        <v>1.2</v>
      </c>
      <c r="J100">
        <f t="shared" si="22"/>
        <v>330</v>
      </c>
      <c r="K100" s="5">
        <v>396.0</v>
      </c>
    </row>
    <row r="101">
      <c r="A101" s="5"/>
      <c r="B101" s="86" t="s">
        <v>223</v>
      </c>
      <c r="C101" s="5">
        <v>1.3</v>
      </c>
      <c r="D101" s="5">
        <v>1.3</v>
      </c>
      <c r="E101" s="5">
        <v>1.3</v>
      </c>
      <c r="F101" s="89">
        <v>1.3</v>
      </c>
      <c r="H101" s="85">
        <f t="shared" si="21"/>
        <v>327.2727273</v>
      </c>
      <c r="I101" s="5">
        <v>1.1</v>
      </c>
      <c r="J101">
        <f t="shared" si="22"/>
        <v>360</v>
      </c>
      <c r="K101" s="5">
        <v>396.0</v>
      </c>
    </row>
    <row r="102">
      <c r="B102" s="88"/>
      <c r="C102" s="5">
        <v>1.4</v>
      </c>
      <c r="D102" s="5">
        <v>1.4</v>
      </c>
      <c r="E102" s="5">
        <v>1.4</v>
      </c>
      <c r="F102" s="89">
        <v>1.5</v>
      </c>
      <c r="H102" s="85">
        <f t="shared" si="21"/>
        <v>396</v>
      </c>
      <c r="I102" s="5">
        <v>1.0</v>
      </c>
      <c r="J102">
        <f t="shared" si="22"/>
        <v>396</v>
      </c>
      <c r="K102" s="5">
        <v>396.0</v>
      </c>
    </row>
    <row r="103">
      <c r="B103" s="88"/>
      <c r="F103" s="87"/>
      <c r="H103" s="85">
        <f t="shared" si="21"/>
        <v>488.8888889</v>
      </c>
      <c r="I103" s="5">
        <v>0.9</v>
      </c>
      <c r="J103">
        <f t="shared" si="22"/>
        <v>440</v>
      </c>
      <c r="K103" s="5">
        <v>396.0</v>
      </c>
    </row>
    <row r="104">
      <c r="B104" s="88"/>
      <c r="C104" s="5" t="s">
        <v>471</v>
      </c>
      <c r="D104">
        <f>J99/F102</f>
        <v>208.5015952</v>
      </c>
      <c r="F104" s="87"/>
      <c r="H104" s="85">
        <f t="shared" si="21"/>
        <v>618.75</v>
      </c>
      <c r="I104" s="5">
        <v>0.8</v>
      </c>
      <c r="J104">
        <f t="shared" si="22"/>
        <v>495</v>
      </c>
      <c r="K104" s="5">
        <v>396.0</v>
      </c>
    </row>
    <row r="105">
      <c r="B105" s="88"/>
      <c r="C105" s="5" t="s">
        <v>481</v>
      </c>
      <c r="D105">
        <v>215.058444046875</v>
      </c>
      <c r="F105" s="87"/>
      <c r="H105" s="85">
        <f t="shared" si="21"/>
        <v>808.1632653</v>
      </c>
      <c r="I105" s="5">
        <v>0.7</v>
      </c>
      <c r="J105">
        <f t="shared" si="22"/>
        <v>565.7142857</v>
      </c>
      <c r="K105" s="5">
        <v>396.0</v>
      </c>
    </row>
    <row r="106">
      <c r="B106" s="88"/>
      <c r="D106">
        <f>D104-D105</f>
        <v>-6.556848809</v>
      </c>
      <c r="F106" s="87"/>
      <c r="H106" s="85">
        <f t="shared" si="21"/>
        <v>1100</v>
      </c>
      <c r="I106" s="5">
        <v>0.6</v>
      </c>
      <c r="J106">
        <f t="shared" si="22"/>
        <v>660</v>
      </c>
      <c r="K106" s="5">
        <v>396.0</v>
      </c>
    </row>
    <row r="107">
      <c r="B107" s="90"/>
      <c r="C107" s="92"/>
      <c r="D107" s="92">
        <f>D106/6</f>
        <v>-1.092808135</v>
      </c>
      <c r="E107" s="91" t="s">
        <v>482</v>
      </c>
      <c r="F107" s="93"/>
      <c r="H107" s="85">
        <f t="shared" si="21"/>
        <v>1584</v>
      </c>
      <c r="I107" s="5">
        <v>0.5</v>
      </c>
      <c r="J107">
        <f t="shared" si="22"/>
        <v>792</v>
      </c>
      <c r="K107" s="5">
        <v>396.0</v>
      </c>
    </row>
    <row r="108">
      <c r="I108" s="5"/>
      <c r="K108" s="5"/>
    </row>
    <row r="109">
      <c r="A109" s="10"/>
      <c r="B109" s="10" t="s">
        <v>483</v>
      </c>
      <c r="I109" s="5"/>
      <c r="K109" s="5"/>
    </row>
    <row r="110">
      <c r="A110" s="5"/>
      <c r="B110" s="17" t="s">
        <v>484</v>
      </c>
      <c r="I110" s="5"/>
      <c r="K110" s="5"/>
    </row>
    <row r="111">
      <c r="A111" s="5"/>
      <c r="B111" s="17" t="s">
        <v>485</v>
      </c>
      <c r="I111" s="5"/>
      <c r="K111" s="5"/>
    </row>
    <row r="112">
      <c r="A112" s="5"/>
      <c r="B112" s="17" t="s">
        <v>486</v>
      </c>
      <c r="I112" s="5"/>
      <c r="K112" s="5"/>
    </row>
    <row r="113">
      <c r="A113" s="5"/>
      <c r="B113" s="17" t="s">
        <v>487</v>
      </c>
      <c r="I113" s="5"/>
      <c r="K113" s="5"/>
    </row>
    <row r="114">
      <c r="A114" s="5"/>
      <c r="B114" s="17" t="s">
        <v>488</v>
      </c>
      <c r="I114" s="5"/>
      <c r="K114" s="5"/>
    </row>
    <row r="115">
      <c r="I115" s="5"/>
      <c r="K115" s="5"/>
    </row>
    <row r="121">
      <c r="A121" s="9"/>
      <c r="B121" s="97" t="s">
        <v>480</v>
      </c>
      <c r="C121" s="5">
        <v>45.0</v>
      </c>
      <c r="D121" s="5">
        <v>120.0</v>
      </c>
      <c r="E121" s="5">
        <v>45.0</v>
      </c>
      <c r="H121" s="5"/>
    </row>
    <row r="122">
      <c r="A122" s="5"/>
      <c r="B122" s="5" t="s">
        <v>473</v>
      </c>
      <c r="D122" s="5" t="s">
        <v>474</v>
      </c>
      <c r="I122" s="5">
        <v>120.0</v>
      </c>
      <c r="O122" s="5" t="s">
        <v>489</v>
      </c>
      <c r="P122" s="5" t="s">
        <v>46</v>
      </c>
      <c r="Q122" s="5" t="s">
        <v>490</v>
      </c>
      <c r="R122" s="5" t="s">
        <v>356</v>
      </c>
      <c r="S122" s="5" t="s">
        <v>363</v>
      </c>
      <c r="T122" s="5" t="s">
        <v>159</v>
      </c>
      <c r="V122" s="5" t="s">
        <v>491</v>
      </c>
    </row>
    <row r="123">
      <c r="A123" s="5"/>
      <c r="B123" s="5" t="s">
        <v>476</v>
      </c>
      <c r="C123" s="5">
        <v>10.0</v>
      </c>
      <c r="D123" s="5">
        <v>120.0</v>
      </c>
      <c r="E123" s="5">
        <v>20.0</v>
      </c>
      <c r="H123" s="5"/>
      <c r="I123" s="5">
        <v>15.0</v>
      </c>
      <c r="J123">
        <f>I123/I122</f>
        <v>0.125</v>
      </c>
      <c r="O123" s="98" t="s">
        <v>492</v>
      </c>
      <c r="P123" s="98">
        <v>28.0</v>
      </c>
      <c r="Q123" s="98">
        <v>13.0</v>
      </c>
      <c r="R123" s="98">
        <v>25.0</v>
      </c>
      <c r="S123" s="98">
        <v>18.0</v>
      </c>
      <c r="T123" s="98">
        <v>16.0</v>
      </c>
      <c r="U123" s="99">
        <f t="shared" ref="U123:U126" si="24">SUM(P123:T123)</f>
        <v>100</v>
      </c>
      <c r="V123" s="99">
        <f t="shared" ref="V123:V126" si="25">U123-U129</f>
        <v>59</v>
      </c>
    </row>
    <row r="124">
      <c r="A124" s="5"/>
      <c r="B124" s="5" t="s">
        <v>477</v>
      </c>
      <c r="C124" s="5">
        <v>10.0</v>
      </c>
      <c r="D124" s="5">
        <v>15.0</v>
      </c>
      <c r="E124" s="5">
        <v>10.0</v>
      </c>
      <c r="H124" s="5"/>
      <c r="J124" s="5" t="s">
        <v>493</v>
      </c>
      <c r="O124" s="5" t="s">
        <v>494</v>
      </c>
      <c r="P124" s="5">
        <v>28.0</v>
      </c>
      <c r="Q124" s="5">
        <v>21.0</v>
      </c>
      <c r="R124" s="5">
        <v>26.0</v>
      </c>
      <c r="S124" s="5">
        <v>28.0</v>
      </c>
      <c r="T124" s="5">
        <v>16.0</v>
      </c>
      <c r="U124">
        <f t="shared" si="24"/>
        <v>119</v>
      </c>
      <c r="V124">
        <f t="shared" si="25"/>
        <v>30</v>
      </c>
    </row>
    <row r="125">
      <c r="C125">
        <f t="shared" ref="C125:E125" si="26">C124/C123</f>
        <v>1</v>
      </c>
      <c r="D125">
        <f t="shared" si="26"/>
        <v>0.125</v>
      </c>
      <c r="E125">
        <f t="shared" si="26"/>
        <v>0.5</v>
      </c>
      <c r="O125" s="98" t="s">
        <v>495</v>
      </c>
      <c r="P125" s="99"/>
      <c r="Q125" s="98">
        <v>32.0</v>
      </c>
      <c r="R125" s="99"/>
      <c r="S125" s="98">
        <v>33.0</v>
      </c>
      <c r="T125" s="98">
        <v>44.0</v>
      </c>
      <c r="U125" s="99">
        <f t="shared" si="24"/>
        <v>109</v>
      </c>
      <c r="V125" s="99">
        <f t="shared" si="25"/>
        <v>32</v>
      </c>
    </row>
    <row r="126">
      <c r="A126" s="5"/>
      <c r="B126" s="5" t="s">
        <v>478</v>
      </c>
      <c r="C126" s="5">
        <v>20.61</v>
      </c>
      <c r="D126" s="5">
        <v>25.37</v>
      </c>
      <c r="E126" s="5">
        <v>12.68</v>
      </c>
      <c r="H126" s="5"/>
      <c r="J126" s="5">
        <v>0.0</v>
      </c>
      <c r="O126" s="5" t="s">
        <v>181</v>
      </c>
      <c r="R126" s="5">
        <v>1.52</v>
      </c>
      <c r="U126">
        <f t="shared" si="24"/>
        <v>1.52</v>
      </c>
      <c r="V126">
        <f t="shared" si="25"/>
        <v>1.52</v>
      </c>
    </row>
    <row r="127">
      <c r="C127">
        <f t="shared" ref="C127:E127" si="27">C126*C125</f>
        <v>20.61</v>
      </c>
      <c r="D127">
        <f t="shared" si="27"/>
        <v>3.17125</v>
      </c>
      <c r="E127">
        <f t="shared" si="27"/>
        <v>6.34</v>
      </c>
      <c r="F127">
        <f>SUM(C127:E127)</f>
        <v>30.12125</v>
      </c>
    </row>
    <row r="128">
      <c r="A128" s="5"/>
      <c r="B128" s="5" t="s">
        <v>223</v>
      </c>
      <c r="C128" s="5">
        <v>1.3</v>
      </c>
      <c r="D128" s="5">
        <v>1.3</v>
      </c>
      <c r="E128" s="5">
        <v>1.3</v>
      </c>
      <c r="F128" s="5">
        <v>1.4</v>
      </c>
      <c r="H128" s="5"/>
      <c r="O128" s="5" t="s">
        <v>496</v>
      </c>
    </row>
    <row r="129">
      <c r="C129">
        <f t="shared" ref="C129:F129" si="28">C128/(C127/100+1)</f>
        <v>1.077854241</v>
      </c>
      <c r="D129">
        <f t="shared" si="28"/>
        <v>1.260040951</v>
      </c>
      <c r="E129">
        <f t="shared" si="28"/>
        <v>1.222493888</v>
      </c>
      <c r="F129">
        <f t="shared" si="28"/>
        <v>1.075919575</v>
      </c>
      <c r="J129" s="5" t="s">
        <v>497</v>
      </c>
      <c r="O129" s="98" t="s">
        <v>492</v>
      </c>
      <c r="P129" s="98">
        <v>23.0</v>
      </c>
      <c r="Q129" s="99"/>
      <c r="R129" s="99"/>
      <c r="S129" s="99"/>
      <c r="T129" s="98">
        <v>18.0</v>
      </c>
      <c r="U129" s="99">
        <f t="shared" ref="U129:U131" si="29">SUM(P129:T129)</f>
        <v>41</v>
      </c>
    </row>
    <row r="130">
      <c r="J130" s="5" t="s">
        <v>498</v>
      </c>
      <c r="K130" s="5">
        <v>1.43</v>
      </c>
      <c r="O130" s="5" t="s">
        <v>494</v>
      </c>
      <c r="P130" s="5">
        <v>28.0</v>
      </c>
      <c r="R130" s="5">
        <v>37.0</v>
      </c>
      <c r="S130" s="5">
        <v>24.0</v>
      </c>
      <c r="U130">
        <f t="shared" si="29"/>
        <v>89</v>
      </c>
    </row>
    <row r="131">
      <c r="C131" s="5" t="s">
        <v>471</v>
      </c>
      <c r="D131">
        <f>J126/F129</f>
        <v>0</v>
      </c>
      <c r="J131" s="5" t="s">
        <v>499</v>
      </c>
      <c r="K131" s="5">
        <v>10.0</v>
      </c>
      <c r="O131" s="98" t="s">
        <v>495</v>
      </c>
      <c r="P131" s="98">
        <v>35.0</v>
      </c>
      <c r="Q131" s="99"/>
      <c r="R131" s="99"/>
      <c r="S131" s="98">
        <v>42.0</v>
      </c>
      <c r="T131" s="99"/>
      <c r="U131" s="99">
        <f t="shared" si="29"/>
        <v>77</v>
      </c>
    </row>
    <row r="132">
      <c r="C132" s="5" t="s">
        <v>481</v>
      </c>
      <c r="D132">
        <v>215.058444046875</v>
      </c>
      <c r="J132" s="5" t="s">
        <v>500</v>
      </c>
      <c r="K132">
        <f>K131*K130</f>
        <v>14.3</v>
      </c>
      <c r="O132" s="5" t="s">
        <v>181</v>
      </c>
    </row>
    <row r="133">
      <c r="D133">
        <f>D131-D132</f>
        <v>-215.058444</v>
      </c>
      <c r="K133">
        <f>K132/60</f>
        <v>0.2383333333</v>
      </c>
      <c r="L133" s="5">
        <v>2.817777778</v>
      </c>
    </row>
    <row r="134">
      <c r="D134">
        <f>D133/6</f>
        <v>-35.84307401</v>
      </c>
    </row>
    <row r="136">
      <c r="B136" s="10" t="s">
        <v>501</v>
      </c>
    </row>
    <row r="137">
      <c r="D137" s="5" t="s">
        <v>502</v>
      </c>
      <c r="H137" s="5" t="s">
        <v>503</v>
      </c>
      <c r="I137" s="5" t="s">
        <v>504</v>
      </c>
    </row>
    <row r="138">
      <c r="B138" s="5" t="s">
        <v>505</v>
      </c>
      <c r="C138" s="5">
        <f>263*E162</f>
        <v>274.835</v>
      </c>
      <c r="D138">
        <f t="shared" ref="D138:D139" si="30">C138*2</f>
        <v>549.67</v>
      </c>
      <c r="H138">
        <f>C138*2</f>
        <v>549.67</v>
      </c>
      <c r="I138">
        <f>C139*2</f>
        <v>210</v>
      </c>
    </row>
    <row r="139">
      <c r="B139" s="5" t="s">
        <v>506</v>
      </c>
      <c r="C139" s="5">
        <v>105.0</v>
      </c>
      <c r="D139">
        <f t="shared" si="30"/>
        <v>210</v>
      </c>
      <c r="E139" s="5" t="s">
        <v>387</v>
      </c>
      <c r="H139">
        <f>(H138*1.75)+E19</f>
        <v>1262.9225</v>
      </c>
      <c r="I139">
        <f>(I138*1.75)+E19</f>
        <v>668.5</v>
      </c>
    </row>
    <row r="140">
      <c r="D140">
        <f>D138-D139</f>
        <v>339.67</v>
      </c>
      <c r="E140">
        <f>D140*1.75</f>
        <v>594.4225</v>
      </c>
      <c r="H140">
        <f t="shared" ref="H140:I140" si="31">H139/4</f>
        <v>315.730625</v>
      </c>
      <c r="I140">
        <f t="shared" si="31"/>
        <v>167.125</v>
      </c>
    </row>
    <row r="142">
      <c r="B142" s="5" t="s">
        <v>507</v>
      </c>
      <c r="C142" s="5">
        <f>525*E162</f>
        <v>548.625</v>
      </c>
      <c r="H142">
        <f>C142</f>
        <v>548.625</v>
      </c>
      <c r="I142">
        <f>C143</f>
        <v>701</v>
      </c>
    </row>
    <row r="143">
      <c r="B143" s="5" t="s">
        <v>508</v>
      </c>
      <c r="C143" s="5">
        <v>701.0</v>
      </c>
      <c r="H143">
        <f>(H142*1.75)+C7</f>
        <v>1267.09375</v>
      </c>
      <c r="I143">
        <f>(I142*1.75)+C7</f>
        <v>1533.75</v>
      </c>
    </row>
    <row r="144">
      <c r="C144">
        <f>C143-C142</f>
        <v>152.375</v>
      </c>
      <c r="D144">
        <f>C144*1.75</f>
        <v>266.65625</v>
      </c>
      <c r="E144">
        <f>E140-D144</f>
        <v>327.76625</v>
      </c>
      <c r="H144">
        <f t="shared" ref="H144:I144" si="32">H143/4</f>
        <v>316.7734375</v>
      </c>
      <c r="I144">
        <f t="shared" si="32"/>
        <v>383.4375</v>
      </c>
    </row>
    <row r="145">
      <c r="E145">
        <f>E144/4</f>
        <v>81.9415625</v>
      </c>
    </row>
    <row r="146">
      <c r="B146" s="5" t="s">
        <v>509</v>
      </c>
      <c r="C146" s="5">
        <f>288*E162</f>
        <v>300.96</v>
      </c>
      <c r="H146">
        <f>C146</f>
        <v>300.96</v>
      </c>
      <c r="I146">
        <f>C147</f>
        <v>251</v>
      </c>
    </row>
    <row r="147">
      <c r="B147" s="5" t="s">
        <v>510</v>
      </c>
      <c r="C147" s="5">
        <v>251.0</v>
      </c>
      <c r="F147" s="5">
        <v>1.4</v>
      </c>
      <c r="H147">
        <f>H146*F149</f>
        <v>859.8857143</v>
      </c>
      <c r="I147">
        <f>I146*F149</f>
        <v>717.1428571</v>
      </c>
    </row>
    <row r="148">
      <c r="C148">
        <f>C146-C147</f>
        <v>49.96</v>
      </c>
      <c r="D148">
        <f>C148*1.75</f>
        <v>87.43</v>
      </c>
      <c r="F148" s="5">
        <v>4.0</v>
      </c>
      <c r="H148">
        <f>(H147*1.75)+C11</f>
        <v>1700.8</v>
      </c>
      <c r="I148">
        <f>(I147*1.75)+C11</f>
        <v>1451</v>
      </c>
    </row>
    <row r="149">
      <c r="E149">
        <f>D148*F149</f>
        <v>249.8</v>
      </c>
      <c r="F149">
        <f>F148/F147</f>
        <v>2.857142857</v>
      </c>
      <c r="H149">
        <f t="shared" ref="H149:I149" si="33">H148/4</f>
        <v>425.2</v>
      </c>
      <c r="I149">
        <f t="shared" si="33"/>
        <v>362.75</v>
      </c>
    </row>
    <row r="150">
      <c r="D150" s="5"/>
      <c r="E150">
        <f>E149/4</f>
        <v>62.45</v>
      </c>
    </row>
    <row r="152">
      <c r="B152" s="5" t="s">
        <v>511</v>
      </c>
      <c r="C152" s="5">
        <f>299*E162</f>
        <v>312.455</v>
      </c>
      <c r="H152">
        <f>C152</f>
        <v>312.455</v>
      </c>
      <c r="I152">
        <f>C153</f>
        <v>281</v>
      </c>
    </row>
    <row r="153">
      <c r="B153" s="5" t="s">
        <v>512</v>
      </c>
      <c r="C153" s="5">
        <v>281.0</v>
      </c>
      <c r="F153" s="5"/>
      <c r="H153">
        <f>(H152*1.75)+C10</f>
        <v>771.79625</v>
      </c>
      <c r="I153">
        <f>(I152*1.75)+C10</f>
        <v>716.75</v>
      </c>
    </row>
    <row r="154">
      <c r="C154">
        <f>C152-C153</f>
        <v>31.455</v>
      </c>
      <c r="D154">
        <f>C154*1.75</f>
        <v>55.04625</v>
      </c>
      <c r="F154" s="5"/>
      <c r="H154">
        <f t="shared" ref="H154:I154" si="34">H153/4</f>
        <v>192.9490625</v>
      </c>
      <c r="I154">
        <f t="shared" si="34"/>
        <v>179.1875</v>
      </c>
    </row>
    <row r="155">
      <c r="E155">
        <f>D154/4</f>
        <v>13.7615625</v>
      </c>
      <c r="H155">
        <f t="shared" ref="H155:I155" si="35">H154+H149+H144+H140</f>
        <v>1250.653125</v>
      </c>
      <c r="I155">
        <f t="shared" si="35"/>
        <v>1092.5</v>
      </c>
    </row>
    <row r="156">
      <c r="H156">
        <f>H155/I155</f>
        <v>1.144762586</v>
      </c>
    </row>
    <row r="157">
      <c r="E157">
        <f>E155+E150+E145</f>
        <v>158.153125</v>
      </c>
    </row>
    <row r="158">
      <c r="H158">
        <v>1.1893482490272373</v>
      </c>
    </row>
    <row r="159">
      <c r="E159" s="5">
        <v>17.7</v>
      </c>
    </row>
    <row r="160">
      <c r="E160" s="5">
        <v>13.2</v>
      </c>
    </row>
    <row r="161">
      <c r="D161" s="5" t="s">
        <v>513</v>
      </c>
      <c r="E161">
        <f>E159-E160</f>
        <v>4.5</v>
      </c>
    </row>
    <row r="162">
      <c r="D162" s="5" t="s">
        <v>514</v>
      </c>
      <c r="E162" s="5">
        <v>1.045</v>
      </c>
    </row>
    <row r="164">
      <c r="G164" s="21">
        <v>0.04</v>
      </c>
    </row>
    <row r="165">
      <c r="G165" s="29">
        <v>0.004</v>
      </c>
    </row>
    <row r="166">
      <c r="C166" s="5">
        <v>43.0</v>
      </c>
      <c r="E166" s="5">
        <v>168.0</v>
      </c>
    </row>
    <row r="167">
      <c r="C167" s="5">
        <v>40.7</v>
      </c>
      <c r="E167" s="5">
        <v>3075.0</v>
      </c>
    </row>
    <row r="168">
      <c r="C168">
        <f>C166-C167</f>
        <v>2.3</v>
      </c>
      <c r="E168" s="5">
        <v>800.0</v>
      </c>
    </row>
    <row r="169">
      <c r="E169" s="5">
        <v>610.0</v>
      </c>
    </row>
    <row r="170">
      <c r="E170" s="5">
        <v>840.0</v>
      </c>
      <c r="F170" s="5">
        <v>7700.0</v>
      </c>
      <c r="G170">
        <f>F170-E174</f>
        <v>1843</v>
      </c>
    </row>
    <row r="171">
      <c r="E171" s="5">
        <v>252.0</v>
      </c>
    </row>
    <row r="172">
      <c r="E172" s="5">
        <v>112.0</v>
      </c>
    </row>
    <row r="174">
      <c r="E174">
        <f>SUM(E166:E173)</f>
        <v>5857</v>
      </c>
    </row>
    <row r="178">
      <c r="G178" s="5"/>
    </row>
    <row r="179">
      <c r="F179" s="5" t="s">
        <v>515</v>
      </c>
    </row>
    <row r="180">
      <c r="F180" s="5" t="s">
        <v>516</v>
      </c>
      <c r="G180" s="5">
        <v>98.0</v>
      </c>
      <c r="H180" s="5">
        <v>182.0</v>
      </c>
    </row>
    <row r="181">
      <c r="F181" s="5" t="s">
        <v>517</v>
      </c>
      <c r="G181">
        <f>(G180+H180)/2</f>
        <v>140</v>
      </c>
    </row>
    <row r="182">
      <c r="F182" s="5" t="s">
        <v>39</v>
      </c>
      <c r="G182" s="5">
        <v>1218.0</v>
      </c>
    </row>
    <row r="183">
      <c r="F183" s="5" t="s">
        <v>518</v>
      </c>
      <c r="G183">
        <f>G182/14*2.4</f>
        <v>208.8</v>
      </c>
    </row>
    <row r="184">
      <c r="F184" s="5" t="s">
        <v>519</v>
      </c>
      <c r="G184">
        <f>G183+G181</f>
        <v>348.8</v>
      </c>
    </row>
    <row r="185">
      <c r="F185" s="5" t="s">
        <v>520</v>
      </c>
      <c r="G185">
        <f>G184/2</f>
        <v>174.4</v>
      </c>
    </row>
    <row r="186">
      <c r="B186" s="5">
        <v>180.0</v>
      </c>
      <c r="F186" s="5" t="s">
        <v>521</v>
      </c>
      <c r="G186" s="5">
        <v>5.0</v>
      </c>
    </row>
    <row r="187">
      <c r="B187" s="5">
        <v>30.0</v>
      </c>
      <c r="F187" s="5" t="s">
        <v>522</v>
      </c>
      <c r="G187">
        <f>G185+(G186*35)</f>
        <v>349.4</v>
      </c>
    </row>
    <row r="188">
      <c r="B188">
        <f>B186/B187</f>
        <v>6</v>
      </c>
      <c r="F188" s="5" t="s">
        <v>523</v>
      </c>
      <c r="G188" s="5">
        <v>1.0</v>
      </c>
    </row>
    <row r="189">
      <c r="F189" s="5"/>
      <c r="G189" s="85"/>
    </row>
    <row r="190">
      <c r="F190" s="5" t="s">
        <v>522</v>
      </c>
      <c r="G190" s="85">
        <f>G187*G188</f>
        <v>349.4</v>
      </c>
    </row>
    <row r="191">
      <c r="F191" s="5" t="s">
        <v>524</v>
      </c>
      <c r="G191" s="5">
        <f>T2</f>
        <v>0.2005347594</v>
      </c>
    </row>
    <row r="192">
      <c r="F192" s="5" t="s">
        <v>525</v>
      </c>
      <c r="G192">
        <f>G190/(1+G191)</f>
        <v>291.036971</v>
      </c>
    </row>
    <row r="193">
      <c r="F193" s="5" t="s">
        <v>526</v>
      </c>
      <c r="G193" t="str">
        <f>G167</f>
        <v/>
      </c>
    </row>
    <row r="194">
      <c r="B194" s="100" t="s">
        <v>527</v>
      </c>
      <c r="F194" s="5" t="s">
        <v>387</v>
      </c>
      <c r="G194">
        <f>(G193+G192)*1.45</f>
        <v>422.003608</v>
      </c>
    </row>
    <row r="195">
      <c r="B195" s="5" t="s">
        <v>307</v>
      </c>
    </row>
    <row r="196">
      <c r="B196" s="5" t="s">
        <v>528</v>
      </c>
    </row>
    <row r="197">
      <c r="B197" s="5" t="s">
        <v>529</v>
      </c>
      <c r="C197" s="5">
        <v>5.0</v>
      </c>
    </row>
    <row r="198">
      <c r="B198" s="5" t="s">
        <v>530</v>
      </c>
      <c r="C198">
        <f>105+15*C197</f>
        <v>180</v>
      </c>
    </row>
    <row r="200">
      <c r="B200" s="5" t="s">
        <v>531</v>
      </c>
      <c r="G200" s="5" t="s">
        <v>531</v>
      </c>
    </row>
    <row r="201">
      <c r="A201" s="5" t="s">
        <v>532</v>
      </c>
      <c r="B201" s="5" t="s">
        <v>516</v>
      </c>
      <c r="C201" s="5">
        <v>174.0</v>
      </c>
      <c r="D201" s="5">
        <v>264.0</v>
      </c>
      <c r="F201" s="5" t="s">
        <v>532</v>
      </c>
      <c r="G201" s="5" t="s">
        <v>516</v>
      </c>
      <c r="H201" s="5">
        <v>174.0</v>
      </c>
      <c r="I201" s="5">
        <v>264.0</v>
      </c>
    </row>
    <row r="202">
      <c r="B202" s="5" t="s">
        <v>517</v>
      </c>
      <c r="C202">
        <f>(C201+D201)/2</f>
        <v>219</v>
      </c>
      <c r="G202" s="5" t="s">
        <v>517</v>
      </c>
      <c r="H202">
        <f>AVERAGE(H201,I201)</f>
        <v>219</v>
      </c>
    </row>
    <row r="203">
      <c r="B203" s="5" t="s">
        <v>529</v>
      </c>
      <c r="C203" s="5">
        <v>5.0</v>
      </c>
      <c r="G203" s="5" t="s">
        <v>529</v>
      </c>
      <c r="H203" s="5">
        <v>5.0</v>
      </c>
    </row>
    <row r="204">
      <c r="B204" s="5" t="s">
        <v>533</v>
      </c>
      <c r="C204">
        <f>(C202/2)+(35*C203)</f>
        <v>284.5</v>
      </c>
      <c r="G204" s="5" t="s">
        <v>533</v>
      </c>
      <c r="H204">
        <f>(H202/2)+(35*H203)</f>
        <v>284.5</v>
      </c>
    </row>
    <row r="205">
      <c r="B205" s="5" t="s">
        <v>534</v>
      </c>
      <c r="C205">
        <f>T2</f>
        <v>0.2005347594</v>
      </c>
      <c r="G205" s="5" t="s">
        <v>534</v>
      </c>
      <c r="H205" s="5">
        <v>0.2</v>
      </c>
    </row>
    <row r="206">
      <c r="B206" s="5" t="s">
        <v>525</v>
      </c>
      <c r="C206">
        <f>C204/(1+C205)</f>
        <v>236.9777283</v>
      </c>
      <c r="E206" s="5"/>
      <c r="G206" s="5" t="s">
        <v>525</v>
      </c>
      <c r="H206">
        <f>H204/(1+H205)</f>
        <v>237.0833333</v>
      </c>
    </row>
    <row r="207">
      <c r="B207" s="5" t="s">
        <v>535</v>
      </c>
      <c r="G207" s="5" t="s">
        <v>535</v>
      </c>
    </row>
    <row r="208">
      <c r="B208" s="5"/>
      <c r="W208" s="5" t="s">
        <v>536</v>
      </c>
    </row>
    <row r="209">
      <c r="C209" s="5"/>
      <c r="G209" s="5" t="s">
        <v>537</v>
      </c>
    </row>
    <row r="210">
      <c r="B210" s="5" t="s">
        <v>515</v>
      </c>
      <c r="G210" s="5" t="s">
        <v>459</v>
      </c>
      <c r="K210" s="5" t="s">
        <v>462</v>
      </c>
      <c r="O210" s="5" t="s">
        <v>538</v>
      </c>
      <c r="S210" s="5" t="s">
        <v>539</v>
      </c>
      <c r="W210" s="5" t="s">
        <v>540</v>
      </c>
    </row>
    <row r="211">
      <c r="B211" s="5" t="s">
        <v>516</v>
      </c>
      <c r="C211" s="5">
        <v>98.0</v>
      </c>
      <c r="D211" s="5">
        <v>182.0</v>
      </c>
      <c r="G211" s="5" t="s">
        <v>516</v>
      </c>
      <c r="H211" s="9">
        <v>98.0</v>
      </c>
      <c r="I211" s="9">
        <v>183.0</v>
      </c>
      <c r="K211" s="5" t="s">
        <v>516</v>
      </c>
      <c r="L211" s="5">
        <v>113.0</v>
      </c>
      <c r="M211" s="5">
        <v>211.0</v>
      </c>
      <c r="O211" s="5" t="s">
        <v>516</v>
      </c>
      <c r="P211" s="5">
        <v>214.0</v>
      </c>
      <c r="Q211" s="5">
        <v>398.0</v>
      </c>
      <c r="S211" s="5" t="s">
        <v>516</v>
      </c>
      <c r="T211" s="5">
        <v>112.0</v>
      </c>
      <c r="U211" s="5">
        <v>209.0</v>
      </c>
      <c r="W211" s="5" t="s">
        <v>516</v>
      </c>
      <c r="X211" s="5">
        <v>44.0</v>
      </c>
      <c r="Y211" s="5">
        <v>115.0</v>
      </c>
    </row>
    <row r="212">
      <c r="B212" s="5" t="s">
        <v>517</v>
      </c>
      <c r="C212">
        <f>(C211+D211)/2</f>
        <v>140</v>
      </c>
      <c r="G212" s="5" t="s">
        <v>517</v>
      </c>
      <c r="H212">
        <f>(H211+I211)/2</f>
        <v>140.5</v>
      </c>
      <c r="K212" s="5" t="s">
        <v>517</v>
      </c>
      <c r="L212">
        <f>(L211+M211)/2</f>
        <v>162</v>
      </c>
      <c r="O212" s="5" t="s">
        <v>517</v>
      </c>
      <c r="P212">
        <f>(P211+Q211)/2</f>
        <v>306</v>
      </c>
      <c r="S212" s="5" t="s">
        <v>517</v>
      </c>
      <c r="T212">
        <f>(T211+U211)/2</f>
        <v>160.5</v>
      </c>
      <c r="W212" s="5" t="s">
        <v>517</v>
      </c>
      <c r="X212">
        <f>(X211+Y211)/2</f>
        <v>79.5</v>
      </c>
    </row>
    <row r="213">
      <c r="B213" s="5" t="s">
        <v>39</v>
      </c>
      <c r="C213" s="5">
        <v>1218.0</v>
      </c>
      <c r="G213" s="5" t="s">
        <v>39</v>
      </c>
      <c r="H213" s="5">
        <v>1218.0</v>
      </c>
      <c r="K213" s="5" t="s">
        <v>39</v>
      </c>
      <c r="L213" s="5">
        <v>1218.0</v>
      </c>
      <c r="O213" s="5" t="s">
        <v>39</v>
      </c>
      <c r="P213" s="5">
        <v>1218.0</v>
      </c>
      <c r="S213" s="5" t="s">
        <v>39</v>
      </c>
      <c r="T213" s="5">
        <v>1218.0</v>
      </c>
      <c r="W213" s="5" t="s">
        <v>39</v>
      </c>
      <c r="X213" s="5">
        <v>1218.0</v>
      </c>
    </row>
    <row r="214">
      <c r="B214" s="5" t="s">
        <v>518</v>
      </c>
      <c r="C214">
        <f>C213/14*2.4</f>
        <v>208.8</v>
      </c>
      <c r="G214" s="5" t="s">
        <v>518</v>
      </c>
      <c r="H214">
        <f>H213/14*2.4</f>
        <v>208.8</v>
      </c>
      <c r="K214" s="5" t="s">
        <v>518</v>
      </c>
      <c r="L214">
        <f>L213/14*2.4</f>
        <v>208.8</v>
      </c>
      <c r="O214" s="5" t="s">
        <v>518</v>
      </c>
      <c r="P214">
        <f>P213/14*2.4</f>
        <v>208.8</v>
      </c>
      <c r="S214" s="5" t="s">
        <v>518</v>
      </c>
      <c r="T214">
        <f>T213/14*2.4</f>
        <v>208.8</v>
      </c>
      <c r="W214" s="5" t="s">
        <v>518</v>
      </c>
      <c r="X214">
        <f>X213/14*2.4</f>
        <v>208.8</v>
      </c>
    </row>
    <row r="215">
      <c r="B215" s="5" t="s">
        <v>519</v>
      </c>
      <c r="C215">
        <f>C214+C212</f>
        <v>348.8</v>
      </c>
      <c r="G215" s="5" t="s">
        <v>519</v>
      </c>
      <c r="H215">
        <f>H214+H212</f>
        <v>349.3</v>
      </c>
      <c r="K215" s="5" t="s">
        <v>519</v>
      </c>
      <c r="L215">
        <f>L214+L212</f>
        <v>370.8</v>
      </c>
      <c r="O215" s="5" t="s">
        <v>519</v>
      </c>
      <c r="P215">
        <f>P214+P212</f>
        <v>514.8</v>
      </c>
      <c r="S215" s="5" t="s">
        <v>519</v>
      </c>
      <c r="T215">
        <f>T214+T212</f>
        <v>369.3</v>
      </c>
      <c r="W215" s="5" t="s">
        <v>519</v>
      </c>
      <c r="X215">
        <f>X214+X212</f>
        <v>288.3</v>
      </c>
    </row>
    <row r="216">
      <c r="B216" s="5" t="s">
        <v>520</v>
      </c>
      <c r="C216">
        <f>C215/2</f>
        <v>174.4</v>
      </c>
      <c r="G216" s="5" t="s">
        <v>520</v>
      </c>
      <c r="H216">
        <f>H215/2</f>
        <v>174.65</v>
      </c>
      <c r="K216" s="5" t="s">
        <v>520</v>
      </c>
      <c r="L216">
        <f>L215/2</f>
        <v>185.4</v>
      </c>
      <c r="O216" s="5" t="s">
        <v>520</v>
      </c>
      <c r="P216">
        <f>P215/2</f>
        <v>257.4</v>
      </c>
      <c r="S216" s="5" t="s">
        <v>520</v>
      </c>
      <c r="T216">
        <f>T215/2</f>
        <v>184.65</v>
      </c>
      <c r="W216" s="5" t="s">
        <v>520</v>
      </c>
      <c r="X216">
        <f>X215/2</f>
        <v>144.15</v>
      </c>
    </row>
    <row r="217">
      <c r="B217" s="5" t="s">
        <v>521</v>
      </c>
      <c r="C217" s="5">
        <v>5.0</v>
      </c>
      <c r="G217" s="5" t="s">
        <v>521</v>
      </c>
      <c r="H217" s="9">
        <v>5.0</v>
      </c>
      <c r="K217" s="5" t="s">
        <v>521</v>
      </c>
      <c r="L217" s="5">
        <v>5.0</v>
      </c>
      <c r="O217" s="5" t="s">
        <v>521</v>
      </c>
      <c r="P217" s="5">
        <v>5.0</v>
      </c>
      <c r="S217" s="5" t="s">
        <v>521</v>
      </c>
      <c r="T217" s="5">
        <v>5.0</v>
      </c>
      <c r="W217" s="5" t="s">
        <v>521</v>
      </c>
      <c r="X217" s="5">
        <v>5.0</v>
      </c>
    </row>
    <row r="218">
      <c r="B218" s="5" t="s">
        <v>522</v>
      </c>
      <c r="C218">
        <f>C216+(C217*35)</f>
        <v>349.4</v>
      </c>
      <c r="G218" s="5" t="s">
        <v>522</v>
      </c>
      <c r="H218">
        <f>H216+(H217*35)</f>
        <v>349.65</v>
      </c>
      <c r="K218" s="5" t="s">
        <v>522</v>
      </c>
      <c r="L218">
        <f>L216+(L217*35)</f>
        <v>360.4</v>
      </c>
      <c r="O218" s="5" t="s">
        <v>522</v>
      </c>
      <c r="P218">
        <f>P216+(P217*35)</f>
        <v>432.4</v>
      </c>
      <c r="S218" s="5" t="s">
        <v>522</v>
      </c>
      <c r="T218">
        <f>T216+(T217*35)</f>
        <v>359.65</v>
      </c>
      <c r="W218" s="5" t="s">
        <v>522</v>
      </c>
      <c r="X218">
        <f>X216+(X217*35)</f>
        <v>319.15</v>
      </c>
    </row>
    <row r="219">
      <c r="B219" s="5" t="s">
        <v>523</v>
      </c>
      <c r="C219" s="5">
        <v>1.0</v>
      </c>
      <c r="G219" s="5" t="s">
        <v>523</v>
      </c>
      <c r="H219" s="5">
        <f>Sheet1!G9+0.0095</f>
        <v>1.1595</v>
      </c>
      <c r="I219" s="5">
        <v>0.0095</v>
      </c>
      <c r="K219" s="5" t="s">
        <v>523</v>
      </c>
      <c r="L219" s="5">
        <f>Sheet1!G9</f>
        <v>1.15</v>
      </c>
      <c r="O219" s="5" t="s">
        <v>523</v>
      </c>
      <c r="P219" s="5">
        <f>Sheet1!G9+0.0067</f>
        <v>1.1567</v>
      </c>
      <c r="S219" s="5" t="s">
        <v>523</v>
      </c>
      <c r="T219" s="5">
        <f>Sheet1!G9</f>
        <v>1.15</v>
      </c>
      <c r="W219" s="5" t="s">
        <v>523</v>
      </c>
      <c r="X219" s="5">
        <f>Sheet1!G9</f>
        <v>1.15</v>
      </c>
    </row>
    <row r="220">
      <c r="B220" s="5" t="s">
        <v>522</v>
      </c>
      <c r="C220" s="85">
        <f>C218*C219</f>
        <v>349.4</v>
      </c>
      <c r="G220" s="5" t="s">
        <v>522</v>
      </c>
      <c r="H220" s="85">
        <f>H218*H219</f>
        <v>405.419175</v>
      </c>
      <c r="K220" s="5" t="s">
        <v>522</v>
      </c>
      <c r="L220" s="85">
        <f>L218*L219</f>
        <v>414.46</v>
      </c>
      <c r="O220" s="5" t="s">
        <v>522</v>
      </c>
      <c r="P220" s="85">
        <f>P218*P219</f>
        <v>500.15708</v>
      </c>
      <c r="S220" s="5" t="s">
        <v>522</v>
      </c>
      <c r="T220" s="85">
        <f>T218*T219</f>
        <v>413.5975</v>
      </c>
      <c r="W220" s="5" t="s">
        <v>522</v>
      </c>
      <c r="X220" s="85">
        <f>X218*X219</f>
        <v>367.0225</v>
      </c>
    </row>
    <row r="221">
      <c r="B221" s="5" t="s">
        <v>524</v>
      </c>
      <c r="C221">
        <f>T2</f>
        <v>0.2005347594</v>
      </c>
      <c r="G221" s="5" t="s">
        <v>524</v>
      </c>
      <c r="H221" s="9">
        <f>T2</f>
        <v>0.2005347594</v>
      </c>
      <c r="K221" s="5" t="s">
        <v>524</v>
      </c>
      <c r="L221" s="5">
        <f>T2</f>
        <v>0.2005347594</v>
      </c>
      <c r="O221" s="5" t="s">
        <v>524</v>
      </c>
      <c r="P221" s="5">
        <f>T2</f>
        <v>0.2005347594</v>
      </c>
      <c r="S221" s="5" t="s">
        <v>524</v>
      </c>
      <c r="T221" s="5">
        <f>T2</f>
        <v>0.2005347594</v>
      </c>
      <c r="W221" s="5" t="s">
        <v>524</v>
      </c>
      <c r="X221" s="5">
        <f>T2</f>
        <v>0.2005347594</v>
      </c>
    </row>
    <row r="222">
      <c r="B222" s="5" t="s">
        <v>525</v>
      </c>
      <c r="C222">
        <f>C220/(1+C221)</f>
        <v>291.036971</v>
      </c>
      <c r="G222" s="5" t="s">
        <v>525</v>
      </c>
      <c r="H222">
        <f>H220/(1+H221)</f>
        <v>337.6988228</v>
      </c>
      <c r="K222" s="5" t="s">
        <v>525</v>
      </c>
      <c r="L222">
        <f>L220/(1+L221)</f>
        <v>345.2294878</v>
      </c>
      <c r="O222" s="5" t="s">
        <v>525</v>
      </c>
      <c r="P222">
        <f>P220/(1+P221)</f>
        <v>416.6119107</v>
      </c>
      <c r="S222" s="5" t="s">
        <v>525</v>
      </c>
      <c r="T222">
        <f>T220/(1+T221)</f>
        <v>344.5110579</v>
      </c>
      <c r="W222" s="5" t="s">
        <v>525</v>
      </c>
      <c r="X222">
        <f>X220/(1+X221)</f>
        <v>305.7158463</v>
      </c>
    </row>
    <row r="223">
      <c r="B223" s="5" t="s">
        <v>526</v>
      </c>
      <c r="C223">
        <f>C198</f>
        <v>180</v>
      </c>
      <c r="G223" s="5" t="s">
        <v>526</v>
      </c>
      <c r="H223" s="5">
        <v>180.0</v>
      </c>
      <c r="K223" s="5" t="s">
        <v>526</v>
      </c>
      <c r="L223" s="5">
        <v>180.0</v>
      </c>
      <c r="O223" s="5" t="s">
        <v>526</v>
      </c>
      <c r="P223" s="5">
        <v>180.0</v>
      </c>
      <c r="S223" s="5" t="s">
        <v>526</v>
      </c>
      <c r="T223" s="5">
        <v>180.0</v>
      </c>
      <c r="W223" s="5" t="s">
        <v>526</v>
      </c>
      <c r="X223" s="5">
        <v>180.0</v>
      </c>
    </row>
    <row r="224">
      <c r="B224" s="5" t="s">
        <v>387</v>
      </c>
      <c r="C224">
        <f>(C223+C222)*1.45</f>
        <v>683.003608</v>
      </c>
      <c r="G224" s="5" t="s">
        <v>387</v>
      </c>
      <c r="H224">
        <f>(H223+H222)*1.45</f>
        <v>750.6632931</v>
      </c>
      <c r="K224" s="5" t="s">
        <v>387</v>
      </c>
      <c r="L224">
        <f>(L223+L222)*1.45</f>
        <v>761.5827572</v>
      </c>
      <c r="O224" s="5" t="s">
        <v>387</v>
      </c>
      <c r="P224">
        <f>(P223+P222)*1.45</f>
        <v>865.0872706</v>
      </c>
      <c r="S224" s="5" t="s">
        <v>387</v>
      </c>
      <c r="T224">
        <f>(T223+T222)*1.45</f>
        <v>760.541034</v>
      </c>
      <c r="W224" s="5" t="s">
        <v>387</v>
      </c>
      <c r="X224">
        <f>(X223+X222)*1.45</f>
        <v>704.2879772</v>
      </c>
    </row>
    <row r="225">
      <c r="G225" s="5" t="s">
        <v>541</v>
      </c>
      <c r="H225">
        <f>H224/2</f>
        <v>375.3316466</v>
      </c>
      <c r="K225" s="5" t="s">
        <v>541</v>
      </c>
      <c r="L225">
        <f>L224/2</f>
        <v>380.7913786</v>
      </c>
      <c r="O225" s="5" t="s">
        <v>541</v>
      </c>
      <c r="P225">
        <f>P224/2</f>
        <v>432.5436353</v>
      </c>
      <c r="S225" s="5" t="s">
        <v>541</v>
      </c>
      <c r="T225">
        <f>T224/2</f>
        <v>380.270517</v>
      </c>
      <c r="W225" s="5" t="s">
        <v>541</v>
      </c>
      <c r="X225">
        <f>X224/2</f>
        <v>352.1439886</v>
      </c>
    </row>
    <row r="226">
      <c r="B226" s="5"/>
      <c r="C226" s="5"/>
      <c r="G226" s="5" t="s">
        <v>455</v>
      </c>
      <c r="H226">
        <f>H225/6</f>
        <v>62.55527443</v>
      </c>
      <c r="K226" s="5" t="s">
        <v>455</v>
      </c>
      <c r="L226">
        <f>L225/6</f>
        <v>63.46522977</v>
      </c>
      <c r="O226" s="5" t="s">
        <v>455</v>
      </c>
      <c r="P226">
        <f>P225/6</f>
        <v>72.09060588</v>
      </c>
      <c r="S226" s="5" t="s">
        <v>455</v>
      </c>
      <c r="T226">
        <f>T225/6</f>
        <v>63.3784195</v>
      </c>
      <c r="W226" s="5" t="s">
        <v>455</v>
      </c>
      <c r="X226">
        <f>X225/6</f>
        <v>58.69066476</v>
      </c>
    </row>
    <row r="227">
      <c r="B227" s="100" t="s">
        <v>542</v>
      </c>
      <c r="C227" s="5"/>
      <c r="G227" s="5"/>
    </row>
    <row r="228">
      <c r="G228" s="5"/>
      <c r="K228" s="5"/>
      <c r="W228" s="5" t="s">
        <v>540</v>
      </c>
    </row>
    <row r="229">
      <c r="B229" s="5" t="s">
        <v>525</v>
      </c>
      <c r="C229" s="5">
        <f>(414+506)/2</f>
        <v>460</v>
      </c>
      <c r="D229" s="5">
        <v>182.0</v>
      </c>
      <c r="G229" s="5" t="s">
        <v>525</v>
      </c>
      <c r="H229" s="5">
        <f>(414+506)/2</f>
        <v>460</v>
      </c>
      <c r="I229" s="5"/>
      <c r="K229" s="5" t="s">
        <v>525</v>
      </c>
      <c r="L229" s="5">
        <f>(414+506)/2</f>
        <v>460</v>
      </c>
      <c r="M229" s="5"/>
      <c r="O229" s="5" t="s">
        <v>525</v>
      </c>
      <c r="P229" s="5">
        <f>(414+506)/2</f>
        <v>460</v>
      </c>
      <c r="Q229" s="5"/>
      <c r="S229" s="5" t="s">
        <v>525</v>
      </c>
      <c r="T229" s="5">
        <f>(414+506)/2</f>
        <v>460</v>
      </c>
      <c r="U229" s="5"/>
      <c r="W229" s="5" t="s">
        <v>525</v>
      </c>
      <c r="X229" s="5">
        <f>(414+506)/2</f>
        <v>460</v>
      </c>
    </row>
    <row r="230">
      <c r="B230" s="5" t="s">
        <v>184</v>
      </c>
      <c r="C230" s="5">
        <v>1.1</v>
      </c>
      <c r="G230" s="5" t="s">
        <v>184</v>
      </c>
      <c r="H230" s="5">
        <f>Sheet1!G9+0.0095</f>
        <v>1.1595</v>
      </c>
      <c r="K230" s="5" t="s">
        <v>184</v>
      </c>
      <c r="L230" s="5">
        <f>Sheet1!G9</f>
        <v>1.15</v>
      </c>
      <c r="O230" s="5" t="s">
        <v>184</v>
      </c>
      <c r="P230" s="5">
        <f>Sheet1!G9+0.067</f>
        <v>1.217</v>
      </c>
      <c r="S230" s="5" t="s">
        <v>184</v>
      </c>
      <c r="T230" s="5">
        <f>Sheet1!G9</f>
        <v>1.15</v>
      </c>
      <c r="W230" s="5" t="s">
        <v>184</v>
      </c>
      <c r="X230" s="5">
        <f>Sheet1!G9</f>
        <v>1.15</v>
      </c>
    </row>
    <row r="231">
      <c r="B231" s="5" t="s">
        <v>522</v>
      </c>
      <c r="C231" s="5">
        <f>C229*C230</f>
        <v>506</v>
      </c>
      <c r="G231" s="5" t="s">
        <v>522</v>
      </c>
      <c r="H231" s="5">
        <f>H229*H230</f>
        <v>533.37</v>
      </c>
      <c r="K231" s="5" t="s">
        <v>522</v>
      </c>
      <c r="L231" s="5">
        <f>L229*L230</f>
        <v>529</v>
      </c>
      <c r="O231" s="5" t="s">
        <v>522</v>
      </c>
      <c r="P231" s="5">
        <f>P229*P230</f>
        <v>559.82</v>
      </c>
      <c r="S231" s="5" t="s">
        <v>522</v>
      </c>
      <c r="T231" s="5">
        <f>T229*T230</f>
        <v>529</v>
      </c>
      <c r="W231" s="5" t="s">
        <v>522</v>
      </c>
      <c r="X231" s="5">
        <f>X229*X230</f>
        <v>529</v>
      </c>
    </row>
    <row r="232">
      <c r="B232" s="5" t="s">
        <v>298</v>
      </c>
      <c r="C232" s="5">
        <f>T2</f>
        <v>0.2005347594</v>
      </c>
      <c r="G232" s="5" t="s">
        <v>298</v>
      </c>
      <c r="H232" s="5">
        <f>T2</f>
        <v>0.2005347594</v>
      </c>
      <c r="K232" s="5" t="s">
        <v>298</v>
      </c>
      <c r="L232" s="5">
        <f>T2</f>
        <v>0.2005347594</v>
      </c>
      <c r="O232" s="5" t="s">
        <v>298</v>
      </c>
      <c r="P232" s="5">
        <f>T2</f>
        <v>0.2005347594</v>
      </c>
      <c r="S232" s="5" t="s">
        <v>298</v>
      </c>
      <c r="T232" s="5">
        <f>T2</f>
        <v>0.2005347594</v>
      </c>
      <c r="W232" s="5" t="s">
        <v>298</v>
      </c>
      <c r="X232" s="5">
        <f>T2</f>
        <v>0.2005347594</v>
      </c>
    </row>
    <row r="233">
      <c r="B233" s="5" t="s">
        <v>525</v>
      </c>
      <c r="C233">
        <f>C231/(1+C232)</f>
        <v>421.4788419</v>
      </c>
      <c r="G233" s="5" t="s">
        <v>525</v>
      </c>
      <c r="H233">
        <f>H231/(1+H232)</f>
        <v>444.2770156</v>
      </c>
      <c r="K233" s="5" t="s">
        <v>525</v>
      </c>
      <c r="L233">
        <f>L231/(1+L232)</f>
        <v>440.636971</v>
      </c>
      <c r="O233" s="5" t="s">
        <v>525</v>
      </c>
      <c r="P233">
        <f>P231/(1+P232)</f>
        <v>466.3088641</v>
      </c>
      <c r="S233" s="5" t="s">
        <v>525</v>
      </c>
      <c r="T233">
        <f>T231/(1+T232)</f>
        <v>440.636971</v>
      </c>
      <c r="W233" s="5" t="s">
        <v>525</v>
      </c>
      <c r="X233">
        <f>X231/(1+X232)</f>
        <v>440.636971</v>
      </c>
    </row>
    <row r="234">
      <c r="B234" s="5" t="s">
        <v>307</v>
      </c>
      <c r="C234" s="5">
        <v>201.0</v>
      </c>
      <c r="G234" s="5" t="s">
        <v>307</v>
      </c>
      <c r="H234" s="5">
        <v>201.0</v>
      </c>
      <c r="K234" s="5" t="s">
        <v>307</v>
      </c>
      <c r="L234" s="5">
        <v>201.0</v>
      </c>
      <c r="O234" s="5" t="s">
        <v>307</v>
      </c>
      <c r="P234" s="5">
        <v>201.0</v>
      </c>
      <c r="S234" s="5" t="s">
        <v>307</v>
      </c>
      <c r="T234" s="5">
        <v>201.0</v>
      </c>
      <c r="W234" s="5" t="s">
        <v>307</v>
      </c>
      <c r="X234" s="5">
        <v>201.0</v>
      </c>
    </row>
    <row r="235">
      <c r="B235" s="5" t="s">
        <v>387</v>
      </c>
      <c r="C235">
        <f>(C233*1.45)+C234</f>
        <v>812.1443207</v>
      </c>
      <c r="G235" s="5" t="s">
        <v>387</v>
      </c>
      <c r="H235">
        <f>(H233+H234)*1.45</f>
        <v>935.6516726</v>
      </c>
      <c r="K235" s="5" t="s">
        <v>387</v>
      </c>
      <c r="L235">
        <f>(L233+L234)*1.45</f>
        <v>930.373608</v>
      </c>
      <c r="O235" s="5" t="s">
        <v>387</v>
      </c>
      <c r="P235">
        <f>(P233+P234)*1.45</f>
        <v>967.597853</v>
      </c>
      <c r="S235" s="5" t="s">
        <v>387</v>
      </c>
      <c r="T235">
        <f>(T233+T234)*1.45</f>
        <v>930.373608</v>
      </c>
      <c r="W235" s="5" t="s">
        <v>387</v>
      </c>
      <c r="X235">
        <f>(X233+X234)*1.45</f>
        <v>930.373608</v>
      </c>
    </row>
    <row r="236">
      <c r="B236" s="5"/>
      <c r="C236" s="5"/>
      <c r="G236" s="5" t="s">
        <v>541</v>
      </c>
      <c r="H236" s="5">
        <f>H235/4</f>
        <v>233.9129182</v>
      </c>
      <c r="K236" s="5" t="s">
        <v>541</v>
      </c>
      <c r="L236" s="5">
        <f>L235/4</f>
        <v>232.593402</v>
      </c>
      <c r="O236" s="5" t="s">
        <v>541</v>
      </c>
      <c r="P236" s="5">
        <f>P235/4</f>
        <v>241.8994633</v>
      </c>
      <c r="S236" s="5" t="s">
        <v>541</v>
      </c>
      <c r="T236" s="5">
        <f>T235/4</f>
        <v>232.593402</v>
      </c>
      <c r="W236" s="5" t="s">
        <v>541</v>
      </c>
      <c r="X236" s="5">
        <f>X235/4</f>
        <v>232.593402</v>
      </c>
    </row>
    <row r="237">
      <c r="B237" s="5"/>
      <c r="C237" s="85"/>
      <c r="G237" s="5" t="s">
        <v>455</v>
      </c>
      <c r="H237" s="85">
        <f>H236/1.5</f>
        <v>155.9419454</v>
      </c>
      <c r="K237" s="5" t="s">
        <v>455</v>
      </c>
      <c r="L237" s="85">
        <f>L236/1.5</f>
        <v>155.062268</v>
      </c>
      <c r="O237" s="5" t="s">
        <v>455</v>
      </c>
      <c r="P237" s="85">
        <f>P236/1.5</f>
        <v>161.2663088</v>
      </c>
      <c r="S237" s="5" t="s">
        <v>455</v>
      </c>
      <c r="T237" s="85">
        <f>T236/1.5</f>
        <v>155.062268</v>
      </c>
      <c r="W237" s="5" t="s">
        <v>455</v>
      </c>
      <c r="X237" s="85">
        <f>X236/1.5</f>
        <v>155.062268</v>
      </c>
    </row>
    <row r="238">
      <c r="B238" s="5"/>
      <c r="G238" s="5"/>
      <c r="H238" s="5"/>
      <c r="K238" s="5"/>
      <c r="L238" s="5"/>
    </row>
    <row r="239">
      <c r="B239" s="5"/>
      <c r="G239" s="5"/>
      <c r="K239" s="5"/>
    </row>
    <row r="240">
      <c r="B240" s="5"/>
      <c r="C240" s="5"/>
      <c r="G240" s="5"/>
      <c r="H240" s="5"/>
      <c r="K240" s="5"/>
    </row>
    <row r="241">
      <c r="B241" s="5"/>
      <c r="G241" s="5"/>
      <c r="K241" s="5"/>
    </row>
    <row r="242">
      <c r="G242" s="5"/>
      <c r="K242" s="5"/>
    </row>
    <row r="243">
      <c r="G243" s="5"/>
      <c r="H243" s="5"/>
    </row>
    <row r="244">
      <c r="B244" s="100" t="s">
        <v>543</v>
      </c>
      <c r="G244" s="5" t="s">
        <v>543</v>
      </c>
      <c r="K244" s="5" t="s">
        <v>544</v>
      </c>
    </row>
    <row r="245">
      <c r="W245" s="5" t="s">
        <v>540</v>
      </c>
    </row>
    <row r="246">
      <c r="B246" s="5" t="s">
        <v>516</v>
      </c>
      <c r="C246" s="5">
        <v>98.0</v>
      </c>
      <c r="D246" s="5">
        <v>183.0</v>
      </c>
      <c r="G246" s="5" t="s">
        <v>516</v>
      </c>
      <c r="H246" s="5">
        <v>98.0</v>
      </c>
      <c r="I246" s="5">
        <v>183.0</v>
      </c>
      <c r="K246" s="5" t="s">
        <v>516</v>
      </c>
      <c r="L246" s="5">
        <v>113.0</v>
      </c>
      <c r="M246" s="5">
        <v>211.0</v>
      </c>
      <c r="O246" s="5" t="s">
        <v>516</v>
      </c>
      <c r="P246" s="5">
        <v>214.0</v>
      </c>
      <c r="Q246" s="5">
        <v>398.0</v>
      </c>
      <c r="S246" s="5" t="s">
        <v>516</v>
      </c>
      <c r="T246" s="5">
        <v>98.0</v>
      </c>
      <c r="U246" s="5">
        <v>183.0</v>
      </c>
      <c r="W246" s="5" t="s">
        <v>516</v>
      </c>
      <c r="X246" s="5">
        <v>44.0</v>
      </c>
      <c r="Y246" s="5">
        <v>115.0</v>
      </c>
    </row>
    <row r="247">
      <c r="B247" s="5" t="s">
        <v>517</v>
      </c>
      <c r="C247">
        <f>(C246+D246)/2</f>
        <v>140.5</v>
      </c>
      <c r="G247" s="5" t="s">
        <v>517</v>
      </c>
      <c r="H247">
        <f>(H246+I246)/2</f>
        <v>140.5</v>
      </c>
      <c r="K247" s="5" t="s">
        <v>517</v>
      </c>
      <c r="L247">
        <f>(L246+M246)/2</f>
        <v>162</v>
      </c>
      <c r="O247" s="5" t="s">
        <v>517</v>
      </c>
      <c r="P247">
        <f>(P246+Q246)/2</f>
        <v>306</v>
      </c>
      <c r="S247" s="5" t="s">
        <v>517</v>
      </c>
      <c r="T247">
        <f>(T246+U246)/2</f>
        <v>140.5</v>
      </c>
      <c r="W247" s="5" t="s">
        <v>517</v>
      </c>
      <c r="X247">
        <f>(X246+Y246)/2</f>
        <v>79.5</v>
      </c>
    </row>
    <row r="248">
      <c r="B248" s="5" t="s">
        <v>39</v>
      </c>
      <c r="C248" s="5">
        <v>1218.0</v>
      </c>
      <c r="G248" s="5" t="s">
        <v>39</v>
      </c>
      <c r="H248" s="5">
        <v>1218.0</v>
      </c>
      <c r="K248" s="5" t="s">
        <v>39</v>
      </c>
      <c r="L248" s="5">
        <v>1218.0</v>
      </c>
      <c r="O248" s="5" t="s">
        <v>39</v>
      </c>
      <c r="P248" s="5">
        <v>1218.0</v>
      </c>
      <c r="S248" s="5" t="s">
        <v>39</v>
      </c>
      <c r="T248" s="5">
        <v>1218.0</v>
      </c>
      <c r="W248" s="5" t="s">
        <v>39</v>
      </c>
      <c r="X248" s="5">
        <v>1218.0</v>
      </c>
    </row>
    <row r="249">
      <c r="B249" s="5" t="s">
        <v>545</v>
      </c>
      <c r="C249" s="5">
        <v>1.4</v>
      </c>
      <c r="G249" s="5" t="s">
        <v>545</v>
      </c>
      <c r="H249" s="5">
        <v>1.4</v>
      </c>
      <c r="K249" s="5" t="s">
        <v>545</v>
      </c>
      <c r="L249" s="5">
        <f>1.5/1.0159</f>
        <v>1.47652328</v>
      </c>
      <c r="O249" s="5" t="s">
        <v>545</v>
      </c>
      <c r="P249" s="5">
        <v>2.8</v>
      </c>
      <c r="S249" s="5" t="s">
        <v>545</v>
      </c>
      <c r="T249" s="5">
        <v>1.4</v>
      </c>
      <c r="W249" s="5" t="s">
        <v>545</v>
      </c>
      <c r="X249" s="5">
        <v>1.9</v>
      </c>
    </row>
    <row r="250">
      <c r="B250" s="5" t="s">
        <v>518</v>
      </c>
      <c r="C250">
        <f>C248/14*C249</f>
        <v>121.8</v>
      </c>
      <c r="G250" s="5" t="s">
        <v>518</v>
      </c>
      <c r="H250">
        <f>H248/14*H249</f>
        <v>121.8</v>
      </c>
      <c r="K250" s="5" t="s">
        <v>518</v>
      </c>
      <c r="L250">
        <f>L248/14*L249</f>
        <v>128.4575253</v>
      </c>
      <c r="O250" s="5" t="s">
        <v>518</v>
      </c>
      <c r="P250">
        <f>P248/14*P249</f>
        <v>243.6</v>
      </c>
      <c r="S250" s="5" t="s">
        <v>518</v>
      </c>
      <c r="T250">
        <f>T248/14*T249</f>
        <v>121.8</v>
      </c>
      <c r="W250" s="5" t="s">
        <v>518</v>
      </c>
      <c r="X250">
        <f>X248/14*X249</f>
        <v>165.3</v>
      </c>
    </row>
    <row r="251">
      <c r="B251" s="5" t="s">
        <v>546</v>
      </c>
      <c r="C251" s="5">
        <f>176+C247</f>
        <v>316.5</v>
      </c>
      <c r="G251" s="5" t="s">
        <v>546</v>
      </c>
      <c r="H251" s="5">
        <f>176+H247</f>
        <v>316.5</v>
      </c>
      <c r="K251" s="5" t="s">
        <v>546</v>
      </c>
      <c r="L251" s="5">
        <f>176+L247</f>
        <v>338</v>
      </c>
      <c r="O251" s="5" t="s">
        <v>546</v>
      </c>
      <c r="P251" s="5">
        <f>176+P247</f>
        <v>482</v>
      </c>
      <c r="S251" s="5" t="s">
        <v>546</v>
      </c>
      <c r="T251" s="5">
        <v>176.0</v>
      </c>
      <c r="W251" s="5" t="s">
        <v>546</v>
      </c>
      <c r="X251" s="5">
        <v>176.0</v>
      </c>
    </row>
    <row r="252">
      <c r="B252" s="5" t="s">
        <v>522</v>
      </c>
      <c r="C252">
        <f>C250+C251</f>
        <v>438.3</v>
      </c>
      <c r="G252" s="5" t="s">
        <v>522</v>
      </c>
      <c r="H252">
        <f>H250+H251</f>
        <v>438.3</v>
      </c>
      <c r="K252" s="5" t="s">
        <v>522</v>
      </c>
      <c r="L252">
        <f>L250+L251</f>
        <v>466.4575253</v>
      </c>
      <c r="O252" s="5" t="s">
        <v>522</v>
      </c>
      <c r="P252">
        <f>P250+P251</f>
        <v>725.6</v>
      </c>
      <c r="S252" s="5" t="s">
        <v>522</v>
      </c>
      <c r="T252">
        <f>T250+T251</f>
        <v>297.8</v>
      </c>
      <c r="W252" s="5" t="s">
        <v>522</v>
      </c>
      <c r="X252">
        <f>X250+X251</f>
        <v>341.3</v>
      </c>
    </row>
    <row r="253">
      <c r="B253" s="5" t="s">
        <v>523</v>
      </c>
      <c r="C253" s="5">
        <v>1.1595</v>
      </c>
      <c r="G253" s="5" t="s">
        <v>523</v>
      </c>
      <c r="H253" s="5">
        <f>Sheet1!G9+0.0095</f>
        <v>1.1595</v>
      </c>
      <c r="K253" s="5" t="s">
        <v>523</v>
      </c>
      <c r="L253" s="5">
        <f>Sheet1!G9</f>
        <v>1.15</v>
      </c>
      <c r="O253" s="5" t="s">
        <v>523</v>
      </c>
      <c r="P253" s="5">
        <v>1.15</v>
      </c>
      <c r="S253" s="5" t="s">
        <v>523</v>
      </c>
      <c r="T253" s="5">
        <v>1.0</v>
      </c>
      <c r="W253" s="5" t="s">
        <v>523</v>
      </c>
      <c r="X253" s="5">
        <v>1.15</v>
      </c>
    </row>
    <row r="254">
      <c r="B254" s="5" t="s">
        <v>522</v>
      </c>
      <c r="C254" s="85">
        <f>C252*C253</f>
        <v>508.20885</v>
      </c>
      <c r="G254" s="5" t="s">
        <v>522</v>
      </c>
      <c r="H254" s="85">
        <f>H252*H253</f>
        <v>508.20885</v>
      </c>
      <c r="K254" s="5" t="s">
        <v>522</v>
      </c>
      <c r="L254" s="85">
        <f>L252*L253</f>
        <v>536.4261541</v>
      </c>
      <c r="O254" s="5" t="s">
        <v>522</v>
      </c>
      <c r="P254" s="85">
        <f>P252*P253</f>
        <v>834.44</v>
      </c>
      <c r="S254" s="5" t="s">
        <v>522</v>
      </c>
      <c r="T254" s="85">
        <f>T252*T253</f>
        <v>297.8</v>
      </c>
      <c r="W254" s="5" t="s">
        <v>522</v>
      </c>
      <c r="X254" s="85">
        <f>X252*X253</f>
        <v>392.495</v>
      </c>
    </row>
    <row r="255">
      <c r="B255" s="5" t="s">
        <v>524</v>
      </c>
      <c r="C255">
        <f>T2</f>
        <v>0.2005347594</v>
      </c>
      <c r="G255" s="5" t="s">
        <v>524</v>
      </c>
      <c r="H255">
        <f>T2</f>
        <v>0.2005347594</v>
      </c>
      <c r="K255" s="5" t="s">
        <v>524</v>
      </c>
      <c r="L255">
        <f>T2</f>
        <v>0.2005347594</v>
      </c>
      <c r="O255" s="5" t="s">
        <v>524</v>
      </c>
      <c r="P255">
        <f>T2</f>
        <v>0.2005347594</v>
      </c>
      <c r="S255" s="5" t="s">
        <v>524</v>
      </c>
      <c r="T255">
        <f>T2</f>
        <v>0.2005347594</v>
      </c>
      <c r="W255" s="5" t="s">
        <v>524</v>
      </c>
      <c r="X255">
        <f>T2</f>
        <v>0.2005347594</v>
      </c>
    </row>
    <row r="256">
      <c r="B256" s="5" t="s">
        <v>525</v>
      </c>
      <c r="C256">
        <f>C254/(1+C255)</f>
        <v>423.3187303</v>
      </c>
      <c r="G256" s="5" t="s">
        <v>525</v>
      </c>
      <c r="H256">
        <f>H254/(1+H255)</f>
        <v>423.3187303</v>
      </c>
      <c r="K256" s="5" t="s">
        <v>525</v>
      </c>
      <c r="L256">
        <f>L254/(1+L255)</f>
        <v>446.8226763</v>
      </c>
      <c r="O256" s="5" t="s">
        <v>525</v>
      </c>
      <c r="P256">
        <f>P254/(1+P255)</f>
        <v>695.0569265</v>
      </c>
      <c r="S256" s="5" t="s">
        <v>525</v>
      </c>
      <c r="T256">
        <f>T254/(1+T255)</f>
        <v>248.0561247</v>
      </c>
      <c r="W256" s="5" t="s">
        <v>525</v>
      </c>
      <c r="X256">
        <f>X254/(1+X255)</f>
        <v>326.9334744</v>
      </c>
    </row>
    <row r="257">
      <c r="B257" s="5" t="s">
        <v>547</v>
      </c>
      <c r="C257">
        <f>C11</f>
        <v>196</v>
      </c>
      <c r="G257" s="5" t="s">
        <v>547</v>
      </c>
      <c r="H257">
        <f>C11</f>
        <v>196</v>
      </c>
      <c r="K257" s="5" t="s">
        <v>547</v>
      </c>
      <c r="L257">
        <f>C11</f>
        <v>196</v>
      </c>
      <c r="O257" s="5" t="s">
        <v>547</v>
      </c>
      <c r="P257">
        <f>C11</f>
        <v>196</v>
      </c>
      <c r="S257" s="5" t="s">
        <v>547</v>
      </c>
      <c r="T257">
        <f>C11</f>
        <v>196</v>
      </c>
      <c r="W257" s="5" t="s">
        <v>547</v>
      </c>
      <c r="X257">
        <f>C11</f>
        <v>196</v>
      </c>
    </row>
    <row r="258">
      <c r="B258" s="5" t="s">
        <v>387</v>
      </c>
      <c r="C258">
        <f>(C257+C256)*1.45</f>
        <v>898.0121589</v>
      </c>
      <c r="G258" s="5" t="s">
        <v>387</v>
      </c>
      <c r="H258">
        <f>(H257+H256)*1.45</f>
        <v>898.0121589</v>
      </c>
      <c r="K258" s="5" t="s">
        <v>387</v>
      </c>
      <c r="L258">
        <f>(L257+L256)*1.45</f>
        <v>932.0928806</v>
      </c>
      <c r="O258" s="5" t="s">
        <v>387</v>
      </c>
      <c r="P258">
        <f>(P257+P256)*1.45</f>
        <v>1292.032543</v>
      </c>
      <c r="S258" s="5" t="s">
        <v>387</v>
      </c>
      <c r="T258">
        <f>(T257+T256)*1.45</f>
        <v>643.8813808</v>
      </c>
      <c r="W258" s="5" t="s">
        <v>387</v>
      </c>
      <c r="X258">
        <f>(X257+X256)*1.45</f>
        <v>758.2535379</v>
      </c>
    </row>
    <row r="259">
      <c r="C259">
        <f>C258/C249</f>
        <v>641.4372564</v>
      </c>
      <c r="G259" s="5" t="s">
        <v>548</v>
      </c>
      <c r="H259">
        <f>H258/H249</f>
        <v>641.4372564</v>
      </c>
      <c r="K259" s="5" t="s">
        <v>548</v>
      </c>
      <c r="L259">
        <f>L258/L249</f>
        <v>631.2754383</v>
      </c>
      <c r="O259" s="5" t="s">
        <v>548</v>
      </c>
      <c r="P259">
        <f>P258/P249</f>
        <v>461.4401941</v>
      </c>
      <c r="S259" s="5" t="s">
        <v>548</v>
      </c>
      <c r="T259">
        <f>T258/T249</f>
        <v>459.915272</v>
      </c>
      <c r="W259" s="5" t="s">
        <v>548</v>
      </c>
      <c r="X259">
        <f>X258/X249</f>
        <v>399.0808094</v>
      </c>
    </row>
    <row r="261">
      <c r="C261">
        <f>140.5+1.4*620/14</f>
        <v>202.5</v>
      </c>
      <c r="H261" s="5"/>
    </row>
    <row r="262">
      <c r="C262" s="5">
        <v>176.0</v>
      </c>
      <c r="G262" s="5" t="s">
        <v>549</v>
      </c>
      <c r="H262">
        <f>H226</f>
        <v>62.55527443</v>
      </c>
      <c r="I262">
        <f>H262*3</f>
        <v>187.6658233</v>
      </c>
      <c r="K262" s="5" t="s">
        <v>549</v>
      </c>
      <c r="L262">
        <f>L226</f>
        <v>63.46522977</v>
      </c>
      <c r="M262">
        <f>L262*3</f>
        <v>190.3956893</v>
      </c>
      <c r="O262" s="5" t="s">
        <v>549</v>
      </c>
      <c r="P262">
        <f>P226</f>
        <v>72.09060588</v>
      </c>
      <c r="Q262">
        <f>P262*3</f>
        <v>216.2718176</v>
      </c>
      <c r="S262" s="5" t="s">
        <v>549</v>
      </c>
      <c r="T262">
        <f>T226</f>
        <v>63.3784195</v>
      </c>
      <c r="U262">
        <f>T262*3</f>
        <v>190.1352585</v>
      </c>
      <c r="W262" s="5" t="s">
        <v>549</v>
      </c>
      <c r="X262">
        <f>X226</f>
        <v>58.69066476</v>
      </c>
      <c r="Y262">
        <f>X262*3</f>
        <v>176.0719943</v>
      </c>
    </row>
    <row r="263">
      <c r="C263">
        <f>C262+C261</f>
        <v>378.5</v>
      </c>
      <c r="G263" s="5" t="s">
        <v>550</v>
      </c>
      <c r="H263" s="85">
        <f>H237</f>
        <v>155.9419454</v>
      </c>
      <c r="I263">
        <f>H263*1.5</f>
        <v>233.9129182</v>
      </c>
      <c r="K263" s="5" t="s">
        <v>550</v>
      </c>
      <c r="L263" s="85">
        <f>L237</f>
        <v>155.062268</v>
      </c>
      <c r="M263">
        <f>L263*1.5</f>
        <v>232.593402</v>
      </c>
      <c r="O263" s="5" t="s">
        <v>550</v>
      </c>
      <c r="P263" s="85">
        <f>P237</f>
        <v>161.2663088</v>
      </c>
      <c r="Q263">
        <f>P263*1.5</f>
        <v>241.8994633</v>
      </c>
      <c r="S263" s="5" t="s">
        <v>550</v>
      </c>
      <c r="T263" s="85">
        <f>T237</f>
        <v>155.062268</v>
      </c>
      <c r="U263">
        <f>T263*1.5</f>
        <v>232.593402</v>
      </c>
      <c r="W263" s="5" t="s">
        <v>550</v>
      </c>
      <c r="X263" s="85">
        <f>X237</f>
        <v>155.062268</v>
      </c>
      <c r="Y263">
        <f>X263*1.5</f>
        <v>232.593402</v>
      </c>
    </row>
    <row r="264">
      <c r="G264" s="5" t="s">
        <v>471</v>
      </c>
      <c r="H264">
        <f>H259</f>
        <v>641.4372564</v>
      </c>
      <c r="I264">
        <f>H264</f>
        <v>641.4372564</v>
      </c>
      <c r="K264" s="5" t="s">
        <v>471</v>
      </c>
      <c r="L264">
        <f>L259</f>
        <v>631.2754383</v>
      </c>
      <c r="M264">
        <f>L259</f>
        <v>631.2754383</v>
      </c>
      <c r="O264" s="5" t="s">
        <v>471</v>
      </c>
      <c r="P264">
        <f>P259</f>
        <v>461.4401941</v>
      </c>
      <c r="Q264">
        <f>P264</f>
        <v>461.4401941</v>
      </c>
      <c r="S264" s="5" t="s">
        <v>471</v>
      </c>
      <c r="T264">
        <f>T259</f>
        <v>459.915272</v>
      </c>
      <c r="U264">
        <f>T264</f>
        <v>459.915272</v>
      </c>
      <c r="W264" s="5" t="s">
        <v>471</v>
      </c>
      <c r="X264">
        <f>X259</f>
        <v>399.0808094</v>
      </c>
      <c r="Y264">
        <f>X264</f>
        <v>399.0808094</v>
      </c>
    </row>
    <row r="265">
      <c r="G265" s="5" t="s">
        <v>551</v>
      </c>
      <c r="H265">
        <f>C290</f>
        <v>340.6251262</v>
      </c>
      <c r="L265">
        <f>C290</f>
        <v>340.6251262</v>
      </c>
      <c r="M265">
        <f>C290</f>
        <v>340.6251262</v>
      </c>
      <c r="O265" s="5" t="s">
        <v>551</v>
      </c>
      <c r="P265">
        <f>C290</f>
        <v>340.6251262</v>
      </c>
      <c r="Q265">
        <f>Q264+Q263+Q262</f>
        <v>919.611475</v>
      </c>
      <c r="S265" s="5" t="s">
        <v>551</v>
      </c>
      <c r="T265" s="101">
        <f>C290</f>
        <v>340.6251262</v>
      </c>
      <c r="U265">
        <f>U264+U263+U262</f>
        <v>882.6439325</v>
      </c>
      <c r="W265" s="5" t="s">
        <v>551</v>
      </c>
      <c r="X265" s="101">
        <f>G290</f>
        <v>255.4837904</v>
      </c>
      <c r="Y265">
        <f>Y264+Y263+Y262</f>
        <v>807.7462057</v>
      </c>
    </row>
    <row r="266">
      <c r="A266" s="102" t="s">
        <v>552</v>
      </c>
      <c r="G266" s="10" t="s">
        <v>455</v>
      </c>
      <c r="H266" s="15">
        <f>SUM(H262:H265)</f>
        <v>1200.559602</v>
      </c>
      <c r="J266">
        <f>H266/L266</f>
        <v>1.008510838</v>
      </c>
      <c r="K266" s="10" t="s">
        <v>455</v>
      </c>
      <c r="L266" s="15">
        <f>SUM(L262:L265)</f>
        <v>1190.428062</v>
      </c>
      <c r="O266" s="10" t="s">
        <v>455</v>
      </c>
      <c r="P266" s="15">
        <f>SUM(P262:P265)</f>
        <v>1035.422235</v>
      </c>
      <c r="S266" s="10" t="s">
        <v>455</v>
      </c>
      <c r="T266" s="15">
        <f>SUM(T262:T265)</f>
        <v>1018.981086</v>
      </c>
      <c r="W266" s="10" t="s">
        <v>455</v>
      </c>
      <c r="X266" s="15">
        <f>SUM(X262:X265)</f>
        <v>868.3175326</v>
      </c>
    </row>
    <row r="268">
      <c r="A268" s="102" t="s">
        <v>553</v>
      </c>
    </row>
    <row r="269">
      <c r="A269" s="102" t="s">
        <v>554</v>
      </c>
    </row>
    <row r="270">
      <c r="A270" s="102" t="s">
        <v>555</v>
      </c>
    </row>
    <row r="271">
      <c r="A271" s="102" t="s">
        <v>556</v>
      </c>
    </row>
    <row r="273">
      <c r="A273" s="102" t="s">
        <v>557</v>
      </c>
    </row>
    <row r="274">
      <c r="A274" s="102" t="s">
        <v>558</v>
      </c>
      <c r="E274" s="100" t="s">
        <v>559</v>
      </c>
    </row>
    <row r="275">
      <c r="A275" s="102" t="s">
        <v>560</v>
      </c>
    </row>
    <row r="276">
      <c r="A276" s="102" t="s">
        <v>561</v>
      </c>
    </row>
    <row r="278">
      <c r="A278" s="102" t="s">
        <v>562</v>
      </c>
    </row>
    <row r="279">
      <c r="G279" s="5">
        <v>200.0</v>
      </c>
      <c r="H279" s="5">
        <v>20.0</v>
      </c>
      <c r="I279" s="5">
        <v>120.0</v>
      </c>
      <c r="J279" s="5" t="s">
        <v>516</v>
      </c>
      <c r="K279" s="5">
        <v>98.0</v>
      </c>
      <c r="L279" s="5">
        <v>183.0</v>
      </c>
    </row>
    <row r="280">
      <c r="A280" s="102" t="s">
        <v>563</v>
      </c>
      <c r="I280">
        <f>I279/H279</f>
        <v>6</v>
      </c>
      <c r="J280" s="5" t="s">
        <v>517</v>
      </c>
      <c r="K280">
        <f>(K279+L279)/2</f>
        <v>140.5</v>
      </c>
      <c r="L280" s="5" t="s">
        <v>473</v>
      </c>
    </row>
    <row r="281">
      <c r="A281" s="102" t="s">
        <v>564</v>
      </c>
      <c r="I281">
        <f>G279/I280</f>
        <v>33.33333333</v>
      </c>
      <c r="J281" s="5" t="s">
        <v>39</v>
      </c>
      <c r="K281" s="5">
        <v>1258.0</v>
      </c>
      <c r="L281" s="5" t="s">
        <v>565</v>
      </c>
      <c r="M281" s="5">
        <v>0.2061</v>
      </c>
      <c r="O281" s="5">
        <f>12.68/100</f>
        <v>0.1268</v>
      </c>
    </row>
    <row r="282">
      <c r="A282" s="102" t="s">
        <v>566</v>
      </c>
      <c r="I282" s="5">
        <v>59.0</v>
      </c>
      <c r="J282" s="5" t="s">
        <v>545</v>
      </c>
      <c r="K282" s="5">
        <v>1.4</v>
      </c>
      <c r="L282" s="5" t="s">
        <v>567</v>
      </c>
      <c r="M282" s="103">
        <v>0.25</v>
      </c>
      <c r="O282" s="5">
        <v>60.0</v>
      </c>
    </row>
    <row r="283">
      <c r="C283" s="5" t="s">
        <v>568</v>
      </c>
      <c r="D283" s="5" t="s">
        <v>569</v>
      </c>
      <c r="E283" s="5" t="s">
        <v>570</v>
      </c>
      <c r="I283">
        <f>I282+I281</f>
        <v>92.33333333</v>
      </c>
      <c r="J283" s="10" t="s">
        <v>571</v>
      </c>
      <c r="K283" s="15">
        <f>K282/(1+M283)</f>
        <v>1.331399634</v>
      </c>
      <c r="L283" s="5" t="s">
        <v>572</v>
      </c>
      <c r="M283">
        <f>M281*M282</f>
        <v>0.051525</v>
      </c>
      <c r="O283" s="5">
        <v>10.0</v>
      </c>
    </row>
    <row r="284">
      <c r="A284" s="5" t="s">
        <v>573</v>
      </c>
      <c r="B284" s="5">
        <v>430.0</v>
      </c>
      <c r="C284" s="5">
        <v>473.0</v>
      </c>
      <c r="D284" s="5">
        <v>473.0</v>
      </c>
      <c r="E284" s="5">
        <v>473.0</v>
      </c>
      <c r="G284" s="5">
        <v>430.0</v>
      </c>
      <c r="H284" s="5">
        <v>430.0</v>
      </c>
      <c r="I284" s="5"/>
      <c r="J284" s="5" t="s">
        <v>518</v>
      </c>
      <c r="K284">
        <f>K281/14*K283</f>
        <v>119.6357671</v>
      </c>
      <c r="M284" s="5">
        <v>0.0</v>
      </c>
      <c r="N284" s="5"/>
      <c r="O284" s="5">
        <f>O282/O283</f>
        <v>6</v>
      </c>
      <c r="P284" s="5"/>
    </row>
    <row r="285">
      <c r="A285" s="5" t="s">
        <v>495</v>
      </c>
      <c r="B285" s="5">
        <v>441.0</v>
      </c>
      <c r="C285" s="5">
        <v>441.0</v>
      </c>
      <c r="D285" s="5">
        <v>441.0</v>
      </c>
      <c r="E285" s="5">
        <v>742.0</v>
      </c>
      <c r="G285" s="5">
        <v>441.0</v>
      </c>
      <c r="H285" s="5">
        <f>G285+I283</f>
        <v>533.3333333</v>
      </c>
      <c r="I285" s="5"/>
      <c r="J285" s="5" t="s">
        <v>546</v>
      </c>
      <c r="K285" s="5">
        <f>176+K280</f>
        <v>316.5</v>
      </c>
      <c r="O285">
        <f>100/O284</f>
        <v>16.66666667</v>
      </c>
    </row>
    <row r="286">
      <c r="B286">
        <f t="shared" ref="B286:C286" si="36">(B284+(B285*1.3))*1.1</f>
        <v>1103.63</v>
      </c>
      <c r="C286">
        <f t="shared" si="36"/>
        <v>1150.93</v>
      </c>
      <c r="D286">
        <f>(D284+(D285*1.3))*1.2</f>
        <v>1255.56</v>
      </c>
      <c r="E286">
        <f>(E284+(E285*1.3))*1.1</f>
        <v>1581.36</v>
      </c>
      <c r="G286">
        <f t="shared" ref="G286:H286" si="37">(G284+(G285*1.3))*1.1</f>
        <v>1103.63</v>
      </c>
      <c r="H286">
        <f t="shared" si="37"/>
        <v>1235.666667</v>
      </c>
      <c r="J286" s="5" t="s">
        <v>522</v>
      </c>
      <c r="K286">
        <f>K284+K285</f>
        <v>436.1357671</v>
      </c>
      <c r="O286">
        <f>O281/O285</f>
        <v>0.007608</v>
      </c>
    </row>
    <row r="287">
      <c r="A287" s="5" t="s">
        <v>574</v>
      </c>
      <c r="B287">
        <f>Sheet1!G9</f>
        <v>1.15</v>
      </c>
      <c r="C287" s="101">
        <f>Sheet1!G9</f>
        <v>1.15</v>
      </c>
      <c r="D287" s="101">
        <f>Sheet1!G9</f>
        <v>1.15</v>
      </c>
      <c r="E287" s="101">
        <f>Sheet1!G9+0.0177</f>
        <v>1.1677</v>
      </c>
      <c r="F287" s="5"/>
      <c r="G287">
        <f>Sheet1!G9</f>
        <v>1.15</v>
      </c>
      <c r="H287">
        <f>Sheet1!G9</f>
        <v>1.15</v>
      </c>
      <c r="J287" s="5" t="s">
        <v>523</v>
      </c>
      <c r="K287" s="5">
        <f>Sheet1!G9</f>
        <v>1.15</v>
      </c>
      <c r="O287" s="5">
        <f>20/6</f>
        <v>3.333333333</v>
      </c>
    </row>
    <row r="288">
      <c r="A288" s="5" t="s">
        <v>575</v>
      </c>
      <c r="B288">
        <f>(B286*B287)/(1+T2)</f>
        <v>1057.174305</v>
      </c>
      <c r="C288">
        <f>(C286*C287)/(1+T2)</f>
        <v>1102.483281</v>
      </c>
      <c r="D288">
        <f>(D286*D287)/(1+T2)</f>
        <v>1202.709033</v>
      </c>
      <c r="E288">
        <f>(E286*E287)/(1+T2)</f>
        <v>1538.109628</v>
      </c>
      <c r="G288">
        <f>(G286*G287)/(1+T2)</f>
        <v>1057.174305</v>
      </c>
      <c r="H288">
        <f>(H286*H287)/(1+T2)</f>
        <v>1183.653081</v>
      </c>
      <c r="J288" s="5" t="s">
        <v>522</v>
      </c>
      <c r="K288" s="85">
        <f>K286*K287</f>
        <v>501.5561322</v>
      </c>
    </row>
    <row r="289">
      <c r="A289" s="5" t="s">
        <v>387</v>
      </c>
      <c r="B289">
        <f>(B288+B292)*1.45</f>
        <v>1978.052742</v>
      </c>
      <c r="C289">
        <f>(C288+B292)*1.45</f>
        <v>2043.750757</v>
      </c>
      <c r="D289">
        <f>(D288+B292)*1.45</f>
        <v>2189.078098</v>
      </c>
      <c r="E289">
        <f>(E288+D292)*1.45</f>
        <v>2230.25896</v>
      </c>
      <c r="G289">
        <f t="shared" ref="G289:H289" si="38">(G288+G292)*1.45</f>
        <v>1532.902742</v>
      </c>
      <c r="H289">
        <f t="shared" si="38"/>
        <v>1716.296967</v>
      </c>
      <c r="J289" s="5" t="s">
        <v>524</v>
      </c>
      <c r="K289">
        <f>T2</f>
        <v>0.2005347594</v>
      </c>
    </row>
    <row r="290">
      <c r="A290" s="5" t="s">
        <v>455</v>
      </c>
      <c r="B290">
        <f t="shared" ref="B290:E290" si="39">B289/6</f>
        <v>329.6754571</v>
      </c>
      <c r="C290">
        <f t="shared" si="39"/>
        <v>340.6251262</v>
      </c>
      <c r="D290">
        <f t="shared" si="39"/>
        <v>364.8463497</v>
      </c>
      <c r="E290">
        <f t="shared" si="39"/>
        <v>371.7098267</v>
      </c>
      <c r="G290">
        <f t="shared" ref="G290:H290" si="40">G289/6</f>
        <v>255.4837904</v>
      </c>
      <c r="H290">
        <f t="shared" si="40"/>
        <v>286.0494946</v>
      </c>
      <c r="J290" s="5" t="s">
        <v>525</v>
      </c>
      <c r="K290">
        <f>K288/(1+K289)</f>
        <v>417.7772682</v>
      </c>
    </row>
    <row r="291">
      <c r="A291" s="5" t="s">
        <v>576</v>
      </c>
      <c r="B291">
        <f t="shared" ref="B291:E291" si="41">B289/4</f>
        <v>494.5131856</v>
      </c>
      <c r="C291">
        <f t="shared" si="41"/>
        <v>510.9376892</v>
      </c>
      <c r="D291">
        <f t="shared" si="41"/>
        <v>547.2695246</v>
      </c>
      <c r="E291">
        <f t="shared" si="41"/>
        <v>557.5647401</v>
      </c>
      <c r="G291">
        <f t="shared" ref="G291:H291" si="42">G289/4</f>
        <v>383.2256856</v>
      </c>
      <c r="H291">
        <f t="shared" si="42"/>
        <v>429.0742418</v>
      </c>
      <c r="J291" s="5" t="s">
        <v>547</v>
      </c>
      <c r="K291">
        <f>C12</f>
        <v>181</v>
      </c>
    </row>
    <row r="292">
      <c r="A292" s="5" t="s">
        <v>307</v>
      </c>
      <c r="B292" s="5">
        <v>307.0</v>
      </c>
      <c r="J292" s="5" t="s">
        <v>387</v>
      </c>
      <c r="K292">
        <f>(K291+K290)*1.45</f>
        <v>868.2270389</v>
      </c>
    </row>
    <row r="293">
      <c r="C293" s="5"/>
      <c r="H293">
        <f>H290-G290</f>
        <v>30.56570415</v>
      </c>
      <c r="J293" s="5" t="s">
        <v>548</v>
      </c>
      <c r="K293">
        <f>K292/K283</f>
        <v>652.1160265</v>
      </c>
    </row>
    <row r="294">
      <c r="A294" s="5" t="s">
        <v>577</v>
      </c>
      <c r="B294">
        <f>T2</f>
        <v>0.2005347594</v>
      </c>
      <c r="J294" s="5" t="s">
        <v>578</v>
      </c>
      <c r="K294" s="5">
        <v>0.5</v>
      </c>
      <c r="M294">
        <f>(K293+K294)-H259</f>
        <v>11.17877013</v>
      </c>
    </row>
    <row r="297">
      <c r="A297" s="82" t="s">
        <v>537</v>
      </c>
      <c r="B297" s="104"/>
      <c r="C297" s="84"/>
      <c r="M297" s="5" t="s">
        <v>579</v>
      </c>
    </row>
    <row r="298">
      <c r="A298" s="105" t="s">
        <v>459</v>
      </c>
      <c r="C298" s="87"/>
      <c r="E298" s="82" t="s">
        <v>462</v>
      </c>
      <c r="F298" s="104"/>
      <c r="G298" s="84"/>
      <c r="I298" s="82" t="s">
        <v>580</v>
      </c>
      <c r="J298" s="104"/>
      <c r="K298" s="84"/>
      <c r="M298" s="82" t="s">
        <v>581</v>
      </c>
      <c r="N298" s="104"/>
      <c r="O298" s="84"/>
      <c r="Q298" s="5" t="s">
        <v>582</v>
      </c>
      <c r="U298" s="5" t="s">
        <v>464</v>
      </c>
      <c r="Y298" s="5" t="s">
        <v>457</v>
      </c>
    </row>
    <row r="299">
      <c r="A299" s="105" t="s">
        <v>516</v>
      </c>
      <c r="B299" s="9">
        <v>98.0</v>
      </c>
      <c r="C299" s="106">
        <v>183.0</v>
      </c>
      <c r="E299" s="86" t="s">
        <v>516</v>
      </c>
      <c r="F299" s="5">
        <v>113.0</v>
      </c>
      <c r="G299" s="89">
        <v>211.0</v>
      </c>
      <c r="I299" s="86" t="s">
        <v>516</v>
      </c>
      <c r="J299" s="107">
        <v>179.0</v>
      </c>
      <c r="K299" s="108">
        <v>334.0</v>
      </c>
      <c r="M299" s="86" t="s">
        <v>516</v>
      </c>
      <c r="N299" s="107">
        <v>128.0</v>
      </c>
      <c r="O299" s="108">
        <v>193.0</v>
      </c>
      <c r="Q299" s="5" t="s">
        <v>516</v>
      </c>
      <c r="R299" s="107">
        <v>179.0</v>
      </c>
      <c r="S299" s="107">
        <v>334.0</v>
      </c>
      <c r="U299" s="5" t="s">
        <v>516</v>
      </c>
      <c r="V299" s="107">
        <v>214.0</v>
      </c>
      <c r="W299" s="107">
        <v>398.0</v>
      </c>
      <c r="Y299" s="5" t="s">
        <v>516</v>
      </c>
      <c r="Z299" s="107">
        <v>111.0</v>
      </c>
      <c r="AA299" s="107">
        <v>207.0</v>
      </c>
    </row>
    <row r="300">
      <c r="A300" s="105" t="s">
        <v>517</v>
      </c>
      <c r="B300">
        <f>(B299+C299)/2</f>
        <v>140.5</v>
      </c>
      <c r="C300" s="87"/>
      <c r="E300" s="86" t="s">
        <v>517</v>
      </c>
      <c r="F300">
        <f>(F299+G299)/2</f>
        <v>162</v>
      </c>
      <c r="G300" s="87"/>
      <c r="I300" s="86" t="s">
        <v>517</v>
      </c>
      <c r="J300">
        <f>(J299+K299)/2</f>
        <v>256.5</v>
      </c>
      <c r="K300" s="87"/>
      <c r="M300" s="86" t="s">
        <v>517</v>
      </c>
      <c r="N300">
        <f>(N299+O299)/2</f>
        <v>160.5</v>
      </c>
      <c r="O300" s="87"/>
      <c r="Q300" s="5" t="s">
        <v>517</v>
      </c>
      <c r="R300">
        <f>(R299+S299)/2</f>
        <v>256.5</v>
      </c>
      <c r="U300" s="5" t="s">
        <v>517</v>
      </c>
      <c r="V300">
        <f>(V299+W299)/2</f>
        <v>306</v>
      </c>
      <c r="Y300" s="5" t="s">
        <v>517</v>
      </c>
      <c r="Z300">
        <f>(Z299+AA299)/2</f>
        <v>159</v>
      </c>
    </row>
    <row r="301">
      <c r="A301" s="105" t="s">
        <v>39</v>
      </c>
      <c r="B301" s="5">
        <f>Sheet1!G12</f>
        <v>1300</v>
      </c>
      <c r="C301" s="87"/>
      <c r="E301" s="86" t="s">
        <v>39</v>
      </c>
      <c r="F301" s="5">
        <f>Sheet1!G12</f>
        <v>1300</v>
      </c>
      <c r="G301" s="87"/>
      <c r="I301" s="86" t="s">
        <v>39</v>
      </c>
      <c r="J301" s="5">
        <f>Sheet1!G12+K301</f>
        <v>1352</v>
      </c>
      <c r="K301" s="108">
        <v>52.0</v>
      </c>
      <c r="M301" s="86" t="s">
        <v>39</v>
      </c>
      <c r="N301" s="5">
        <f>Sheet1!G12+O301</f>
        <v>1300</v>
      </c>
      <c r="O301" s="108">
        <v>0.0</v>
      </c>
      <c r="Q301" s="5" t="s">
        <v>39</v>
      </c>
      <c r="R301" s="5">
        <f>Sheet1!G12+S301</f>
        <v>1300</v>
      </c>
      <c r="S301" s="107">
        <v>0.0</v>
      </c>
      <c r="U301" s="5" t="s">
        <v>39</v>
      </c>
      <c r="V301" s="5">
        <f>Sheet1!G12+W301</f>
        <v>1344</v>
      </c>
      <c r="W301" s="107">
        <v>44.0</v>
      </c>
      <c r="Y301" s="5" t="s">
        <v>39</v>
      </c>
      <c r="Z301" s="5">
        <f>Sheet1!G12+AA301</f>
        <v>1300</v>
      </c>
      <c r="AA301" s="109">
        <v>0.0</v>
      </c>
    </row>
    <row r="302">
      <c r="A302" s="105" t="s">
        <v>518</v>
      </c>
      <c r="B302">
        <f>B301/14*2.4</f>
        <v>222.8571429</v>
      </c>
      <c r="C302" s="87"/>
      <c r="E302" s="86" t="s">
        <v>518</v>
      </c>
      <c r="F302">
        <f>F301/14*2.4</f>
        <v>222.8571429</v>
      </c>
      <c r="G302" s="87"/>
      <c r="I302" s="86" t="s">
        <v>518</v>
      </c>
      <c r="J302">
        <f>J301/14*2.4</f>
        <v>231.7714286</v>
      </c>
      <c r="K302" s="87"/>
      <c r="M302" s="86" t="s">
        <v>518</v>
      </c>
      <c r="N302">
        <f>N301/14*2.4</f>
        <v>222.8571429</v>
      </c>
      <c r="O302" s="89"/>
      <c r="Q302" s="5" t="s">
        <v>518</v>
      </c>
      <c r="R302">
        <f>R301/14*2.4</f>
        <v>222.8571429</v>
      </c>
      <c r="U302" s="5" t="s">
        <v>518</v>
      </c>
      <c r="V302">
        <f>V301/14*2.4</f>
        <v>230.4</v>
      </c>
      <c r="Y302" s="5" t="s">
        <v>518</v>
      </c>
      <c r="Z302">
        <f>Z301/14*2.4</f>
        <v>222.8571429</v>
      </c>
    </row>
    <row r="303">
      <c r="A303" s="105" t="s">
        <v>519</v>
      </c>
      <c r="B303">
        <f>B302+B300</f>
        <v>363.3571429</v>
      </c>
      <c r="C303" s="87"/>
      <c r="E303" s="86" t="s">
        <v>519</v>
      </c>
      <c r="F303">
        <f>F302+F300</f>
        <v>384.8571429</v>
      </c>
      <c r="G303" s="87"/>
      <c r="I303" s="86" t="s">
        <v>519</v>
      </c>
      <c r="J303">
        <f>J302+J300</f>
        <v>488.2714286</v>
      </c>
      <c r="K303" s="87"/>
      <c r="M303" s="86" t="s">
        <v>519</v>
      </c>
      <c r="N303">
        <f>N302+N300</f>
        <v>383.3571429</v>
      </c>
      <c r="O303" s="87"/>
      <c r="Q303" s="5" t="s">
        <v>519</v>
      </c>
      <c r="R303">
        <f>R302+R300</f>
        <v>479.3571429</v>
      </c>
      <c r="U303" s="5" t="s">
        <v>519</v>
      </c>
      <c r="V303">
        <f>V302+V300</f>
        <v>536.4</v>
      </c>
      <c r="Y303" s="5" t="s">
        <v>519</v>
      </c>
      <c r="Z303">
        <f>Z302+Z300</f>
        <v>381.8571429</v>
      </c>
    </row>
    <row r="304">
      <c r="A304" s="105" t="s">
        <v>520</v>
      </c>
      <c r="B304">
        <f>B303/2</f>
        <v>181.6785714</v>
      </c>
      <c r="C304" s="87"/>
      <c r="E304" s="86" t="s">
        <v>520</v>
      </c>
      <c r="F304">
        <f>F303/2</f>
        <v>192.4285714</v>
      </c>
      <c r="G304" s="87"/>
      <c r="I304" s="86" t="s">
        <v>520</v>
      </c>
      <c r="J304">
        <f>J303/2</f>
        <v>244.1357143</v>
      </c>
      <c r="K304" s="87"/>
      <c r="M304" s="86" t="s">
        <v>520</v>
      </c>
      <c r="N304">
        <f>N303/2</f>
        <v>191.6785714</v>
      </c>
      <c r="O304" s="87"/>
      <c r="Q304" s="5" t="s">
        <v>520</v>
      </c>
      <c r="R304">
        <f>R303/2</f>
        <v>239.6785714</v>
      </c>
      <c r="U304" s="5" t="s">
        <v>520</v>
      </c>
      <c r="V304">
        <f>V303/2</f>
        <v>268.2</v>
      </c>
      <c r="Y304" s="5" t="s">
        <v>520</v>
      </c>
      <c r="Z304">
        <f>Z303/2</f>
        <v>190.9285714</v>
      </c>
    </row>
    <row r="305">
      <c r="A305" s="105" t="s">
        <v>521</v>
      </c>
      <c r="B305" s="9">
        <v>5.0</v>
      </c>
      <c r="C305" s="87"/>
      <c r="E305" s="86" t="s">
        <v>521</v>
      </c>
      <c r="F305" s="5">
        <v>5.0</v>
      </c>
      <c r="G305" s="87"/>
      <c r="I305" s="86" t="s">
        <v>521</v>
      </c>
      <c r="J305" s="5">
        <v>5.0</v>
      </c>
      <c r="K305" s="87"/>
      <c r="M305" s="86" t="s">
        <v>521</v>
      </c>
      <c r="N305" s="5">
        <v>5.0</v>
      </c>
      <c r="O305" s="87"/>
      <c r="Q305" s="5" t="s">
        <v>521</v>
      </c>
      <c r="R305" s="5">
        <v>5.0</v>
      </c>
      <c r="U305" s="5" t="s">
        <v>521</v>
      </c>
      <c r="V305" s="5">
        <v>5.0</v>
      </c>
      <c r="Y305" s="5" t="s">
        <v>521</v>
      </c>
      <c r="Z305" s="5">
        <v>5.0</v>
      </c>
    </row>
    <row r="306">
      <c r="A306" s="105" t="s">
        <v>522</v>
      </c>
      <c r="B306">
        <f>B304+(B305*35)</f>
        <v>356.6785714</v>
      </c>
      <c r="C306" s="87"/>
      <c r="E306" s="86" t="s">
        <v>522</v>
      </c>
      <c r="F306">
        <f>F304+(F305*35)</f>
        <v>367.4285714</v>
      </c>
      <c r="G306" s="87"/>
      <c r="I306" s="86" t="s">
        <v>522</v>
      </c>
      <c r="J306">
        <f>J304+(J305*35)</f>
        <v>419.1357143</v>
      </c>
      <c r="K306" s="87"/>
      <c r="M306" s="86" t="s">
        <v>522</v>
      </c>
      <c r="N306">
        <f>N304+(N305*35)</f>
        <v>366.6785714</v>
      </c>
      <c r="O306" s="87"/>
      <c r="Q306" s="5" t="s">
        <v>522</v>
      </c>
      <c r="R306">
        <f>R304+(R305*35)</f>
        <v>414.6785714</v>
      </c>
      <c r="U306" s="5" t="s">
        <v>522</v>
      </c>
      <c r="V306">
        <f>V304+(V305*35)</f>
        <v>443.2</v>
      </c>
      <c r="Y306" s="5" t="s">
        <v>522</v>
      </c>
      <c r="Z306">
        <f>Z304+(Z305*35)</f>
        <v>365.9285714</v>
      </c>
    </row>
    <row r="307">
      <c r="A307" s="105" t="s">
        <v>523</v>
      </c>
      <c r="B307" s="5">
        <f>Sheet1!G9+0.0095</f>
        <v>1.1595</v>
      </c>
      <c r="C307" s="89">
        <v>0.0095</v>
      </c>
      <c r="E307" s="86" t="s">
        <v>523</v>
      </c>
      <c r="F307" s="5">
        <f>Sheet1!G9</f>
        <v>1.15</v>
      </c>
      <c r="G307" s="87"/>
      <c r="I307" s="86" t="s">
        <v>523</v>
      </c>
      <c r="J307" s="5">
        <f>Sheet1!G9+K307</f>
        <v>1.15</v>
      </c>
      <c r="K307" s="87"/>
      <c r="M307" s="86" t="s">
        <v>523</v>
      </c>
      <c r="N307" s="5">
        <f>Sheet1!$G$9+O307</f>
        <v>1.15</v>
      </c>
      <c r="O307" s="89">
        <v>0.0</v>
      </c>
      <c r="Q307" s="5" t="s">
        <v>523</v>
      </c>
      <c r="R307" s="5">
        <f>Sheet1!$G$9+S307</f>
        <v>1.15</v>
      </c>
      <c r="S307" s="107">
        <v>0.0</v>
      </c>
      <c r="U307" s="5" t="s">
        <v>523</v>
      </c>
      <c r="V307" s="110">
        <f>Sheet1!G9+W307</f>
        <v>1.15737</v>
      </c>
      <c r="W307" s="107">
        <v>0.00737</v>
      </c>
      <c r="Y307" s="5" t="s">
        <v>523</v>
      </c>
      <c r="Z307" s="110">
        <f>Sheet1!G9+AA307</f>
        <v>1.15</v>
      </c>
      <c r="AA307" s="107">
        <v>0.0</v>
      </c>
    </row>
    <row r="308">
      <c r="A308" s="105" t="s">
        <v>522</v>
      </c>
      <c r="B308" s="85">
        <f>B306*B307</f>
        <v>413.5688036</v>
      </c>
      <c r="C308" s="87"/>
      <c r="E308" s="86" t="s">
        <v>522</v>
      </c>
      <c r="F308" s="85">
        <f>F306*F307</f>
        <v>422.5428571</v>
      </c>
      <c r="G308" s="87"/>
      <c r="I308" s="86" t="s">
        <v>522</v>
      </c>
      <c r="J308" s="85">
        <f>J306*J307</f>
        <v>482.0060714</v>
      </c>
      <c r="K308" s="87"/>
      <c r="M308" s="86" t="s">
        <v>522</v>
      </c>
      <c r="N308" s="85">
        <f>N306*N307</f>
        <v>421.6803571</v>
      </c>
      <c r="O308" s="87"/>
      <c r="Q308" s="5" t="s">
        <v>522</v>
      </c>
      <c r="R308" s="85">
        <f>R306*R307</f>
        <v>476.8803571</v>
      </c>
      <c r="U308" s="5" t="s">
        <v>522</v>
      </c>
      <c r="V308" s="85">
        <f>V306*V307</f>
        <v>512.946384</v>
      </c>
      <c r="Y308" s="5" t="s">
        <v>522</v>
      </c>
      <c r="Z308" s="85">
        <f>Z306*Z307</f>
        <v>420.8178571</v>
      </c>
    </row>
    <row r="309">
      <c r="A309" s="105" t="s">
        <v>524</v>
      </c>
      <c r="B309" s="9">
        <f>T2</f>
        <v>0.2005347594</v>
      </c>
      <c r="C309" s="87"/>
      <c r="E309" s="86" t="s">
        <v>524</v>
      </c>
      <c r="F309" s="5">
        <f>T2</f>
        <v>0.2005347594</v>
      </c>
      <c r="G309" s="87"/>
      <c r="I309" s="86" t="s">
        <v>524</v>
      </c>
      <c r="J309" s="5">
        <f>T2</f>
        <v>0.2005347594</v>
      </c>
      <c r="K309" s="87"/>
      <c r="M309" s="86" t="s">
        <v>524</v>
      </c>
      <c r="N309" s="5">
        <f>T2</f>
        <v>0.2005347594</v>
      </c>
      <c r="O309" s="87"/>
      <c r="Q309" s="5" t="s">
        <v>524</v>
      </c>
      <c r="R309" s="5">
        <f>T2</f>
        <v>0.2005347594</v>
      </c>
      <c r="U309" s="5" t="s">
        <v>524</v>
      </c>
      <c r="V309" s="5">
        <f>T2</f>
        <v>0.2005347594</v>
      </c>
      <c r="Y309" s="5" t="s">
        <v>524</v>
      </c>
      <c r="Z309" s="5">
        <f>T2</f>
        <v>0.2005347594</v>
      </c>
    </row>
    <row r="310">
      <c r="A310" s="105" t="s">
        <v>525</v>
      </c>
      <c r="B310">
        <f>B308/(1+B309)</f>
        <v>344.4871549</v>
      </c>
      <c r="C310" s="87"/>
      <c r="E310" s="86" t="s">
        <v>525</v>
      </c>
      <c r="F310">
        <f>F308/(1+F309)</f>
        <v>351.9622017</v>
      </c>
      <c r="G310" s="87"/>
      <c r="I310" s="86" t="s">
        <v>525</v>
      </c>
      <c r="J310">
        <f>J308/(1+J309)</f>
        <v>401.4928078</v>
      </c>
      <c r="K310" s="87"/>
      <c r="M310" s="86" t="s">
        <v>525</v>
      </c>
      <c r="N310">
        <f>N308/(1+N309)</f>
        <v>351.2437719</v>
      </c>
      <c r="O310" s="87"/>
      <c r="Q310" s="5" t="s">
        <v>525</v>
      </c>
      <c r="R310">
        <f>R308/(1+R309)</f>
        <v>397.2232819</v>
      </c>
      <c r="U310" s="5" t="s">
        <v>525</v>
      </c>
      <c r="V310">
        <f>V308/(1+V309)</f>
        <v>427.2649167</v>
      </c>
      <c r="Y310" s="5" t="s">
        <v>525</v>
      </c>
      <c r="Z310">
        <f>Z308/(1+Z309)</f>
        <v>350.525342</v>
      </c>
    </row>
    <row r="311">
      <c r="A311" s="105" t="s">
        <v>526</v>
      </c>
      <c r="B311" s="5">
        <v>180.0</v>
      </c>
      <c r="C311" s="87"/>
      <c r="E311" s="86" t="s">
        <v>526</v>
      </c>
      <c r="F311" s="5">
        <v>180.0</v>
      </c>
      <c r="G311" s="87"/>
      <c r="I311" s="86" t="s">
        <v>526</v>
      </c>
      <c r="J311" s="5">
        <v>180.0</v>
      </c>
      <c r="K311" s="87"/>
      <c r="M311" s="86" t="s">
        <v>526</v>
      </c>
      <c r="N311" s="5">
        <v>180.0</v>
      </c>
      <c r="O311" s="87"/>
      <c r="Q311" s="5" t="s">
        <v>526</v>
      </c>
      <c r="R311" s="5">
        <v>180.0</v>
      </c>
      <c r="U311" s="5" t="s">
        <v>526</v>
      </c>
      <c r="V311" s="5">
        <v>180.0</v>
      </c>
      <c r="Y311" s="5" t="s">
        <v>526</v>
      </c>
      <c r="Z311" s="5">
        <v>180.0</v>
      </c>
    </row>
    <row r="312">
      <c r="A312" s="105" t="s">
        <v>387</v>
      </c>
      <c r="B312">
        <f>(B311+B310)*1.45</f>
        <v>760.5063746</v>
      </c>
      <c r="C312" s="87"/>
      <c r="E312" s="86" t="s">
        <v>387</v>
      </c>
      <c r="F312">
        <f>(F311+F310)*1.45</f>
        <v>771.3451925</v>
      </c>
      <c r="G312" s="87"/>
      <c r="I312" s="86" t="s">
        <v>387</v>
      </c>
      <c r="J312">
        <f>(J311+J310)*1.45</f>
        <v>843.1645713</v>
      </c>
      <c r="K312" s="87"/>
      <c r="M312" s="86" t="s">
        <v>387</v>
      </c>
      <c r="N312">
        <f>(N311+N310)*1.45</f>
        <v>770.3034692</v>
      </c>
      <c r="O312" s="87"/>
      <c r="Q312" s="5" t="s">
        <v>387</v>
      </c>
      <c r="R312">
        <f>(R311+R310)*1.45</f>
        <v>836.9737587</v>
      </c>
      <c r="U312" s="5" t="s">
        <v>387</v>
      </c>
      <c r="V312">
        <f>(V311+V310)*1.45</f>
        <v>880.5341293</v>
      </c>
      <c r="Y312" s="5" t="s">
        <v>387</v>
      </c>
      <c r="Z312">
        <f>(Z311+Z310)*1.45</f>
        <v>769.2617459</v>
      </c>
    </row>
    <row r="313">
      <c r="A313" s="105" t="s">
        <v>541</v>
      </c>
      <c r="B313">
        <f>B312/2</f>
        <v>380.2531873</v>
      </c>
      <c r="C313" s="87"/>
      <c r="E313" s="86" t="s">
        <v>541</v>
      </c>
      <c r="F313">
        <f>F312/2</f>
        <v>385.6725962</v>
      </c>
      <c r="G313" s="87"/>
      <c r="I313" s="86" t="s">
        <v>541</v>
      </c>
      <c r="J313">
        <f>J312/2</f>
        <v>421.5822857</v>
      </c>
      <c r="K313" s="87"/>
      <c r="M313" s="86" t="s">
        <v>541</v>
      </c>
      <c r="N313">
        <f>N312/2</f>
        <v>385.1517346</v>
      </c>
      <c r="O313" s="87"/>
      <c r="Q313" s="5" t="s">
        <v>541</v>
      </c>
      <c r="R313">
        <f>R312/2</f>
        <v>418.4868794</v>
      </c>
      <c r="U313" s="5" t="s">
        <v>541</v>
      </c>
      <c r="V313">
        <f>V312/2</f>
        <v>440.2670646</v>
      </c>
      <c r="Y313" s="5" t="s">
        <v>541</v>
      </c>
      <c r="Z313">
        <f>Z312/2</f>
        <v>384.630873</v>
      </c>
    </row>
    <row r="314">
      <c r="A314" s="111" t="s">
        <v>455</v>
      </c>
      <c r="B314" s="92">
        <f>B313/6</f>
        <v>63.37553121</v>
      </c>
      <c r="C314" s="93"/>
      <c r="E314" s="112" t="s">
        <v>455</v>
      </c>
      <c r="F314" s="92">
        <f>F313/6</f>
        <v>64.27876604</v>
      </c>
      <c r="G314" s="93"/>
      <c r="I314" s="112" t="s">
        <v>455</v>
      </c>
      <c r="J314" s="92">
        <f>J313/6</f>
        <v>70.26371428</v>
      </c>
      <c r="K314" s="93"/>
      <c r="M314" s="112" t="s">
        <v>455</v>
      </c>
      <c r="N314" s="92">
        <f>N313/6</f>
        <v>64.19195577</v>
      </c>
      <c r="O314" s="93"/>
      <c r="Q314" s="5" t="s">
        <v>455</v>
      </c>
      <c r="R314">
        <f>R313/6</f>
        <v>69.74781323</v>
      </c>
      <c r="U314" s="5" t="s">
        <v>455</v>
      </c>
      <c r="V314">
        <f>V313/6</f>
        <v>73.37784411</v>
      </c>
      <c r="Y314" s="5" t="s">
        <v>455</v>
      </c>
      <c r="Z314">
        <f>Z313/6</f>
        <v>64.1051455</v>
      </c>
    </row>
    <row r="315">
      <c r="A315" s="113" t="s">
        <v>525</v>
      </c>
      <c r="B315" s="114">
        <f>(414+506)/2</f>
        <v>460</v>
      </c>
      <c r="C315" s="5"/>
      <c r="E315" s="82" t="s">
        <v>525</v>
      </c>
      <c r="F315" s="114">
        <f>(414+506)/2</f>
        <v>460</v>
      </c>
      <c r="G315" s="5"/>
      <c r="I315" s="82" t="s">
        <v>525</v>
      </c>
      <c r="J315" s="114">
        <f>(414+506)/2</f>
        <v>460</v>
      </c>
      <c r="K315" s="5"/>
      <c r="M315" s="82" t="s">
        <v>525</v>
      </c>
      <c r="N315" s="114">
        <f>(414+506)/2</f>
        <v>460</v>
      </c>
      <c r="O315" s="5"/>
      <c r="Q315" s="5" t="s">
        <v>525</v>
      </c>
      <c r="R315" s="5">
        <f>(414+506)/2</f>
        <v>460</v>
      </c>
      <c r="U315" s="5" t="s">
        <v>525</v>
      </c>
      <c r="V315" s="5">
        <f>(414+506)/2</f>
        <v>460</v>
      </c>
      <c r="Y315" s="5" t="s">
        <v>525</v>
      </c>
      <c r="Z315" s="5">
        <f>(414+506)/2</f>
        <v>460</v>
      </c>
    </row>
    <row r="316">
      <c r="A316" s="115" t="s">
        <v>184</v>
      </c>
      <c r="B316" s="5">
        <f>'Skill Threat'!B307</f>
        <v>1.1595</v>
      </c>
      <c r="E316" s="86" t="s">
        <v>184</v>
      </c>
      <c r="F316" s="5">
        <f>'Skill Threat'!F307</f>
        <v>1.15</v>
      </c>
      <c r="I316" s="86" t="s">
        <v>184</v>
      </c>
      <c r="J316" s="5">
        <f>'Skill Threat'!J307</f>
        <v>1.15</v>
      </c>
      <c r="M316" s="86" t="s">
        <v>184</v>
      </c>
      <c r="N316" s="5">
        <f>'Skill Threat'!N307</f>
        <v>1.15</v>
      </c>
      <c r="Q316" s="5" t="s">
        <v>184</v>
      </c>
      <c r="R316" s="5">
        <f>'Skill Threat'!R307</f>
        <v>1.15</v>
      </c>
      <c r="U316" s="5" t="s">
        <v>184</v>
      </c>
      <c r="V316" s="5">
        <f>'Skill Threat'!V307</f>
        <v>1.15737</v>
      </c>
      <c r="Y316" s="5" t="s">
        <v>184</v>
      </c>
      <c r="Z316" s="5">
        <f>'Skill Threat'!Z307</f>
        <v>1.15</v>
      </c>
    </row>
    <row r="317">
      <c r="A317" s="115" t="s">
        <v>522</v>
      </c>
      <c r="B317" s="89">
        <f>B315*B316</f>
        <v>533.37</v>
      </c>
      <c r="E317" s="86" t="s">
        <v>522</v>
      </c>
      <c r="F317" s="89">
        <f>F315*F316</f>
        <v>529</v>
      </c>
      <c r="I317" s="86" t="s">
        <v>522</v>
      </c>
      <c r="J317" s="89">
        <f>J315*J316</f>
        <v>529</v>
      </c>
      <c r="M317" s="86" t="s">
        <v>522</v>
      </c>
      <c r="N317" s="89">
        <f>N315*N316</f>
        <v>529</v>
      </c>
      <c r="Q317" s="5" t="s">
        <v>522</v>
      </c>
      <c r="R317" s="5">
        <f>R315*R316</f>
        <v>529</v>
      </c>
      <c r="U317" s="5" t="s">
        <v>522</v>
      </c>
      <c r="V317" s="5">
        <f>V315*V316</f>
        <v>532.3902</v>
      </c>
      <c r="Y317" s="5" t="s">
        <v>522</v>
      </c>
      <c r="Z317" s="5">
        <f>Z315*Z316</f>
        <v>529</v>
      </c>
    </row>
    <row r="318">
      <c r="A318" s="115" t="s">
        <v>298</v>
      </c>
      <c r="B318" s="89">
        <f>T2</f>
        <v>0.2005347594</v>
      </c>
      <c r="E318" s="86" t="s">
        <v>298</v>
      </c>
      <c r="F318" s="89">
        <f>T2</f>
        <v>0.2005347594</v>
      </c>
      <c r="I318" s="86" t="s">
        <v>298</v>
      </c>
      <c r="J318" s="89">
        <f>T2</f>
        <v>0.2005347594</v>
      </c>
      <c r="M318" s="86" t="s">
        <v>298</v>
      </c>
      <c r="N318" s="89">
        <f>T2</f>
        <v>0.2005347594</v>
      </c>
      <c r="Q318" s="5" t="s">
        <v>298</v>
      </c>
      <c r="R318" s="5">
        <f>T2</f>
        <v>0.2005347594</v>
      </c>
      <c r="U318" s="5" t="s">
        <v>298</v>
      </c>
      <c r="V318" s="5">
        <f>T2</f>
        <v>0.2005347594</v>
      </c>
      <c r="Y318" s="5" t="s">
        <v>298</v>
      </c>
      <c r="Z318" s="5">
        <f>T2</f>
        <v>0.2005347594</v>
      </c>
    </row>
    <row r="319">
      <c r="A319" s="115" t="s">
        <v>525</v>
      </c>
      <c r="B319" s="87">
        <f>B317/(1+B318)</f>
        <v>444.2770156</v>
      </c>
      <c r="E319" s="86" t="s">
        <v>525</v>
      </c>
      <c r="F319" s="87">
        <f>F317/(1+F318)</f>
        <v>440.636971</v>
      </c>
      <c r="I319" s="86" t="s">
        <v>525</v>
      </c>
      <c r="J319" s="87">
        <f>J317/(1+J318)</f>
        <v>440.636971</v>
      </c>
      <c r="M319" s="86" t="s">
        <v>525</v>
      </c>
      <c r="N319" s="87">
        <f>N317/(1+N318)</f>
        <v>440.636971</v>
      </c>
      <c r="Q319" s="5" t="s">
        <v>525</v>
      </c>
      <c r="R319">
        <f>R317/(1+R318)</f>
        <v>440.636971</v>
      </c>
      <c r="U319" s="5" t="s">
        <v>525</v>
      </c>
      <c r="V319">
        <f>V317/(1+V318)</f>
        <v>443.4608793</v>
      </c>
      <c r="Y319" s="5" t="s">
        <v>525</v>
      </c>
      <c r="Z319">
        <f>Z317/(1+Z318)</f>
        <v>440.636971</v>
      </c>
    </row>
    <row r="320">
      <c r="A320" s="115" t="s">
        <v>307</v>
      </c>
      <c r="B320" s="89">
        <v>201.0</v>
      </c>
      <c r="E320" s="86" t="s">
        <v>307</v>
      </c>
      <c r="F320" s="89">
        <v>201.0</v>
      </c>
      <c r="I320" s="86" t="s">
        <v>307</v>
      </c>
      <c r="J320" s="89">
        <v>201.0</v>
      </c>
      <c r="M320" s="86" t="s">
        <v>307</v>
      </c>
      <c r="N320" s="89">
        <v>201.0</v>
      </c>
      <c r="Q320" s="5" t="s">
        <v>307</v>
      </c>
      <c r="R320" s="5">
        <v>201.0</v>
      </c>
      <c r="U320" s="5" t="s">
        <v>307</v>
      </c>
      <c r="V320" s="5">
        <v>201.0</v>
      </c>
      <c r="Y320" s="5" t="s">
        <v>307</v>
      </c>
      <c r="Z320" s="5">
        <v>201.0</v>
      </c>
    </row>
    <row r="321">
      <c r="A321" s="115" t="s">
        <v>387</v>
      </c>
      <c r="B321" s="87">
        <f>(B319+B320)*1.45</f>
        <v>935.6516726</v>
      </c>
      <c r="E321" s="86" t="s">
        <v>387</v>
      </c>
      <c r="F321" s="87">
        <f>(F319+F320)*1.45</f>
        <v>930.373608</v>
      </c>
      <c r="I321" s="86" t="s">
        <v>387</v>
      </c>
      <c r="J321" s="87">
        <f>(J319+J320)*1.45</f>
        <v>930.373608</v>
      </c>
      <c r="M321" s="86" t="s">
        <v>387</v>
      </c>
      <c r="N321" s="87">
        <f>(N319+N320)*1.45</f>
        <v>930.373608</v>
      </c>
      <c r="Q321" s="5" t="s">
        <v>387</v>
      </c>
      <c r="R321">
        <f>(R319+R320)*1.45</f>
        <v>930.373608</v>
      </c>
      <c r="U321" s="5" t="s">
        <v>387</v>
      </c>
      <c r="V321">
        <f>(V319+V320)*1.45</f>
        <v>934.468275</v>
      </c>
      <c r="Y321" s="5" t="s">
        <v>387</v>
      </c>
      <c r="Z321">
        <f>(Z319+Z320)*1.45</f>
        <v>930.373608</v>
      </c>
    </row>
    <row r="322">
      <c r="A322" s="115" t="s">
        <v>541</v>
      </c>
      <c r="B322" s="89">
        <f>B321/4</f>
        <v>233.9129182</v>
      </c>
      <c r="E322" s="86" t="s">
        <v>541</v>
      </c>
      <c r="F322" s="89">
        <f>F321/4</f>
        <v>232.593402</v>
      </c>
      <c r="I322" s="86" t="s">
        <v>541</v>
      </c>
      <c r="J322" s="89">
        <f>J321/4</f>
        <v>232.593402</v>
      </c>
      <c r="M322" s="86" t="s">
        <v>541</v>
      </c>
      <c r="N322" s="89">
        <f>N321/4</f>
        <v>232.593402</v>
      </c>
      <c r="Q322" s="5" t="s">
        <v>541</v>
      </c>
      <c r="R322" s="5">
        <f>R321/4</f>
        <v>232.593402</v>
      </c>
      <c r="U322" s="5" t="s">
        <v>541</v>
      </c>
      <c r="V322" s="5">
        <f>V321/4</f>
        <v>233.6170687</v>
      </c>
      <c r="Y322" s="5" t="s">
        <v>541</v>
      </c>
      <c r="Z322" s="5">
        <f>Z321/4</f>
        <v>232.593402</v>
      </c>
    </row>
    <row r="323">
      <c r="A323" s="116" t="s">
        <v>455</v>
      </c>
      <c r="B323" s="117">
        <f>B322/1.5</f>
        <v>155.9419454</v>
      </c>
      <c r="E323" s="112" t="s">
        <v>455</v>
      </c>
      <c r="F323" s="117">
        <f>F322/1.5</f>
        <v>155.062268</v>
      </c>
      <c r="I323" s="112" t="s">
        <v>455</v>
      </c>
      <c r="J323" s="117">
        <f>J322/1.5</f>
        <v>155.062268</v>
      </c>
      <c r="M323" s="112" t="s">
        <v>455</v>
      </c>
      <c r="N323" s="117">
        <f>N322/1.5</f>
        <v>155.062268</v>
      </c>
      <c r="Q323" s="5" t="s">
        <v>455</v>
      </c>
      <c r="R323" s="85">
        <f>R322/1.5</f>
        <v>155.062268</v>
      </c>
      <c r="U323" s="5" t="s">
        <v>455</v>
      </c>
      <c r="V323" s="85">
        <f>V322/1.5</f>
        <v>155.7447125</v>
      </c>
      <c r="Y323" s="5" t="s">
        <v>455</v>
      </c>
      <c r="Z323" s="85">
        <f>Z322/1.5</f>
        <v>155.062268</v>
      </c>
    </row>
    <row r="324">
      <c r="A324" s="118" t="s">
        <v>516</v>
      </c>
      <c r="B324" s="83">
        <v>98.0</v>
      </c>
      <c r="C324" s="114">
        <v>183.0</v>
      </c>
      <c r="E324" s="82" t="s">
        <v>516</v>
      </c>
      <c r="F324" s="83">
        <v>113.0</v>
      </c>
      <c r="G324" s="114">
        <v>211.0</v>
      </c>
      <c r="I324" s="82" t="s">
        <v>516</v>
      </c>
      <c r="J324" s="83">
        <f t="shared" ref="J324:K324" si="43">J299</f>
        <v>179</v>
      </c>
      <c r="K324" s="114">
        <f t="shared" si="43"/>
        <v>334</v>
      </c>
      <c r="M324" s="82" t="s">
        <v>516</v>
      </c>
      <c r="N324" s="119">
        <f t="shared" ref="N324:O324" si="44">N299</f>
        <v>128</v>
      </c>
      <c r="O324" s="120">
        <f t="shared" si="44"/>
        <v>193</v>
      </c>
      <c r="Q324" s="5" t="s">
        <v>516</v>
      </c>
      <c r="R324" s="121">
        <f t="shared" ref="R324:S324" si="45">R299</f>
        <v>179</v>
      </c>
      <c r="S324" s="121">
        <f t="shared" si="45"/>
        <v>334</v>
      </c>
      <c r="U324" s="5" t="s">
        <v>516</v>
      </c>
      <c r="V324" s="121">
        <f t="shared" ref="V324:W324" si="46">V299</f>
        <v>214</v>
      </c>
      <c r="W324" s="121">
        <f t="shared" si="46"/>
        <v>398</v>
      </c>
      <c r="Y324" s="5" t="s">
        <v>516</v>
      </c>
      <c r="Z324" s="121">
        <f t="shared" ref="Z324:AA324" si="47">Z299</f>
        <v>111</v>
      </c>
      <c r="AA324" s="121">
        <f t="shared" si="47"/>
        <v>207</v>
      </c>
    </row>
    <row r="325">
      <c r="A325" s="122" t="s">
        <v>517</v>
      </c>
      <c r="B325">
        <f>(B324+C324)/2</f>
        <v>140.5</v>
      </c>
      <c r="C325" s="87"/>
      <c r="E325" s="86" t="s">
        <v>517</v>
      </c>
      <c r="F325">
        <f>(F324+G324)/2</f>
        <v>162</v>
      </c>
      <c r="G325" s="87"/>
      <c r="I325" s="86" t="s">
        <v>517</v>
      </c>
      <c r="J325">
        <f>(J324+K324)/2</f>
        <v>256.5</v>
      </c>
      <c r="K325" s="87"/>
      <c r="M325" s="86" t="s">
        <v>517</v>
      </c>
      <c r="N325">
        <f>(N324+O324)/2</f>
        <v>160.5</v>
      </c>
      <c r="O325" s="87"/>
      <c r="Q325" s="5" t="s">
        <v>517</v>
      </c>
      <c r="R325">
        <f>(R324+S324)/2</f>
        <v>256.5</v>
      </c>
      <c r="U325" s="5" t="s">
        <v>517</v>
      </c>
      <c r="V325">
        <f>(V324+W324)/2</f>
        <v>306</v>
      </c>
      <c r="Y325" s="5" t="s">
        <v>517</v>
      </c>
      <c r="Z325">
        <f>(Z324+AA324)/2</f>
        <v>159</v>
      </c>
    </row>
    <row r="326">
      <c r="A326" s="122" t="s">
        <v>39</v>
      </c>
      <c r="B326" s="5">
        <f>'Skill Threat'!B301</f>
        <v>1300</v>
      </c>
      <c r="C326" s="87"/>
      <c r="E326" s="86" t="s">
        <v>39</v>
      </c>
      <c r="F326" s="5">
        <f>'Skill Threat'!F301</f>
        <v>1300</v>
      </c>
      <c r="G326" s="87"/>
      <c r="I326" s="86" t="s">
        <v>39</v>
      </c>
      <c r="J326" s="5">
        <f>'Skill Threat'!J301</f>
        <v>1352</v>
      </c>
      <c r="K326" s="87"/>
      <c r="M326" s="86" t="s">
        <v>39</v>
      </c>
      <c r="N326" s="5">
        <f>'Skill Threat'!N301</f>
        <v>1300</v>
      </c>
      <c r="O326" s="87"/>
      <c r="Q326" s="5" t="s">
        <v>39</v>
      </c>
      <c r="R326" s="5">
        <f>'Skill Threat'!R301</f>
        <v>1300</v>
      </c>
      <c r="U326" s="5" t="s">
        <v>39</v>
      </c>
      <c r="V326" s="5">
        <f>'Skill Threat'!V301</f>
        <v>1344</v>
      </c>
      <c r="Y326" s="5" t="s">
        <v>39</v>
      </c>
      <c r="Z326" s="5">
        <f>'Skill Threat'!Z301</f>
        <v>1300</v>
      </c>
    </row>
    <row r="327">
      <c r="A327" s="122" t="s">
        <v>545</v>
      </c>
      <c r="B327" s="5">
        <v>1.4</v>
      </c>
      <c r="C327" s="87"/>
      <c r="E327" s="86" t="s">
        <v>545</v>
      </c>
      <c r="F327" s="5">
        <f>1.5/1.0159</f>
        <v>1.47652328</v>
      </c>
      <c r="G327" s="87"/>
      <c r="I327" s="86" t="s">
        <v>545</v>
      </c>
      <c r="J327" s="9">
        <v>2.7</v>
      </c>
      <c r="K327" s="87"/>
      <c r="M327" s="86" t="s">
        <v>545</v>
      </c>
      <c r="N327" s="9">
        <v>1.6</v>
      </c>
      <c r="O327" s="87"/>
      <c r="Q327" s="5" t="s">
        <v>545</v>
      </c>
      <c r="R327" s="9">
        <v>2.7</v>
      </c>
      <c r="U327" s="5" t="s">
        <v>545</v>
      </c>
      <c r="V327" s="9">
        <v>2.8</v>
      </c>
      <c r="Y327" s="5" t="s">
        <v>545</v>
      </c>
      <c r="Z327" s="9">
        <v>1.7</v>
      </c>
    </row>
    <row r="328">
      <c r="A328" s="122" t="s">
        <v>518</v>
      </c>
      <c r="B328">
        <f>B326/14*B327</f>
        <v>130</v>
      </c>
      <c r="C328" s="87"/>
      <c r="E328" s="86" t="s">
        <v>518</v>
      </c>
      <c r="F328">
        <f>F326/14*F327</f>
        <v>137.1057331</v>
      </c>
      <c r="G328" s="87"/>
      <c r="I328" s="86" t="s">
        <v>518</v>
      </c>
      <c r="J328">
        <f>J326/14*J327</f>
        <v>260.7428571</v>
      </c>
      <c r="K328" s="87"/>
      <c r="M328" s="86" t="s">
        <v>518</v>
      </c>
      <c r="N328">
        <f>N326/14*N327</f>
        <v>148.5714286</v>
      </c>
      <c r="O328" s="87"/>
      <c r="Q328" s="5" t="s">
        <v>518</v>
      </c>
      <c r="R328">
        <f>R326/14*R327</f>
        <v>250.7142857</v>
      </c>
      <c r="U328" s="5" t="s">
        <v>518</v>
      </c>
      <c r="V328">
        <f>V326/14*V327</f>
        <v>268.8</v>
      </c>
      <c r="Y328" s="5" t="s">
        <v>518</v>
      </c>
      <c r="Z328">
        <f>Z326/14*Z327</f>
        <v>157.8571429</v>
      </c>
    </row>
    <row r="329">
      <c r="A329" s="122" t="s">
        <v>546</v>
      </c>
      <c r="B329" s="5">
        <f>176+B325</f>
        <v>316.5</v>
      </c>
      <c r="C329" s="87"/>
      <c r="E329" s="86" t="s">
        <v>546</v>
      </c>
      <c r="F329" s="5">
        <f>176+F325</f>
        <v>338</v>
      </c>
      <c r="G329" s="87"/>
      <c r="I329" s="86" t="s">
        <v>546</v>
      </c>
      <c r="J329" s="5">
        <f>176+J325</f>
        <v>432.5</v>
      </c>
      <c r="K329" s="87"/>
      <c r="M329" s="86" t="s">
        <v>546</v>
      </c>
      <c r="N329" s="5">
        <f>176+N325</f>
        <v>336.5</v>
      </c>
      <c r="O329" s="87"/>
      <c r="Q329" s="5" t="s">
        <v>546</v>
      </c>
      <c r="R329" s="5">
        <f>176+R325</f>
        <v>432.5</v>
      </c>
      <c r="U329" s="5" t="s">
        <v>546</v>
      </c>
      <c r="V329" s="5">
        <f>176+V325</f>
        <v>482</v>
      </c>
      <c r="Y329" s="5" t="s">
        <v>546</v>
      </c>
      <c r="Z329" s="5">
        <f>176+Z325</f>
        <v>335</v>
      </c>
    </row>
    <row r="330">
      <c r="A330" s="122" t="s">
        <v>522</v>
      </c>
      <c r="B330">
        <f>B328+B329</f>
        <v>446.5</v>
      </c>
      <c r="C330" s="87"/>
      <c r="E330" s="86" t="s">
        <v>522</v>
      </c>
      <c r="F330">
        <f>F328+F329</f>
        <v>475.1057331</v>
      </c>
      <c r="G330" s="87"/>
      <c r="I330" s="86" t="s">
        <v>522</v>
      </c>
      <c r="J330">
        <f>J328+J329</f>
        <v>693.2428571</v>
      </c>
      <c r="K330" s="87"/>
      <c r="M330" s="86" t="s">
        <v>522</v>
      </c>
      <c r="N330">
        <f>N328+N329</f>
        <v>485.0714286</v>
      </c>
      <c r="O330" s="87"/>
      <c r="Q330" s="5" t="s">
        <v>522</v>
      </c>
      <c r="R330">
        <f>R328+R329</f>
        <v>683.2142857</v>
      </c>
      <c r="U330" s="5" t="s">
        <v>522</v>
      </c>
      <c r="V330">
        <f>V328+V329</f>
        <v>750.8</v>
      </c>
      <c r="Y330" s="5" t="s">
        <v>522</v>
      </c>
      <c r="Z330">
        <f>Z328+Z329</f>
        <v>492.8571429</v>
      </c>
    </row>
    <row r="331">
      <c r="A331" s="122" t="s">
        <v>523</v>
      </c>
      <c r="B331" s="5">
        <f>'Skill Threat'!B307</f>
        <v>1.1595</v>
      </c>
      <c r="C331" s="87"/>
      <c r="E331" s="86" t="s">
        <v>523</v>
      </c>
      <c r="F331" s="5">
        <f>'Skill Threat'!F307</f>
        <v>1.15</v>
      </c>
      <c r="G331" s="87"/>
      <c r="I331" s="86" t="s">
        <v>523</v>
      </c>
      <c r="J331" s="5">
        <f>'Skill Threat'!J307</f>
        <v>1.15</v>
      </c>
      <c r="K331" s="87"/>
      <c r="M331" s="86" t="s">
        <v>523</v>
      </c>
      <c r="N331" s="5">
        <f>'Skill Threat'!N307</f>
        <v>1.15</v>
      </c>
      <c r="O331" s="87"/>
      <c r="Q331" s="5" t="s">
        <v>523</v>
      </c>
      <c r="R331" s="5">
        <f>'Skill Threat'!R307</f>
        <v>1.15</v>
      </c>
      <c r="U331" s="5" t="s">
        <v>523</v>
      </c>
      <c r="V331" s="5">
        <f>'Skill Threat'!V307</f>
        <v>1.15737</v>
      </c>
      <c r="Y331" s="5" t="s">
        <v>523</v>
      </c>
      <c r="Z331" s="5">
        <f>'Skill Threat'!Z307</f>
        <v>1.15</v>
      </c>
    </row>
    <row r="332">
      <c r="A332" s="122" t="s">
        <v>522</v>
      </c>
      <c r="B332" s="85">
        <f>B330*B331</f>
        <v>517.71675</v>
      </c>
      <c r="C332" s="87"/>
      <c r="E332" s="86" t="s">
        <v>522</v>
      </c>
      <c r="F332" s="85">
        <f>F330*F331</f>
        <v>546.3715931</v>
      </c>
      <c r="G332" s="87"/>
      <c r="I332" s="86" t="s">
        <v>522</v>
      </c>
      <c r="J332" s="85">
        <f>J330*J331</f>
        <v>797.2292857</v>
      </c>
      <c r="K332" s="87"/>
      <c r="M332" s="86" t="s">
        <v>522</v>
      </c>
      <c r="N332" s="85">
        <f>N330*N331</f>
        <v>557.8321429</v>
      </c>
      <c r="O332" s="87"/>
      <c r="Q332" s="5" t="s">
        <v>522</v>
      </c>
      <c r="R332" s="85">
        <f>R330*R331</f>
        <v>785.6964286</v>
      </c>
      <c r="U332" s="5" t="s">
        <v>522</v>
      </c>
      <c r="V332" s="85">
        <f>V330*V331</f>
        <v>868.953396</v>
      </c>
      <c r="Y332" s="5" t="s">
        <v>522</v>
      </c>
      <c r="Z332" s="85">
        <f>Z330*Z331</f>
        <v>566.7857143</v>
      </c>
    </row>
    <row r="333">
      <c r="A333" s="122" t="s">
        <v>524</v>
      </c>
      <c r="B333">
        <f>T2</f>
        <v>0.2005347594</v>
      </c>
      <c r="C333" s="87"/>
      <c r="E333" s="86" t="s">
        <v>524</v>
      </c>
      <c r="F333">
        <f>T2</f>
        <v>0.2005347594</v>
      </c>
      <c r="G333" s="87"/>
      <c r="I333" s="86" t="s">
        <v>524</v>
      </c>
      <c r="J333">
        <f>T2</f>
        <v>0.2005347594</v>
      </c>
      <c r="K333" s="87"/>
      <c r="M333" s="86" t="s">
        <v>524</v>
      </c>
      <c r="N333">
        <f>T2</f>
        <v>0.2005347594</v>
      </c>
      <c r="O333" s="87"/>
      <c r="Q333" s="5" t="s">
        <v>524</v>
      </c>
      <c r="R333">
        <f>T2</f>
        <v>0.2005347594</v>
      </c>
      <c r="U333" s="5" t="s">
        <v>524</v>
      </c>
      <c r="V333">
        <f>T2</f>
        <v>0.2005347594</v>
      </c>
      <c r="W333" s="85">
        <f>V314+V323</f>
        <v>229.1225566</v>
      </c>
      <c r="Y333" s="5" t="s">
        <v>524</v>
      </c>
      <c r="Z333">
        <f>T2</f>
        <v>0.2005347594</v>
      </c>
    </row>
    <row r="334">
      <c r="A334" s="122" t="s">
        <v>525</v>
      </c>
      <c r="B334">
        <f>B332/(1+B333)</f>
        <v>431.238451</v>
      </c>
      <c r="C334" s="87"/>
      <c r="E334" s="86" t="s">
        <v>525</v>
      </c>
      <c r="F334">
        <f>F332/(1+F333)</f>
        <v>455.1068504</v>
      </c>
      <c r="G334" s="87"/>
      <c r="I334" s="86" t="s">
        <v>525</v>
      </c>
      <c r="J334">
        <f>J332/(1+J333)</f>
        <v>664.0618104</v>
      </c>
      <c r="K334" s="87"/>
      <c r="M334" s="86" t="s">
        <v>525</v>
      </c>
      <c r="N334">
        <f>N332/(1+N333)</f>
        <v>464.6530544</v>
      </c>
      <c r="O334" s="87"/>
      <c r="Q334" s="5" t="s">
        <v>525</v>
      </c>
      <c r="R334">
        <f>R332/(1+R333)</f>
        <v>654.455377</v>
      </c>
      <c r="U334" s="5" t="s">
        <v>525</v>
      </c>
      <c r="V334">
        <f>V332/(1+V333)</f>
        <v>723.8052786</v>
      </c>
      <c r="Y334" s="5" t="s">
        <v>525</v>
      </c>
      <c r="Z334">
        <f>Z332/(1+Z333)</f>
        <v>472.1110404</v>
      </c>
    </row>
    <row r="335">
      <c r="A335" s="122" t="s">
        <v>547</v>
      </c>
      <c r="B335">
        <f>C11</f>
        <v>196</v>
      </c>
      <c r="C335" s="87"/>
      <c r="E335" s="86" t="s">
        <v>547</v>
      </c>
      <c r="F335">
        <f>C11</f>
        <v>196</v>
      </c>
      <c r="G335" s="87"/>
      <c r="I335" s="86" t="s">
        <v>547</v>
      </c>
      <c r="J335">
        <f>C11</f>
        <v>196</v>
      </c>
      <c r="K335" s="87"/>
      <c r="M335" s="86" t="s">
        <v>547</v>
      </c>
      <c r="N335">
        <f>C11</f>
        <v>196</v>
      </c>
      <c r="O335" s="87"/>
      <c r="Q335" s="5" t="s">
        <v>547</v>
      </c>
      <c r="R335">
        <f>C11</f>
        <v>196</v>
      </c>
      <c r="U335" s="5" t="s">
        <v>547</v>
      </c>
      <c r="V335">
        <f>C11</f>
        <v>196</v>
      </c>
      <c r="Y335" s="5" t="s">
        <v>547</v>
      </c>
      <c r="Z335">
        <f>C11</f>
        <v>196</v>
      </c>
    </row>
    <row r="336">
      <c r="A336" s="122" t="s">
        <v>387</v>
      </c>
      <c r="B336">
        <f>(B335+B334)*1.45</f>
        <v>909.495754</v>
      </c>
      <c r="C336" s="87"/>
      <c r="E336" s="86" t="s">
        <v>387</v>
      </c>
      <c r="F336">
        <f>(F335+F334)*1.45</f>
        <v>944.104933</v>
      </c>
      <c r="G336" s="87"/>
      <c r="I336" s="86" t="s">
        <v>387</v>
      </c>
      <c r="J336">
        <f>(J335+J334)*1.45</f>
        <v>1247.089625</v>
      </c>
      <c r="K336" s="87"/>
      <c r="M336" s="86" t="s">
        <v>387</v>
      </c>
      <c r="N336">
        <f>(N335+N334)*1.45</f>
        <v>957.9469289</v>
      </c>
      <c r="O336" s="87"/>
      <c r="Q336" s="5" t="s">
        <v>387</v>
      </c>
      <c r="R336">
        <f>(R335+R334)*1.45</f>
        <v>1233.160297</v>
      </c>
      <c r="U336" s="5" t="s">
        <v>387</v>
      </c>
      <c r="V336">
        <f>(V335+V334)*1.45</f>
        <v>1333.717654</v>
      </c>
      <c r="Y336" s="5" t="s">
        <v>387</v>
      </c>
      <c r="Z336">
        <f>(Z335+Z334)*1.45</f>
        <v>968.7610086</v>
      </c>
    </row>
    <row r="337">
      <c r="A337" s="123" t="s">
        <v>548</v>
      </c>
      <c r="B337" s="92">
        <f>B336/B327</f>
        <v>649.6398243</v>
      </c>
      <c r="C337" s="93"/>
      <c r="E337" s="112" t="s">
        <v>548</v>
      </c>
      <c r="F337" s="92">
        <f>F336/F327</f>
        <v>639.410801</v>
      </c>
      <c r="G337" s="93"/>
      <c r="I337" s="112" t="s">
        <v>548</v>
      </c>
      <c r="J337" s="92">
        <f>J336/J327</f>
        <v>461.8850463</v>
      </c>
      <c r="K337" s="93"/>
      <c r="M337" s="112" t="s">
        <v>548</v>
      </c>
      <c r="N337" s="92">
        <f>N336/N327</f>
        <v>598.7168306</v>
      </c>
      <c r="O337" s="93"/>
      <c r="Q337" s="5" t="s">
        <v>548</v>
      </c>
      <c r="R337">
        <f>R336/R327</f>
        <v>456.7260358</v>
      </c>
      <c r="U337" s="5" t="s">
        <v>548</v>
      </c>
      <c r="V337">
        <f>V336/V327</f>
        <v>476.3277336</v>
      </c>
      <c r="Y337" s="5" t="s">
        <v>548</v>
      </c>
      <c r="Z337">
        <f>Z336/Z327</f>
        <v>569.8594168</v>
      </c>
    </row>
    <row r="338">
      <c r="A338" s="124"/>
      <c r="B338" s="104"/>
      <c r="C338" s="83" t="s">
        <v>568</v>
      </c>
      <c r="D338" s="83" t="s">
        <v>569</v>
      </c>
      <c r="E338" s="114" t="s">
        <v>583</v>
      </c>
      <c r="I338" s="5" t="s">
        <v>584</v>
      </c>
      <c r="J338" s="5">
        <f>R338</f>
        <v>10</v>
      </c>
      <c r="M338" s="5" t="s">
        <v>584</v>
      </c>
      <c r="N338" s="5">
        <f>R338</f>
        <v>10</v>
      </c>
      <c r="Q338" s="5" t="s">
        <v>584</v>
      </c>
      <c r="R338" s="9">
        <v>10.0</v>
      </c>
      <c r="U338" s="5" t="s">
        <v>584</v>
      </c>
      <c r="V338" s="5">
        <f>R338</f>
        <v>10</v>
      </c>
      <c r="Y338" s="5" t="s">
        <v>584</v>
      </c>
      <c r="Z338" s="5">
        <f>R338</f>
        <v>10</v>
      </c>
    </row>
    <row r="339">
      <c r="A339" s="86" t="s">
        <v>573</v>
      </c>
      <c r="B339" s="5">
        <v>430.0</v>
      </c>
      <c r="C339" s="5">
        <v>473.0</v>
      </c>
      <c r="D339" s="5">
        <v>473.0</v>
      </c>
      <c r="E339" s="89">
        <v>473.0</v>
      </c>
      <c r="I339" s="5"/>
      <c r="J339">
        <f>J337*(J338/100)</f>
        <v>46.18850463</v>
      </c>
      <c r="M339" s="5"/>
      <c r="N339">
        <f>N337*(N338/100)</f>
        <v>59.87168306</v>
      </c>
      <c r="Q339" s="5"/>
      <c r="R339">
        <f>R337*(R338/100)</f>
        <v>45.67260358</v>
      </c>
      <c r="U339" s="5"/>
      <c r="V339">
        <f>V337*(V338/100)</f>
        <v>47.63277336</v>
      </c>
      <c r="Y339" s="5"/>
      <c r="Z339">
        <f>Z337*(Z338/100)</f>
        <v>56.98594168</v>
      </c>
    </row>
    <row r="340">
      <c r="A340" s="86" t="s">
        <v>495</v>
      </c>
      <c r="B340" s="9">
        <v>140.0</v>
      </c>
      <c r="C340" s="5">
        <v>441.0</v>
      </c>
      <c r="D340" s="5">
        <v>441.0</v>
      </c>
      <c r="E340" s="89">
        <v>742.0</v>
      </c>
      <c r="I340" s="5"/>
      <c r="M340" s="5"/>
      <c r="Q340" s="5" t="s">
        <v>585</v>
      </c>
      <c r="U340" s="5"/>
      <c r="Y340" s="5"/>
    </row>
    <row r="341">
      <c r="A341" s="88"/>
      <c r="B341">
        <f t="shared" ref="B341:C341" si="48">(B339+(B340*1.3))*1.1</f>
        <v>673.2</v>
      </c>
      <c r="C341">
        <f t="shared" si="48"/>
        <v>1150.93</v>
      </c>
      <c r="D341">
        <f>(D339+(D340*1.3))*1.2</f>
        <v>1255.56</v>
      </c>
      <c r="E341" s="87">
        <f>(E339+(E340*1.3))*1.1</f>
        <v>1581.36</v>
      </c>
      <c r="I341" s="5"/>
      <c r="M341" s="5"/>
      <c r="Q341" s="5"/>
      <c r="U341" s="5"/>
      <c r="Y341" s="5"/>
    </row>
    <row r="342">
      <c r="A342" s="86" t="s">
        <v>574</v>
      </c>
      <c r="B342">
        <f>'Skill Threat'!B307</f>
        <v>1.1595</v>
      </c>
      <c r="C342" s="101">
        <f>'Skill Threat'!B307</f>
        <v>1.1595</v>
      </c>
      <c r="D342" s="101">
        <f>'Skill Threat'!B307</f>
        <v>1.1595</v>
      </c>
      <c r="E342" s="125">
        <f>'Skill Threat'!B307</f>
        <v>1.1595</v>
      </c>
      <c r="I342" s="5"/>
      <c r="M342" s="5"/>
      <c r="Q342" s="5"/>
      <c r="U342" s="5"/>
      <c r="Y342" s="5"/>
    </row>
    <row r="343">
      <c r="A343" s="86" t="s">
        <v>575</v>
      </c>
      <c r="B343">
        <f>(B341*B342)/(1+T57)</f>
        <v>780.5754</v>
      </c>
      <c r="C343">
        <f>(C341*C342)/(1+T57)</f>
        <v>1334.503335</v>
      </c>
      <c r="D343">
        <f>(D341*D342)/(1+T57)</f>
        <v>1455.82182</v>
      </c>
      <c r="E343" s="87">
        <f>(E341*E342)/(1+T57)</f>
        <v>1833.58692</v>
      </c>
      <c r="I343" s="5"/>
      <c r="J343" s="5"/>
      <c r="M343" s="5"/>
      <c r="Q343" s="5"/>
      <c r="U343" s="5"/>
      <c r="Y343" s="5"/>
    </row>
    <row r="344">
      <c r="A344" s="86" t="s">
        <v>387</v>
      </c>
      <c r="B344">
        <f>(B343+B347)*1.45</f>
        <v>1131.83433</v>
      </c>
      <c r="C344">
        <f>(C343+B347)*1.45</f>
        <v>1935.029836</v>
      </c>
      <c r="D344">
        <f>(D343+B347)*1.45</f>
        <v>2110.941639</v>
      </c>
      <c r="E344" s="87">
        <f>(E343+D347)*1.45</f>
        <v>2658.701034</v>
      </c>
      <c r="I344" s="5"/>
      <c r="M344" s="5"/>
      <c r="Q344" s="5"/>
      <c r="U344" s="5"/>
      <c r="Y344" s="5"/>
    </row>
    <row r="345">
      <c r="A345" s="86" t="s">
        <v>455</v>
      </c>
      <c r="B345">
        <f t="shared" ref="B345:E345" si="49">B344/6</f>
        <v>188.639055</v>
      </c>
      <c r="C345">
        <f t="shared" si="49"/>
        <v>322.5049726</v>
      </c>
      <c r="D345">
        <f t="shared" si="49"/>
        <v>351.8236065</v>
      </c>
      <c r="E345" s="87">
        <f t="shared" si="49"/>
        <v>443.116839</v>
      </c>
      <c r="F345" s="5"/>
      <c r="I345" s="5"/>
      <c r="M345" s="5"/>
      <c r="Q345" s="5"/>
      <c r="U345" s="5"/>
      <c r="Y345" s="5"/>
    </row>
    <row r="346">
      <c r="A346" s="112" t="s">
        <v>576</v>
      </c>
      <c r="B346" s="92">
        <f t="shared" ref="B346:E346" si="50">B344/4</f>
        <v>282.9585825</v>
      </c>
      <c r="C346" s="92">
        <f t="shared" si="50"/>
        <v>483.7574589</v>
      </c>
      <c r="D346" s="92">
        <f t="shared" si="50"/>
        <v>527.7354098</v>
      </c>
      <c r="E346" s="93">
        <f t="shared" si="50"/>
        <v>664.6752585</v>
      </c>
      <c r="I346" s="5"/>
      <c r="M346" s="5"/>
      <c r="Q346" s="5"/>
      <c r="U346" s="5"/>
      <c r="Y346" s="5"/>
    </row>
    <row r="347">
      <c r="A347" s="5"/>
      <c r="E347" s="5"/>
      <c r="I347" s="5"/>
      <c r="M347" s="5"/>
      <c r="Q347" s="5"/>
      <c r="U347" s="5"/>
      <c r="Y347" s="5"/>
    </row>
    <row r="348">
      <c r="A348" s="5"/>
      <c r="E348" s="5"/>
      <c r="I348" s="5"/>
      <c r="M348" s="5"/>
      <c r="Q348" s="5"/>
      <c r="U348" s="5"/>
      <c r="Y348" s="5"/>
    </row>
    <row r="349">
      <c r="A349" s="5" t="str">
        <f>A298</f>
        <v> [Blade of Savagery]</v>
      </c>
      <c r="E349" s="5" t="str">
        <f>E298</f>
        <v> [Dragonscale-Encrusted Longblade]</v>
      </c>
      <c r="I349" s="5" t="str">
        <f>I298</f>
        <v> [Rod of the Sun King]</v>
      </c>
      <c r="M349" s="5" t="str">
        <f>M298</f>
        <v> [Fang of Vashj]</v>
      </c>
      <c r="Q349" s="5" t="str">
        <f>Q298</f>
        <v> [Dragonstrike]</v>
      </c>
      <c r="U349" s="5" t="str">
        <f>U298</f>
        <v> [Warglaive of Azzinoth]</v>
      </c>
      <c r="Y349" s="5" t="str">
        <f>Y298</f>
        <v> [Mallet of the Tides]</v>
      </c>
    </row>
    <row r="350">
      <c r="A350" s="5" t="s">
        <v>549</v>
      </c>
      <c r="B350">
        <f>B314</f>
        <v>63.37553121</v>
      </c>
      <c r="C350">
        <f>B350*3</f>
        <v>190.1265936</v>
      </c>
      <c r="E350" s="5" t="s">
        <v>549</v>
      </c>
      <c r="F350">
        <f>F314</f>
        <v>64.27876604</v>
      </c>
      <c r="G350">
        <f>F350*3</f>
        <v>192.8362981</v>
      </c>
      <c r="I350" s="5" t="s">
        <v>549</v>
      </c>
      <c r="J350">
        <f>J314</f>
        <v>70.26371428</v>
      </c>
      <c r="K350">
        <f>J350*3</f>
        <v>210.7911428</v>
      </c>
      <c r="M350" s="5" t="s">
        <v>549</v>
      </c>
      <c r="N350">
        <f>N314</f>
        <v>64.19195577</v>
      </c>
      <c r="O350">
        <f>N350*3</f>
        <v>192.5758673</v>
      </c>
      <c r="Q350" s="5" t="s">
        <v>549</v>
      </c>
      <c r="R350">
        <f>R314</f>
        <v>69.74781323</v>
      </c>
      <c r="S350">
        <f>R350*3</f>
        <v>209.2434397</v>
      </c>
      <c r="U350" s="5" t="s">
        <v>549</v>
      </c>
      <c r="V350">
        <f>V314</f>
        <v>73.37784411</v>
      </c>
      <c r="W350">
        <f>V350*3</f>
        <v>220.1335323</v>
      </c>
      <c r="Y350" s="5" t="s">
        <v>549</v>
      </c>
      <c r="Z350">
        <f>Z314</f>
        <v>64.1051455</v>
      </c>
      <c r="AA350">
        <f>Z350*3</f>
        <v>192.3154365</v>
      </c>
    </row>
    <row r="351">
      <c r="A351" s="5" t="s">
        <v>550</v>
      </c>
      <c r="B351" s="85">
        <f>B323</f>
        <v>155.9419454</v>
      </c>
      <c r="C351">
        <f>B351*1.5</f>
        <v>233.9129182</v>
      </c>
      <c r="E351" s="5" t="s">
        <v>550</v>
      </c>
      <c r="F351" s="85">
        <f>F323</f>
        <v>155.062268</v>
      </c>
      <c r="G351">
        <f>F351*1.5</f>
        <v>232.593402</v>
      </c>
      <c r="I351" s="5" t="s">
        <v>550</v>
      </c>
      <c r="J351" s="85">
        <f>J323</f>
        <v>155.062268</v>
      </c>
      <c r="K351">
        <f>J351*1.5</f>
        <v>232.593402</v>
      </c>
      <c r="M351" s="5" t="s">
        <v>550</v>
      </c>
      <c r="N351" s="85">
        <f>N323</f>
        <v>155.062268</v>
      </c>
      <c r="O351">
        <f>N351*1.5</f>
        <v>232.593402</v>
      </c>
      <c r="Q351" s="5" t="s">
        <v>550</v>
      </c>
      <c r="R351" s="85">
        <f>R323</f>
        <v>155.062268</v>
      </c>
      <c r="S351">
        <f>R351*1.5</f>
        <v>232.593402</v>
      </c>
      <c r="U351" s="5" t="s">
        <v>550</v>
      </c>
      <c r="V351" s="85">
        <f>V323</f>
        <v>155.7447125</v>
      </c>
      <c r="W351">
        <f>V351*1.5</f>
        <v>233.6170687</v>
      </c>
      <c r="Y351" s="5" t="s">
        <v>550</v>
      </c>
      <c r="Z351" s="85">
        <f>Z323</f>
        <v>155.062268</v>
      </c>
      <c r="AA351">
        <f>Z351*1.5</f>
        <v>232.593402</v>
      </c>
    </row>
    <row r="352">
      <c r="A352" s="5" t="s">
        <v>471</v>
      </c>
      <c r="B352">
        <f>B337</f>
        <v>649.6398243</v>
      </c>
      <c r="C352">
        <f>B352</f>
        <v>649.6398243</v>
      </c>
      <c r="E352" s="5" t="s">
        <v>471</v>
      </c>
      <c r="F352">
        <f>F337</f>
        <v>639.410801</v>
      </c>
      <c r="G352">
        <f>F337</f>
        <v>639.410801</v>
      </c>
      <c r="I352" s="5" t="s">
        <v>471</v>
      </c>
      <c r="J352">
        <f>J339</f>
        <v>46.18850463</v>
      </c>
      <c r="K352">
        <f>J352</f>
        <v>46.18850463</v>
      </c>
      <c r="M352" s="5" t="s">
        <v>471</v>
      </c>
      <c r="N352">
        <f>N339</f>
        <v>59.87168306</v>
      </c>
      <c r="O352">
        <f>N352</f>
        <v>59.87168306</v>
      </c>
      <c r="Q352" s="5" t="s">
        <v>471</v>
      </c>
      <c r="R352">
        <f>R339</f>
        <v>45.67260358</v>
      </c>
      <c r="S352">
        <f>R352</f>
        <v>45.67260358</v>
      </c>
      <c r="U352" s="5" t="s">
        <v>471</v>
      </c>
      <c r="V352">
        <f>V339</f>
        <v>47.63277336</v>
      </c>
      <c r="W352">
        <f>V352</f>
        <v>47.63277336</v>
      </c>
      <c r="Y352" s="5" t="s">
        <v>471</v>
      </c>
      <c r="Z352">
        <f>Z339</f>
        <v>56.98594168</v>
      </c>
      <c r="AA352">
        <f>Z352</f>
        <v>56.98594168</v>
      </c>
    </row>
    <row r="353">
      <c r="A353" s="5" t="s">
        <v>551</v>
      </c>
      <c r="B353" s="126">
        <f>(1+B331/100)*$C$345</f>
        <v>326.2444178</v>
      </c>
      <c r="E353" s="127" t="s">
        <v>551</v>
      </c>
      <c r="F353" s="126">
        <f>(1+F331/100)*$C$345</f>
        <v>326.2137798</v>
      </c>
      <c r="G353" t="str">
        <f>#REF!</f>
        <v>#REF!</v>
      </c>
      <c r="I353" s="5" t="s">
        <v>551</v>
      </c>
      <c r="J353" s="5">
        <f>(1+J331/100)*C345</f>
        <v>326.2137798</v>
      </c>
      <c r="K353">
        <f>K352+K351+K350</f>
        <v>489.5730495</v>
      </c>
      <c r="M353" s="5" t="s">
        <v>551</v>
      </c>
      <c r="N353" s="101">
        <f>(1+N331/100)*C345</f>
        <v>326.2137798</v>
      </c>
      <c r="O353">
        <f>O352+O351+O350</f>
        <v>485.0409524</v>
      </c>
      <c r="Q353" s="5" t="s">
        <v>551</v>
      </c>
      <c r="R353" s="101">
        <f>(1+R331/100)*$C$345</f>
        <v>326.2137798</v>
      </c>
      <c r="S353">
        <f>S352+S351+S350</f>
        <v>487.5094453</v>
      </c>
      <c r="U353" s="5" t="s">
        <v>551</v>
      </c>
      <c r="V353" s="101">
        <f>(1+V331/100)*$C$345</f>
        <v>326.2375484</v>
      </c>
      <c r="W353">
        <f>W352+W351+W350</f>
        <v>501.3833744</v>
      </c>
      <c r="Y353" s="5" t="s">
        <v>551</v>
      </c>
      <c r="Z353" s="101">
        <f>(1+Z331/100)*$C$345</f>
        <v>326.2137798</v>
      </c>
      <c r="AA353">
        <f>AA352+AA351+AA350</f>
        <v>481.8947802</v>
      </c>
    </row>
    <row r="354">
      <c r="A354" s="10" t="s">
        <v>455</v>
      </c>
      <c r="B354" s="15">
        <f>SUM(B350:B353)</f>
        <v>1195.201719</v>
      </c>
      <c r="D354">
        <f>B354/F354</f>
        <v>1.008638313</v>
      </c>
      <c r="E354" s="10" t="s">
        <v>455</v>
      </c>
      <c r="F354" s="15">
        <f>SUM(F350:F353)</f>
        <v>1184.965615</v>
      </c>
      <c r="I354" s="10" t="s">
        <v>455</v>
      </c>
      <c r="J354" s="15">
        <f>SUM(J350:J353)</f>
        <v>597.7282667</v>
      </c>
      <c r="M354" s="10" t="s">
        <v>455</v>
      </c>
      <c r="N354" s="15">
        <f>SUM(N350:N353)</f>
        <v>605.3396866</v>
      </c>
      <c r="Q354" s="10" t="s">
        <v>455</v>
      </c>
      <c r="R354" s="15">
        <f>SUM(R350:R353)</f>
        <v>596.6964646</v>
      </c>
      <c r="U354" s="10" t="s">
        <v>455</v>
      </c>
      <c r="V354" s="15">
        <f>SUM(V350:V353)</f>
        <v>602.9928784</v>
      </c>
      <c r="Y354" s="10" t="s">
        <v>455</v>
      </c>
      <c r="Z354" s="15">
        <f>SUM(Z350:Z353)</f>
        <v>602.367135</v>
      </c>
    </row>
    <row r="355">
      <c r="N355">
        <f>N354*1.015</f>
        <v>614.4197819</v>
      </c>
      <c r="V355">
        <f>V354*1.01</f>
        <v>609.0228072</v>
      </c>
      <c r="Z355">
        <f>Z354*1.015</f>
        <v>611.402642</v>
      </c>
    </row>
    <row r="356">
      <c r="A356" s="5" t="s">
        <v>586</v>
      </c>
      <c r="G356" s="5" t="s">
        <v>587</v>
      </c>
      <c r="H356" s="5">
        <v>1.0152</v>
      </c>
      <c r="X356">
        <f>Z354/V354</f>
        <v>0.9989622707</v>
      </c>
      <c r="Y356" s="5" t="s">
        <v>588</v>
      </c>
      <c r="Z356" s="5">
        <v>607.0</v>
      </c>
    </row>
    <row r="357">
      <c r="A357" s="5" t="s">
        <v>589</v>
      </c>
      <c r="G357" s="5" t="s">
        <v>494</v>
      </c>
      <c r="H357" s="5">
        <v>30.0</v>
      </c>
      <c r="I357">
        <f>H357*J358</f>
        <v>0.9090909091</v>
      </c>
      <c r="J357" s="5">
        <v>33.0</v>
      </c>
      <c r="K357" s="5">
        <v>1.0</v>
      </c>
      <c r="X357" s="5">
        <f t="shared" ref="X357:X358" si="51">AA357*T358</f>
        <v>5.166666667</v>
      </c>
      <c r="Y357" s="5" t="s">
        <v>590</v>
      </c>
      <c r="Z357" s="5">
        <v>638.0</v>
      </c>
      <c r="AA357">
        <f>Z357-Z356</f>
        <v>31</v>
      </c>
    </row>
    <row r="358">
      <c r="A358" s="5" t="s">
        <v>299</v>
      </c>
      <c r="G358" s="5" t="s">
        <v>591</v>
      </c>
      <c r="H358">
        <f>59*1.1*2</f>
        <v>129.8</v>
      </c>
      <c r="I358">
        <f>I357/100</f>
        <v>0.009090909091</v>
      </c>
      <c r="J358">
        <f>K357/J357</f>
        <v>0.0303030303</v>
      </c>
      <c r="R358" s="5">
        <v>120.0</v>
      </c>
      <c r="S358" s="5">
        <v>20.0</v>
      </c>
      <c r="T358">
        <f t="shared" ref="T358:T359" si="52">S358/R358</f>
        <v>0.1666666667</v>
      </c>
      <c r="X358" s="5">
        <f t="shared" si="51"/>
        <v>6.166666667</v>
      </c>
      <c r="Y358" s="5" t="s">
        <v>592</v>
      </c>
      <c r="Z358" s="5">
        <v>718.0</v>
      </c>
      <c r="AA358">
        <f>Z358-Z356</f>
        <v>111</v>
      </c>
    </row>
    <row r="359">
      <c r="A359" s="5" t="s">
        <v>593</v>
      </c>
      <c r="B359">
        <f>T2</f>
        <v>0.2005347594</v>
      </c>
      <c r="H359" s="5" t="s">
        <v>594</v>
      </c>
      <c r="R359" s="5">
        <v>180.0</v>
      </c>
      <c r="S359" s="5">
        <v>10.0</v>
      </c>
      <c r="T359">
        <f t="shared" si="52"/>
        <v>0.05555555556</v>
      </c>
      <c r="Z359">
        <f>Z354-Z356</f>
        <v>-4.63286501</v>
      </c>
    </row>
    <row r="360">
      <c r="A360" s="5" t="s">
        <v>595</v>
      </c>
      <c r="B360" s="9">
        <v>1218.0</v>
      </c>
      <c r="D360">
        <f>C362-2.8%</f>
        <v>1.372</v>
      </c>
      <c r="H360" s="5" t="s">
        <v>596</v>
      </c>
      <c r="Z360">
        <f>Z354/Z356</f>
        <v>0.9923676029</v>
      </c>
    </row>
    <row r="362">
      <c r="A362" s="128" t="s">
        <v>459</v>
      </c>
      <c r="B362" s="129" t="s">
        <v>273</v>
      </c>
      <c r="C362" s="130">
        <v>1.4</v>
      </c>
      <c r="F362" s="128" t="s">
        <v>459</v>
      </c>
      <c r="G362" s="129" t="s">
        <v>273</v>
      </c>
      <c r="H362" s="130">
        <v>1.4</v>
      </c>
      <c r="K362" s="128" t="s">
        <v>460</v>
      </c>
      <c r="L362" s="129" t="s">
        <v>273</v>
      </c>
      <c r="M362" s="130">
        <v>1.6</v>
      </c>
    </row>
    <row r="363">
      <c r="A363" s="105" t="s">
        <v>597</v>
      </c>
      <c r="B363" s="9">
        <v>363.0</v>
      </c>
      <c r="C363" s="9" t="s">
        <v>598</v>
      </c>
      <c r="D363" s="5">
        <v>0.0</v>
      </c>
      <c r="E363">
        <f>B363/15.7692</f>
        <v>23.01955711</v>
      </c>
      <c r="F363" s="105"/>
      <c r="G363" s="9"/>
      <c r="H363" s="9"/>
      <c r="K363" s="105"/>
      <c r="L363" s="9"/>
      <c r="M363" s="9"/>
    </row>
    <row r="364">
      <c r="A364" s="105" t="s">
        <v>599</v>
      </c>
      <c r="B364" s="9">
        <v>55.0</v>
      </c>
      <c r="C364" s="9" t="s">
        <v>600</v>
      </c>
      <c r="D364" s="5">
        <v>8.0</v>
      </c>
      <c r="E364">
        <f>6+B364/3.9423</f>
        <v>19.95124673</v>
      </c>
      <c r="F364" s="105"/>
      <c r="G364" s="9"/>
      <c r="H364" s="9"/>
      <c r="K364" s="105"/>
      <c r="L364" s="9"/>
      <c r="M364" s="9"/>
    </row>
    <row r="365">
      <c r="A365" s="105" t="s">
        <v>516</v>
      </c>
      <c r="B365" s="9">
        <v>98.0</v>
      </c>
      <c r="C365" s="106">
        <v>183.0</v>
      </c>
      <c r="F365" s="105" t="s">
        <v>516</v>
      </c>
      <c r="G365" s="9">
        <v>98.0</v>
      </c>
      <c r="H365" s="106">
        <v>183.0</v>
      </c>
      <c r="K365" s="105" t="s">
        <v>516</v>
      </c>
      <c r="L365" s="9">
        <v>128.0</v>
      </c>
      <c r="M365" s="106">
        <v>193.0</v>
      </c>
    </row>
    <row r="366">
      <c r="A366" s="105" t="s">
        <v>517</v>
      </c>
      <c r="B366">
        <f>(B365+C365)/2</f>
        <v>140.5</v>
      </c>
      <c r="C366" s="87"/>
      <c r="F366" s="105" t="s">
        <v>517</v>
      </c>
      <c r="G366">
        <f>(G365+H365)/2</f>
        <v>140.5</v>
      </c>
      <c r="H366" s="87"/>
      <c r="K366" s="105" t="s">
        <v>517</v>
      </c>
      <c r="L366">
        <f>(L365+M365)/2</f>
        <v>160.5</v>
      </c>
      <c r="M366" s="87"/>
    </row>
    <row r="367">
      <c r="A367" s="105" t="s">
        <v>39</v>
      </c>
      <c r="B367" s="5">
        <f>$B$360</f>
        <v>1218</v>
      </c>
      <c r="C367" s="87"/>
      <c r="F367" s="105" t="s">
        <v>39</v>
      </c>
      <c r="G367" s="5">
        <f>$B$360</f>
        <v>1218</v>
      </c>
      <c r="H367" s="87"/>
      <c r="K367" s="105" t="s">
        <v>39</v>
      </c>
      <c r="L367" s="5">
        <f>$B$360</f>
        <v>1218</v>
      </c>
      <c r="M367" s="87"/>
    </row>
    <row r="368">
      <c r="A368" s="105" t="s">
        <v>518</v>
      </c>
      <c r="B368">
        <f>B367/14*2.4</f>
        <v>208.8</v>
      </c>
      <c r="C368" s="87"/>
      <c r="F368" s="105" t="s">
        <v>518</v>
      </c>
      <c r="G368">
        <f>G367/14*2.4</f>
        <v>208.8</v>
      </c>
      <c r="H368" s="89" t="s">
        <v>601</v>
      </c>
      <c r="K368" s="105" t="s">
        <v>518</v>
      </c>
      <c r="L368">
        <f>L367/14*2.4</f>
        <v>208.8</v>
      </c>
      <c r="M368" s="89" t="s">
        <v>601</v>
      </c>
    </row>
    <row r="369">
      <c r="A369" s="105" t="s">
        <v>519</v>
      </c>
      <c r="B369">
        <f>B368+B366</f>
        <v>349.3</v>
      </c>
      <c r="C369" s="87"/>
      <c r="F369" s="105" t="s">
        <v>519</v>
      </c>
      <c r="G369">
        <f>G368+G366</f>
        <v>349.3</v>
      </c>
      <c r="H369" s="87"/>
      <c r="K369" s="105" t="s">
        <v>519</v>
      </c>
      <c r="L369">
        <f>L368+L366</f>
        <v>369.3</v>
      </c>
      <c r="M369" s="87"/>
    </row>
    <row r="370">
      <c r="A370" s="105" t="s">
        <v>520</v>
      </c>
      <c r="B370">
        <f>B369/2</f>
        <v>174.65</v>
      </c>
      <c r="C370" s="87"/>
      <c r="F370" s="105" t="s">
        <v>520</v>
      </c>
      <c r="G370">
        <f>G369/2</f>
        <v>174.65</v>
      </c>
      <c r="H370" s="87"/>
      <c r="K370" s="105" t="s">
        <v>520</v>
      </c>
      <c r="L370">
        <f>L369/2</f>
        <v>184.65</v>
      </c>
      <c r="M370" s="87"/>
    </row>
    <row r="371">
      <c r="A371" s="105" t="s">
        <v>521</v>
      </c>
      <c r="B371" s="9">
        <v>5.0</v>
      </c>
      <c r="C371" s="87"/>
      <c r="F371" s="105" t="s">
        <v>521</v>
      </c>
      <c r="G371" s="9">
        <v>5.0</v>
      </c>
      <c r="H371" s="87"/>
      <c r="K371" s="105" t="s">
        <v>521</v>
      </c>
      <c r="L371" s="9">
        <v>5.0</v>
      </c>
      <c r="M371" s="87"/>
    </row>
    <row r="372">
      <c r="A372" s="105" t="s">
        <v>522</v>
      </c>
      <c r="B372">
        <f>B370+(B371*35)</f>
        <v>349.65</v>
      </c>
      <c r="C372" s="87"/>
      <c r="F372" s="105" t="s">
        <v>522</v>
      </c>
      <c r="G372">
        <f>G370+(G371*35)</f>
        <v>349.65</v>
      </c>
      <c r="H372" s="87"/>
      <c r="K372" s="105" t="s">
        <v>522</v>
      </c>
      <c r="L372">
        <f>L370+(L371*35)</f>
        <v>359.65</v>
      </c>
      <c r="M372" s="87"/>
    </row>
    <row r="373">
      <c r="A373" s="105" t="s">
        <v>523</v>
      </c>
      <c r="B373" s="5">
        <f>Sheet1!$G$9+D373</f>
        <v>1.1595</v>
      </c>
      <c r="C373" s="131" t="s">
        <v>602</v>
      </c>
      <c r="D373" s="132">
        <v>0.0095</v>
      </c>
      <c r="F373" s="105" t="s">
        <v>523</v>
      </c>
      <c r="G373" s="5">
        <f>Sheet1!$G$9+I373</f>
        <v>1.1595</v>
      </c>
      <c r="H373" s="131" t="s">
        <v>602</v>
      </c>
      <c r="I373" s="132">
        <f>0.0095</f>
        <v>0.0095</v>
      </c>
      <c r="K373" s="105" t="s">
        <v>523</v>
      </c>
      <c r="L373" s="5">
        <f>Sheet1!$G$9+N373</f>
        <v>1.15</v>
      </c>
      <c r="M373" s="131" t="s">
        <v>602</v>
      </c>
      <c r="N373" s="132">
        <v>0.0</v>
      </c>
    </row>
    <row r="374">
      <c r="A374" s="105" t="s">
        <v>522</v>
      </c>
      <c r="B374" s="85">
        <f>B372*B373</f>
        <v>405.419175</v>
      </c>
      <c r="C374" s="87"/>
      <c r="F374" s="105" t="s">
        <v>522</v>
      </c>
      <c r="G374" s="85">
        <f>G372*G373</f>
        <v>405.419175</v>
      </c>
      <c r="H374" s="87"/>
      <c r="K374" s="105" t="s">
        <v>522</v>
      </c>
      <c r="L374" s="85">
        <f>L372*L373</f>
        <v>413.5975</v>
      </c>
      <c r="M374" s="87"/>
    </row>
    <row r="375">
      <c r="A375" s="105" t="s">
        <v>524</v>
      </c>
      <c r="B375" s="9">
        <f>$T$2</f>
        <v>0.2005347594</v>
      </c>
      <c r="C375" s="87"/>
      <c r="D375" s="5"/>
      <c r="F375" s="105" t="s">
        <v>524</v>
      </c>
      <c r="G375" s="9">
        <f>$T$2</f>
        <v>0.2005347594</v>
      </c>
      <c r="H375" s="87"/>
      <c r="I375" s="5"/>
      <c r="K375" s="105" t="s">
        <v>524</v>
      </c>
      <c r="L375" s="9">
        <f>$T$2</f>
        <v>0.2005347594</v>
      </c>
      <c r="M375" s="87"/>
      <c r="N375" s="5"/>
    </row>
    <row r="376">
      <c r="A376" s="105" t="s">
        <v>525</v>
      </c>
      <c r="B376">
        <f>B374/(1+B375)</f>
        <v>337.6988228</v>
      </c>
      <c r="C376" s="87"/>
      <c r="F376" s="105" t="s">
        <v>525</v>
      </c>
      <c r="G376">
        <f>G374/(1+G375)</f>
        <v>337.6988228</v>
      </c>
      <c r="H376" s="87"/>
      <c r="K376" s="105" t="s">
        <v>525</v>
      </c>
      <c r="L376">
        <f>L374/(1+L375)</f>
        <v>344.5110579</v>
      </c>
      <c r="M376" s="87"/>
    </row>
    <row r="377">
      <c r="A377" s="105" t="s">
        <v>526</v>
      </c>
      <c r="B377" s="5">
        <v>180.0</v>
      </c>
      <c r="C377" s="87"/>
      <c r="F377" s="105" t="s">
        <v>526</v>
      </c>
      <c r="G377" s="5">
        <v>180.0</v>
      </c>
      <c r="H377" s="87"/>
      <c r="K377" s="105" t="s">
        <v>526</v>
      </c>
      <c r="L377" s="5">
        <v>180.0</v>
      </c>
      <c r="M377" s="87"/>
    </row>
    <row r="378">
      <c r="A378" s="105" t="s">
        <v>387</v>
      </c>
      <c r="B378">
        <f>(B377+B376)*1.45</f>
        <v>750.6632931</v>
      </c>
      <c r="C378" s="87"/>
      <c r="F378" s="105" t="s">
        <v>387</v>
      </c>
      <c r="G378">
        <f>(G377+G376)*1.45</f>
        <v>750.6632931</v>
      </c>
      <c r="H378" s="87"/>
      <c r="K378" s="105" t="s">
        <v>387</v>
      </c>
      <c r="L378">
        <f>(L377+L376)*1.45</f>
        <v>760.541034</v>
      </c>
      <c r="M378" s="87"/>
    </row>
    <row r="379">
      <c r="A379" s="105" t="s">
        <v>541</v>
      </c>
      <c r="B379">
        <f>B378/2</f>
        <v>375.3316466</v>
      </c>
      <c r="C379" s="87"/>
      <c r="F379" s="105" t="s">
        <v>541</v>
      </c>
      <c r="G379">
        <f>G378/2</f>
        <v>375.3316466</v>
      </c>
      <c r="H379" s="87"/>
      <c r="K379" s="105" t="s">
        <v>541</v>
      </c>
      <c r="L379">
        <f>L378/2</f>
        <v>380.270517</v>
      </c>
      <c r="M379" s="87"/>
    </row>
    <row r="380">
      <c r="A380" s="111" t="s">
        <v>455</v>
      </c>
      <c r="B380" s="92">
        <f>B379/6</f>
        <v>62.55527443</v>
      </c>
      <c r="C380" s="93"/>
      <c r="F380" s="111" t="s">
        <v>455</v>
      </c>
      <c r="G380" s="92">
        <f>G379/6</f>
        <v>62.55527443</v>
      </c>
      <c r="H380" s="93"/>
      <c r="K380" s="111" t="s">
        <v>455</v>
      </c>
      <c r="L380" s="92">
        <f>L379/6</f>
        <v>63.3784195</v>
      </c>
      <c r="M380" s="93"/>
    </row>
    <row r="381">
      <c r="A381" s="113" t="s">
        <v>525</v>
      </c>
      <c r="B381" s="114">
        <f>(414+506)/2</f>
        <v>460</v>
      </c>
      <c r="C381" s="5"/>
      <c r="F381" s="113" t="s">
        <v>525</v>
      </c>
      <c r="G381" s="114">
        <f>(414+506)/2</f>
        <v>460</v>
      </c>
      <c r="H381" s="5"/>
      <c r="K381" s="113" t="s">
        <v>525</v>
      </c>
      <c r="L381" s="114">
        <f>(414+506)/2</f>
        <v>460</v>
      </c>
      <c r="M381" s="5"/>
    </row>
    <row r="382">
      <c r="A382" s="115" t="s">
        <v>184</v>
      </c>
      <c r="B382" s="89">
        <f>Sheet1!$G$9+0.0095</f>
        <v>1.1595</v>
      </c>
      <c r="D382" s="5"/>
      <c r="E382" s="5"/>
      <c r="F382" s="115" t="s">
        <v>184</v>
      </c>
      <c r="G382" s="89">
        <f>Sheet1!$G$9+I373</f>
        <v>1.1595</v>
      </c>
      <c r="I382" s="5"/>
      <c r="J382" s="5"/>
      <c r="K382" s="115" t="s">
        <v>184</v>
      </c>
      <c r="L382" s="89">
        <f>Sheet1!$G$9+N373</f>
        <v>1.15</v>
      </c>
      <c r="N382" s="5"/>
      <c r="O382" s="5"/>
    </row>
    <row r="383">
      <c r="A383" s="115" t="s">
        <v>522</v>
      </c>
      <c r="B383" s="89">
        <f>B381*B382</f>
        <v>533.37</v>
      </c>
      <c r="D383" s="5"/>
      <c r="F383" s="115" t="s">
        <v>522</v>
      </c>
      <c r="G383" s="89">
        <f>G381*G382</f>
        <v>533.37</v>
      </c>
      <c r="H383" s="5" t="s">
        <v>603</v>
      </c>
      <c r="I383" s="5"/>
      <c r="K383" s="115" t="s">
        <v>522</v>
      </c>
      <c r="L383" s="89">
        <f>L381*L382</f>
        <v>529</v>
      </c>
      <c r="M383" s="5" t="s">
        <v>603</v>
      </c>
      <c r="N383" s="5"/>
    </row>
    <row r="384">
      <c r="A384" s="115" t="s">
        <v>298</v>
      </c>
      <c r="B384" s="89">
        <f>$T$2</f>
        <v>0.2005347594</v>
      </c>
      <c r="D384" s="5"/>
      <c r="F384" s="115" t="s">
        <v>298</v>
      </c>
      <c r="G384" s="89">
        <f>$T$2</f>
        <v>0.2005347594</v>
      </c>
      <c r="I384" s="5"/>
      <c r="K384" s="115" t="s">
        <v>298</v>
      </c>
      <c r="L384" s="89">
        <f>$T$2</f>
        <v>0.2005347594</v>
      </c>
      <c r="N384" s="5"/>
    </row>
    <row r="385">
      <c r="A385" s="115" t="s">
        <v>525</v>
      </c>
      <c r="B385" s="87">
        <f>B383/(1+B384)</f>
        <v>444.2770156</v>
      </c>
      <c r="D385" s="5"/>
      <c r="F385" s="115" t="s">
        <v>525</v>
      </c>
      <c r="G385" s="87">
        <f>G383/(1+G384)</f>
        <v>444.2770156</v>
      </c>
      <c r="I385" s="5"/>
      <c r="K385" s="115" t="s">
        <v>525</v>
      </c>
      <c r="L385" s="87">
        <f>L383/(1+L384)</f>
        <v>440.636971</v>
      </c>
      <c r="N385" s="5"/>
    </row>
    <row r="386">
      <c r="A386" s="115" t="s">
        <v>307</v>
      </c>
      <c r="B386" s="89">
        <v>201.0</v>
      </c>
      <c r="F386" s="115" t="s">
        <v>307</v>
      </c>
      <c r="G386" s="89">
        <v>201.0</v>
      </c>
      <c r="K386" s="115" t="s">
        <v>307</v>
      </c>
      <c r="L386" s="89">
        <v>201.0</v>
      </c>
    </row>
    <row r="387">
      <c r="A387" s="115" t="s">
        <v>387</v>
      </c>
      <c r="B387" s="87">
        <f>(B385+B386)*1.45</f>
        <v>935.6516726</v>
      </c>
      <c r="F387" s="115" t="s">
        <v>387</v>
      </c>
      <c r="G387" s="87">
        <f>(G385+G386)*1.45</f>
        <v>935.6516726</v>
      </c>
      <c r="K387" s="115" t="s">
        <v>387</v>
      </c>
      <c r="L387" s="87">
        <f>(L385+L386)*1.45</f>
        <v>930.373608</v>
      </c>
    </row>
    <row r="388">
      <c r="A388" s="115" t="s">
        <v>541</v>
      </c>
      <c r="B388" s="89">
        <f>B387/4</f>
        <v>233.9129182</v>
      </c>
      <c r="F388" s="115" t="s">
        <v>541</v>
      </c>
      <c r="G388" s="89">
        <f>G387/4</f>
        <v>233.9129182</v>
      </c>
      <c r="K388" s="115" t="s">
        <v>541</v>
      </c>
      <c r="L388" s="89">
        <f>L387/4</f>
        <v>232.593402</v>
      </c>
    </row>
    <row r="389">
      <c r="A389" s="116" t="s">
        <v>455</v>
      </c>
      <c r="B389" s="117">
        <f>B388/1.5</f>
        <v>155.9419454</v>
      </c>
      <c r="F389" s="116" t="s">
        <v>455</v>
      </c>
      <c r="G389" s="117">
        <f>G388/1.5</f>
        <v>155.9419454</v>
      </c>
      <c r="K389" s="116" t="s">
        <v>455</v>
      </c>
      <c r="L389" s="117">
        <f>L388/1.5</f>
        <v>155.062268</v>
      </c>
    </row>
    <row r="390">
      <c r="A390" s="118" t="s">
        <v>516</v>
      </c>
      <c r="B390" s="83">
        <f t="shared" ref="B390:C390" si="53">B365</f>
        <v>98</v>
      </c>
      <c r="C390" s="114">
        <f t="shared" si="53"/>
        <v>183</v>
      </c>
      <c r="F390" s="118" t="s">
        <v>516</v>
      </c>
      <c r="G390" s="83">
        <f t="shared" ref="G390:H390" si="54">G365</f>
        <v>98</v>
      </c>
      <c r="H390" s="114">
        <f t="shared" si="54"/>
        <v>183</v>
      </c>
      <c r="K390" s="118" t="s">
        <v>516</v>
      </c>
      <c r="L390" s="83">
        <f t="shared" ref="L390:M390" si="55">L365</f>
        <v>128</v>
      </c>
      <c r="M390" s="114">
        <f t="shared" si="55"/>
        <v>193</v>
      </c>
    </row>
    <row r="391">
      <c r="A391" s="122" t="s">
        <v>517</v>
      </c>
      <c r="B391">
        <f>(B390+C390)/2</f>
        <v>140.5</v>
      </c>
      <c r="C391" s="87"/>
      <c r="F391" s="122" t="s">
        <v>517</v>
      </c>
      <c r="G391">
        <f>(G390+H390)/2</f>
        <v>140.5</v>
      </c>
      <c r="H391" s="87"/>
      <c r="K391" s="122" t="s">
        <v>517</v>
      </c>
      <c r="L391">
        <f>(L390+M390)/2</f>
        <v>160.5</v>
      </c>
      <c r="M391" s="87"/>
    </row>
    <row r="392">
      <c r="A392" s="122" t="s">
        <v>39</v>
      </c>
      <c r="B392" s="5">
        <f>$B$360</f>
        <v>1218</v>
      </c>
      <c r="C392" s="87"/>
      <c r="F392" s="122" t="s">
        <v>39</v>
      </c>
      <c r="G392" s="5">
        <f>$B$360</f>
        <v>1218</v>
      </c>
      <c r="H392" s="87"/>
      <c r="K392" s="122" t="s">
        <v>39</v>
      </c>
      <c r="L392" s="5">
        <f>$B$360</f>
        <v>1218</v>
      </c>
      <c r="M392" s="87"/>
    </row>
    <row r="393">
      <c r="A393" s="122" t="s">
        <v>545</v>
      </c>
      <c r="B393" s="5">
        <f>C362</f>
        <v>1.4</v>
      </c>
      <c r="C393" s="87"/>
      <c r="F393" s="122" t="s">
        <v>545</v>
      </c>
      <c r="G393" s="5">
        <f>H362</f>
        <v>1.4</v>
      </c>
      <c r="H393" s="87"/>
      <c r="I393" s="5" t="s">
        <v>604</v>
      </c>
      <c r="K393" s="122" t="s">
        <v>545</v>
      </c>
      <c r="L393" s="5">
        <f>M362</f>
        <v>1.6</v>
      </c>
      <c r="M393" s="87"/>
      <c r="N393" s="5" t="s">
        <v>604</v>
      </c>
    </row>
    <row r="394">
      <c r="A394" s="122" t="s">
        <v>518</v>
      </c>
      <c r="B394">
        <f>B392/14*B393</f>
        <v>121.8</v>
      </c>
      <c r="C394" s="87"/>
      <c r="F394" s="122" t="s">
        <v>518</v>
      </c>
      <c r="G394">
        <f>G392/14*G393</f>
        <v>121.8</v>
      </c>
      <c r="H394" s="89" t="s">
        <v>601</v>
      </c>
      <c r="K394" s="122" t="s">
        <v>518</v>
      </c>
      <c r="L394">
        <f>L392/14*L393</f>
        <v>139.2</v>
      </c>
      <c r="M394" s="89" t="s">
        <v>601</v>
      </c>
    </row>
    <row r="395">
      <c r="A395" s="122" t="s">
        <v>546</v>
      </c>
      <c r="B395" s="5">
        <f>176+B391</f>
        <v>316.5</v>
      </c>
      <c r="C395" s="87"/>
      <c r="F395" s="122" t="s">
        <v>546</v>
      </c>
      <c r="G395" s="5">
        <f>176+G391</f>
        <v>316.5</v>
      </c>
      <c r="H395" s="87"/>
      <c r="K395" s="122" t="s">
        <v>546</v>
      </c>
      <c r="L395" s="5">
        <f>176+L391</f>
        <v>336.5</v>
      </c>
      <c r="M395" s="87"/>
    </row>
    <row r="396">
      <c r="A396" s="122" t="s">
        <v>522</v>
      </c>
      <c r="B396">
        <f>B394+B395</f>
        <v>438.3</v>
      </c>
      <c r="C396" s="87"/>
      <c r="F396" s="122" t="s">
        <v>522</v>
      </c>
      <c r="G396">
        <f>G394+G395</f>
        <v>438.3</v>
      </c>
      <c r="H396" s="87"/>
      <c r="K396" s="122" t="s">
        <v>522</v>
      </c>
      <c r="L396">
        <f>L394+L395</f>
        <v>475.7</v>
      </c>
      <c r="M396" s="87"/>
    </row>
    <row r="397">
      <c r="A397" s="122" t="s">
        <v>523</v>
      </c>
      <c r="B397" s="5">
        <f>Sheet1!$G$9+D373</f>
        <v>1.1595</v>
      </c>
      <c r="C397" s="87"/>
      <c r="F397" s="122" t="s">
        <v>523</v>
      </c>
      <c r="G397" s="5">
        <f>Sheet1!$G$9+I373</f>
        <v>1.1595</v>
      </c>
      <c r="H397" s="87"/>
      <c r="K397" s="122" t="s">
        <v>523</v>
      </c>
      <c r="L397" s="5">
        <f>Sheet1!$G$9+N373</f>
        <v>1.15</v>
      </c>
      <c r="M397" s="87"/>
    </row>
    <row r="398">
      <c r="A398" s="122" t="s">
        <v>522</v>
      </c>
      <c r="B398" s="85">
        <f>B396*B397</f>
        <v>508.20885</v>
      </c>
      <c r="C398" s="87"/>
      <c r="F398" s="122" t="s">
        <v>522</v>
      </c>
      <c r="G398" s="85">
        <f>G396*G397</f>
        <v>508.20885</v>
      </c>
      <c r="H398" s="87"/>
      <c r="K398" s="122" t="s">
        <v>522</v>
      </c>
      <c r="L398" s="85">
        <f>L396*L397</f>
        <v>547.055</v>
      </c>
      <c r="M398" s="87"/>
    </row>
    <row r="399">
      <c r="A399" s="122" t="s">
        <v>524</v>
      </c>
      <c r="B399">
        <f>$T$2</f>
        <v>0.2005347594</v>
      </c>
      <c r="C399" s="87"/>
      <c r="F399" s="122" t="s">
        <v>524</v>
      </c>
      <c r="G399">
        <f>$T$2</f>
        <v>0.2005347594</v>
      </c>
      <c r="H399" s="87"/>
      <c r="K399" s="122" t="s">
        <v>524</v>
      </c>
      <c r="L399">
        <f>$T$2</f>
        <v>0.2005347594</v>
      </c>
      <c r="M399" s="87"/>
    </row>
    <row r="400">
      <c r="A400" s="122" t="s">
        <v>525</v>
      </c>
      <c r="B400">
        <f>B398/(1+B399)</f>
        <v>423.3187303</v>
      </c>
      <c r="C400" s="87"/>
      <c r="F400" s="122" t="s">
        <v>525</v>
      </c>
      <c r="G400">
        <f>G398/(1+G399)</f>
        <v>423.3187303</v>
      </c>
      <c r="H400" s="87"/>
      <c r="K400" s="122" t="s">
        <v>525</v>
      </c>
      <c r="L400">
        <f>L398/(1+L399)</f>
        <v>455.6761024</v>
      </c>
      <c r="M400" s="87"/>
    </row>
    <row r="401">
      <c r="A401" s="122" t="s">
        <v>547</v>
      </c>
      <c r="B401">
        <f>$C$11</f>
        <v>196</v>
      </c>
      <c r="C401" s="87"/>
      <c r="F401" s="122" t="s">
        <v>547</v>
      </c>
      <c r="G401">
        <f>$C$11</f>
        <v>196</v>
      </c>
      <c r="H401" s="87"/>
      <c r="K401" s="122" t="s">
        <v>547</v>
      </c>
      <c r="L401">
        <f>$C$11</f>
        <v>196</v>
      </c>
      <c r="M401" s="87"/>
    </row>
    <row r="402">
      <c r="A402" s="122" t="s">
        <v>387</v>
      </c>
      <c r="B402">
        <f>(B401+B400)*1.45</f>
        <v>898.0121589</v>
      </c>
      <c r="C402" s="87"/>
      <c r="F402" s="122" t="s">
        <v>387</v>
      </c>
      <c r="G402">
        <f>(G401+G400)*1.45</f>
        <v>898.0121589</v>
      </c>
      <c r="H402" s="87"/>
      <c r="K402" s="122" t="s">
        <v>387</v>
      </c>
      <c r="L402">
        <f>(L401+L400)*1.45</f>
        <v>944.9303486</v>
      </c>
      <c r="M402" s="87"/>
    </row>
    <row r="403">
      <c r="A403" s="123" t="s">
        <v>548</v>
      </c>
      <c r="B403" s="92">
        <f>B402/B393</f>
        <v>641.4372564</v>
      </c>
      <c r="C403" s="93"/>
      <c r="F403" s="123" t="s">
        <v>548</v>
      </c>
      <c r="G403" s="92">
        <f>G402/G393</f>
        <v>641.4372564</v>
      </c>
      <c r="H403" s="93"/>
      <c r="K403" s="123" t="s">
        <v>548</v>
      </c>
      <c r="L403" s="92">
        <f>L402/L393</f>
        <v>590.5814678</v>
      </c>
      <c r="M403" s="93"/>
    </row>
    <row r="404">
      <c r="A404" s="124"/>
      <c r="B404" s="104"/>
      <c r="C404" s="83" t="s">
        <v>568</v>
      </c>
      <c r="D404" s="83" t="s">
        <v>569</v>
      </c>
      <c r="E404" s="114" t="s">
        <v>583</v>
      </c>
      <c r="F404" s="124"/>
      <c r="G404" s="104"/>
      <c r="H404" s="83" t="s">
        <v>568</v>
      </c>
      <c r="I404" s="83" t="s">
        <v>569</v>
      </c>
      <c r="J404" s="114" t="s">
        <v>583</v>
      </c>
      <c r="K404" s="124"/>
      <c r="L404" s="104"/>
      <c r="M404" s="83" t="s">
        <v>568</v>
      </c>
      <c r="N404" s="83" t="s">
        <v>569</v>
      </c>
      <c r="O404" s="114" t="s">
        <v>583</v>
      </c>
    </row>
    <row r="405">
      <c r="A405" s="86" t="s">
        <v>573</v>
      </c>
      <c r="B405" s="5">
        <v>430.0</v>
      </c>
      <c r="C405" s="5">
        <v>473.0</v>
      </c>
      <c r="D405" s="5">
        <v>473.0</v>
      </c>
      <c r="E405" s="89">
        <v>473.0</v>
      </c>
      <c r="F405" s="86" t="s">
        <v>573</v>
      </c>
      <c r="G405" s="5">
        <v>430.0</v>
      </c>
      <c r="H405" s="5">
        <v>473.0</v>
      </c>
      <c r="I405" s="5">
        <v>473.0</v>
      </c>
      <c r="J405" s="5">
        <v>430.0</v>
      </c>
      <c r="K405" s="86" t="s">
        <v>573</v>
      </c>
      <c r="L405" s="5">
        <v>430.0</v>
      </c>
      <c r="M405" s="5">
        <v>473.0</v>
      </c>
      <c r="N405" s="5">
        <v>473.0</v>
      </c>
      <c r="O405" s="5">
        <v>430.0</v>
      </c>
    </row>
    <row r="406">
      <c r="A406" s="86" t="s">
        <v>495</v>
      </c>
      <c r="B406" s="5">
        <v>441.0</v>
      </c>
      <c r="C406" s="5">
        <v>441.0</v>
      </c>
      <c r="D406" s="5">
        <v>441.0</v>
      </c>
      <c r="E406" s="89">
        <v>742.0</v>
      </c>
      <c r="F406" s="86" t="s">
        <v>495</v>
      </c>
      <c r="G406" s="5">
        <v>441.0</v>
      </c>
      <c r="H406" s="5">
        <v>441.0</v>
      </c>
      <c r="I406" s="5">
        <v>441.0</v>
      </c>
      <c r="J406" s="89">
        <f>G406+32</f>
        <v>473</v>
      </c>
      <c r="K406" s="86" t="s">
        <v>495</v>
      </c>
      <c r="L406" s="5">
        <v>441.0</v>
      </c>
      <c r="M406" s="5">
        <v>441.0</v>
      </c>
      <c r="N406" s="5">
        <v>441.0</v>
      </c>
      <c r="O406" s="89">
        <f>L406+32</f>
        <v>473</v>
      </c>
    </row>
    <row r="407">
      <c r="A407" s="88"/>
      <c r="B407">
        <f t="shared" ref="B407:C407" si="56">(B405+(B406*1.3))*1.1</f>
        <v>1103.63</v>
      </c>
      <c r="C407">
        <f t="shared" si="56"/>
        <v>1150.93</v>
      </c>
      <c r="D407">
        <f>(D405+(D406*1.3))*1.2</f>
        <v>1255.56</v>
      </c>
      <c r="E407" s="87">
        <f>(E405+(E406*1.3))*1.1</f>
        <v>1581.36</v>
      </c>
      <c r="F407" s="88"/>
      <c r="G407">
        <f t="shared" ref="G407:H407" si="57">(G405+(G406*1.3))*1.1</f>
        <v>1103.63</v>
      </c>
      <c r="H407">
        <f t="shared" si="57"/>
        <v>1150.93</v>
      </c>
      <c r="I407">
        <f>(I405+(I406*1.3))*1.2</f>
        <v>1255.56</v>
      </c>
      <c r="J407" s="87">
        <f>(J405+(J406*1.3))*1.1</f>
        <v>1149.39</v>
      </c>
      <c r="K407" s="88"/>
      <c r="L407">
        <f t="shared" ref="L407:M407" si="58">(L405+(L406*1.3))*1.1</f>
        <v>1103.63</v>
      </c>
      <c r="M407">
        <f t="shared" si="58"/>
        <v>1150.93</v>
      </c>
      <c r="N407">
        <f>(N405+(N406*1.3))*1.2</f>
        <v>1255.56</v>
      </c>
      <c r="O407" s="87">
        <f>(O405+(O406*1.3))*1.1</f>
        <v>1149.39</v>
      </c>
    </row>
    <row r="408">
      <c r="A408" s="86" t="s">
        <v>574</v>
      </c>
      <c r="B408">
        <f>Sheet1!G9+D373</f>
        <v>1.1595</v>
      </c>
      <c r="C408" s="101">
        <f>Sheet1!G9+D373</f>
        <v>1.1595</v>
      </c>
      <c r="D408" s="101">
        <f>Sheet1!G9+D373</f>
        <v>1.1595</v>
      </c>
      <c r="E408" s="125">
        <f>Sheet1!G9+D373</f>
        <v>1.1595</v>
      </c>
      <c r="F408" s="86" t="s">
        <v>574</v>
      </c>
      <c r="G408">
        <f>Sheet1!$G$9+I373</f>
        <v>1.1595</v>
      </c>
      <c r="H408" s="101">
        <f>Sheet1!$G$9+I373</f>
        <v>1.1595</v>
      </c>
      <c r="I408" s="101">
        <f>Sheet1!$G$9+I373</f>
        <v>1.1595</v>
      </c>
      <c r="J408" s="125">
        <f>Sheet1!$G$9+I373</f>
        <v>1.1595</v>
      </c>
      <c r="K408" s="86" t="s">
        <v>574</v>
      </c>
      <c r="L408">
        <f>Sheet1!$G$9+N373</f>
        <v>1.15</v>
      </c>
      <c r="M408" s="101">
        <f>Sheet1!$G$9+N373</f>
        <v>1.15</v>
      </c>
      <c r="N408" s="101">
        <f>Sheet1!$G$9+N373</f>
        <v>1.15</v>
      </c>
      <c r="O408" s="125">
        <f>Sheet1!$G$9+N373</f>
        <v>1.15</v>
      </c>
    </row>
    <row r="409">
      <c r="A409" s="86" t="s">
        <v>575</v>
      </c>
      <c r="B409">
        <f>(B407*B408)/(1+T121)</f>
        <v>1279.658985</v>
      </c>
      <c r="C409">
        <f>(C407*C408)/(1+T121)</f>
        <v>1334.503335</v>
      </c>
      <c r="D409">
        <f>(D407*D408)/(1+T121)</f>
        <v>1455.82182</v>
      </c>
      <c r="E409" s="87">
        <f>(E407*E408)/(1+T121)</f>
        <v>1833.58692</v>
      </c>
      <c r="F409" s="86" t="s">
        <v>575</v>
      </c>
      <c r="G409">
        <f>(G407*G408)/(1+Y121)</f>
        <v>1279.658985</v>
      </c>
      <c r="H409">
        <f>(H407*H408)/(1+Y121)</f>
        <v>1334.503335</v>
      </c>
      <c r="I409">
        <f>(I407*I408)/(1+Y121)</f>
        <v>1455.82182</v>
      </c>
      <c r="J409" s="87">
        <f>(J407*J408)/(1+Y121)</f>
        <v>1332.717705</v>
      </c>
      <c r="K409" s="86" t="s">
        <v>575</v>
      </c>
      <c r="L409">
        <f>(L407*L408)/(1+AD121)</f>
        <v>1269.1745</v>
      </c>
      <c r="M409">
        <f>(M407*M408)/(1+AD121)</f>
        <v>1323.5695</v>
      </c>
      <c r="N409">
        <f>(N407*N408)/(1+AD121)</f>
        <v>1443.894</v>
      </c>
      <c r="O409" s="87">
        <f>(O407*O408)/(1+AD121)</f>
        <v>1321.7985</v>
      </c>
    </row>
    <row r="410">
      <c r="A410" s="86" t="s">
        <v>387</v>
      </c>
      <c r="B410">
        <f>(B409+B413)*1.45</f>
        <v>1855.505528</v>
      </c>
      <c r="C410">
        <f>(C409+B413)*1.45</f>
        <v>1935.029836</v>
      </c>
      <c r="D410">
        <f>(D409+B413)*1.45</f>
        <v>2110.941639</v>
      </c>
      <c r="E410" s="87">
        <f>(E409+D413)*1.45</f>
        <v>2658.701034</v>
      </c>
      <c r="F410" s="86" t="s">
        <v>387</v>
      </c>
      <c r="G410">
        <f>(G409+G413)*1.45</f>
        <v>1855.505528</v>
      </c>
      <c r="H410">
        <f>(H409+G413)*1.45</f>
        <v>1935.029836</v>
      </c>
      <c r="I410">
        <f>(I409+G413)*1.45</f>
        <v>2110.941639</v>
      </c>
      <c r="J410" s="87">
        <f>(J409+I413)*1.45</f>
        <v>1932.440672</v>
      </c>
      <c r="K410" s="86" t="s">
        <v>387</v>
      </c>
      <c r="L410">
        <f>(L409+L413)*1.45</f>
        <v>1840.303025</v>
      </c>
      <c r="M410">
        <f>(M409+L413)*1.45</f>
        <v>1919.175775</v>
      </c>
      <c r="N410">
        <f>(N409+L413)*1.45</f>
        <v>2093.6463</v>
      </c>
      <c r="O410" s="87">
        <f>(O409+N413)*1.45</f>
        <v>1916.607825</v>
      </c>
    </row>
    <row r="411">
      <c r="A411" s="86" t="s">
        <v>455</v>
      </c>
      <c r="B411">
        <f t="shared" ref="B411:E411" si="59">B410/6</f>
        <v>309.2509214</v>
      </c>
      <c r="C411">
        <f t="shared" si="59"/>
        <v>322.5049726</v>
      </c>
      <c r="D411">
        <f t="shared" si="59"/>
        <v>351.8236065</v>
      </c>
      <c r="E411" s="87">
        <f t="shared" si="59"/>
        <v>443.116839</v>
      </c>
      <c r="F411" s="86" t="s">
        <v>455</v>
      </c>
      <c r="G411">
        <f t="shared" ref="G411:J411" si="60">G410/6</f>
        <v>309.2509214</v>
      </c>
      <c r="H411">
        <f t="shared" si="60"/>
        <v>322.5049726</v>
      </c>
      <c r="I411">
        <f t="shared" si="60"/>
        <v>351.8236065</v>
      </c>
      <c r="J411" s="87">
        <f t="shared" si="60"/>
        <v>322.0734454</v>
      </c>
      <c r="K411" s="86" t="s">
        <v>455</v>
      </c>
      <c r="L411">
        <f t="shared" ref="L411:O411" si="61">L410/6</f>
        <v>306.7171708</v>
      </c>
      <c r="M411">
        <f t="shared" si="61"/>
        <v>319.8626292</v>
      </c>
      <c r="N411">
        <f t="shared" si="61"/>
        <v>348.94105</v>
      </c>
      <c r="O411" s="87">
        <f t="shared" si="61"/>
        <v>319.4346375</v>
      </c>
    </row>
    <row r="412">
      <c r="A412" s="112" t="s">
        <v>576</v>
      </c>
      <c r="B412" s="92">
        <f t="shared" ref="B412:E412" si="62">B410/4</f>
        <v>463.8763821</v>
      </c>
      <c r="C412" s="92">
        <f t="shared" si="62"/>
        <v>483.7574589</v>
      </c>
      <c r="D412" s="92">
        <f t="shared" si="62"/>
        <v>527.7354098</v>
      </c>
      <c r="E412" s="93">
        <f t="shared" si="62"/>
        <v>664.6752585</v>
      </c>
      <c r="F412" s="112" t="s">
        <v>576</v>
      </c>
      <c r="G412" s="92">
        <f t="shared" ref="G412:J412" si="63">G410/4</f>
        <v>463.8763821</v>
      </c>
      <c r="H412" s="92">
        <f t="shared" si="63"/>
        <v>483.7574589</v>
      </c>
      <c r="I412" s="92">
        <f t="shared" si="63"/>
        <v>527.7354098</v>
      </c>
      <c r="J412" s="93">
        <f t="shared" si="63"/>
        <v>483.1101681</v>
      </c>
      <c r="K412" s="112" t="s">
        <v>576</v>
      </c>
      <c r="L412" s="92">
        <f t="shared" ref="L412:O412" si="64">L410/4</f>
        <v>460.0757563</v>
      </c>
      <c r="M412" s="92">
        <f t="shared" si="64"/>
        <v>479.7939438</v>
      </c>
      <c r="N412" s="92">
        <f t="shared" si="64"/>
        <v>523.411575</v>
      </c>
      <c r="O412" s="93">
        <f t="shared" si="64"/>
        <v>479.1519563</v>
      </c>
    </row>
    <row r="415">
      <c r="A415" s="133" t="str">
        <f>A362</f>
        <v> [Blade of Savagery]</v>
      </c>
      <c r="B415" s="80"/>
      <c r="C415" s="80"/>
      <c r="F415" s="133" t="str">
        <f>F362</f>
        <v> [Blade of Savagery]</v>
      </c>
      <c r="G415" s="80"/>
      <c r="H415" s="80"/>
      <c r="K415" s="133" t="str">
        <f>K362</f>
        <v> [The Brutalizer]</v>
      </c>
      <c r="L415" s="80"/>
      <c r="M415" s="80"/>
    </row>
    <row r="416">
      <c r="A416" s="80" t="s">
        <v>549</v>
      </c>
      <c r="B416" s="81">
        <f>B380</f>
        <v>62.55527443</v>
      </c>
      <c r="C416" s="81">
        <f>B416*3</f>
        <v>187.6658233</v>
      </c>
      <c r="F416" s="80" t="s">
        <v>549</v>
      </c>
      <c r="G416" s="81">
        <f>G380</f>
        <v>62.55527443</v>
      </c>
      <c r="H416" s="81">
        <f>G416*3</f>
        <v>187.6658233</v>
      </c>
      <c r="K416" s="80" t="s">
        <v>549</v>
      </c>
      <c r="L416" s="81">
        <f>L380</f>
        <v>63.3784195</v>
      </c>
      <c r="M416" s="81">
        <f>L416*3</f>
        <v>190.1352585</v>
      </c>
    </row>
    <row r="417">
      <c r="A417" s="80" t="s">
        <v>550</v>
      </c>
      <c r="B417" s="134">
        <f>B389</f>
        <v>155.9419454</v>
      </c>
      <c r="C417" s="81">
        <f>B417*1.5</f>
        <v>233.9129182</v>
      </c>
      <c r="F417" s="80" t="s">
        <v>550</v>
      </c>
      <c r="G417" s="134">
        <f>G389</f>
        <v>155.9419454</v>
      </c>
      <c r="H417" s="81">
        <f>G417*1.5</f>
        <v>233.9129182</v>
      </c>
      <c r="K417" s="80" t="s">
        <v>550</v>
      </c>
      <c r="L417" s="134">
        <f>L389</f>
        <v>155.062268</v>
      </c>
      <c r="M417" s="81">
        <f>L417*1.5</f>
        <v>232.593402</v>
      </c>
    </row>
    <row r="418">
      <c r="A418" s="80" t="s">
        <v>471</v>
      </c>
      <c r="B418" s="81">
        <f>B403</f>
        <v>641.4372564</v>
      </c>
      <c r="C418" s="81">
        <f>B418</f>
        <v>641.4372564</v>
      </c>
      <c r="F418" s="80" t="s">
        <v>471</v>
      </c>
      <c r="G418" s="81">
        <f>G403</f>
        <v>641.4372564</v>
      </c>
      <c r="H418" s="81">
        <f>G418</f>
        <v>641.4372564</v>
      </c>
      <c r="K418" s="80" t="s">
        <v>471</v>
      </c>
      <c r="L418" s="81">
        <f>L403</f>
        <v>590.5814678</v>
      </c>
      <c r="M418" s="81">
        <f>L418</f>
        <v>590.5814678</v>
      </c>
    </row>
    <row r="419">
      <c r="A419" s="80" t="s">
        <v>551</v>
      </c>
      <c r="B419" s="135">
        <f>(1+B397/100)*$C$411</f>
        <v>326.2444178</v>
      </c>
      <c r="C419" s="80"/>
      <c r="F419" s="80" t="s">
        <v>551</v>
      </c>
      <c r="G419" s="135">
        <f>(1+G397/100)*H411</f>
        <v>326.2444178</v>
      </c>
      <c r="H419" s="80"/>
      <c r="K419" s="80" t="s">
        <v>551</v>
      </c>
      <c r="L419" s="135">
        <f>(1+L397/100)*M411</f>
        <v>323.5410494</v>
      </c>
      <c r="M419" s="80"/>
    </row>
    <row r="420">
      <c r="A420" s="136" t="s">
        <v>455</v>
      </c>
      <c r="B420" s="137">
        <f>SUM(B416:B419)</f>
        <v>1186.178894</v>
      </c>
      <c r="C420" s="80"/>
      <c r="F420" s="136" t="s">
        <v>455</v>
      </c>
      <c r="G420" s="137">
        <f>SUM(G416:G419)</f>
        <v>1186.178894</v>
      </c>
      <c r="H420" s="80"/>
      <c r="K420" s="136" t="s">
        <v>455</v>
      </c>
      <c r="L420" s="137">
        <f>SUM(L416:L419)</f>
        <v>1132.563205</v>
      </c>
      <c r="M420" s="80"/>
    </row>
    <row r="421">
      <c r="B421">
        <v>1186.1788940132983</v>
      </c>
      <c r="G421">
        <f>G420</f>
        <v>1186.178894</v>
      </c>
      <c r="L421">
        <f>L420</f>
        <v>1132.563205</v>
      </c>
    </row>
    <row r="422">
      <c r="D422">
        <f>G421-B421</f>
        <v>0</v>
      </c>
      <c r="E422">
        <f>G421/B421</f>
        <v>1</v>
      </c>
    </row>
    <row r="425">
      <c r="A425" s="138" t="s">
        <v>605</v>
      </c>
    </row>
    <row r="426">
      <c r="A426" s="5" t="s">
        <v>606</v>
      </c>
      <c r="B426" s="105" t="s">
        <v>459</v>
      </c>
    </row>
    <row r="427">
      <c r="A427" s="5" t="s">
        <v>273</v>
      </c>
      <c r="B427" s="5">
        <v>1.4</v>
      </c>
    </row>
    <row r="428">
      <c r="A428" s="5" t="s">
        <v>516</v>
      </c>
      <c r="B428" s="9">
        <v>98.0</v>
      </c>
      <c r="C428" s="106">
        <v>183.0</v>
      </c>
    </row>
    <row r="429">
      <c r="A429" s="5" t="s">
        <v>28</v>
      </c>
    </row>
    <row r="430">
      <c r="A430" s="5" t="s">
        <v>250</v>
      </c>
    </row>
    <row r="431">
      <c r="A431" s="5" t="s">
        <v>263</v>
      </c>
    </row>
    <row r="432">
      <c r="A432" s="5" t="s">
        <v>597</v>
      </c>
    </row>
  </sheetData>
  <hyperlinks>
    <hyperlink r:id="rId1" ref="B30"/>
    <hyperlink r:id="rId2" ref="B31"/>
    <hyperlink r:id="rId3" ref="B32"/>
    <hyperlink r:id="rId4" ref="B33"/>
    <hyperlink r:id="rId5" ref="B34"/>
    <hyperlink r:id="rId6" ref="B35"/>
    <hyperlink r:id="rId7" ref="B36"/>
    <hyperlink r:id="rId8" ref="B37"/>
    <hyperlink r:id="rId9" ref="B110"/>
    <hyperlink r:id="rId10" ref="B111"/>
    <hyperlink r:id="rId11" ref="B112"/>
    <hyperlink r:id="rId12" location="post80250" ref="B113"/>
    <hyperlink r:id="rId13" ref="B114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5" t="s">
        <v>607</v>
      </c>
    </row>
    <row r="3">
      <c r="A3" s="17" t="s">
        <v>608</v>
      </c>
    </row>
    <row r="4">
      <c r="A4" s="5" t="s">
        <v>609</v>
      </c>
    </row>
    <row r="6">
      <c r="A6" s="5" t="s">
        <v>610</v>
      </c>
    </row>
    <row r="7">
      <c r="A7" s="17" t="s">
        <v>611</v>
      </c>
    </row>
    <row r="8">
      <c r="A8" s="5" t="s">
        <v>612</v>
      </c>
    </row>
    <row r="11">
      <c r="A11" s="139" t="s">
        <v>613</v>
      </c>
    </row>
    <row r="12">
      <c r="A12" s="139" t="s">
        <v>614</v>
      </c>
    </row>
    <row r="13">
      <c r="A13" s="139" t="s">
        <v>615</v>
      </c>
    </row>
    <row r="15">
      <c r="A15" s="102" t="s">
        <v>616</v>
      </c>
    </row>
    <row r="16">
      <c r="A16" s="102" t="s">
        <v>617</v>
      </c>
    </row>
    <row r="17">
      <c r="A17" s="102" t="s">
        <v>618</v>
      </c>
    </row>
    <row r="19">
      <c r="A19" s="102" t="s">
        <v>552</v>
      </c>
    </row>
    <row r="21">
      <c r="A21" s="102" t="s">
        <v>553</v>
      </c>
    </row>
    <row r="22">
      <c r="A22" s="102" t="s">
        <v>554</v>
      </c>
    </row>
    <row r="23">
      <c r="A23" s="102" t="s">
        <v>555</v>
      </c>
    </row>
    <row r="24">
      <c r="A24" s="102" t="s">
        <v>556</v>
      </c>
    </row>
    <row r="26">
      <c r="A26" s="102" t="s">
        <v>557</v>
      </c>
    </row>
    <row r="27">
      <c r="A27" s="102" t="s">
        <v>558</v>
      </c>
    </row>
    <row r="28">
      <c r="A28" s="102" t="s">
        <v>560</v>
      </c>
    </row>
    <row r="29">
      <c r="A29" s="102" t="s">
        <v>561</v>
      </c>
    </row>
    <row r="31">
      <c r="A31" s="102" t="s">
        <v>562</v>
      </c>
    </row>
    <row r="33">
      <c r="A33" s="102" t="s">
        <v>563</v>
      </c>
    </row>
    <row r="34">
      <c r="A34" s="102" t="s">
        <v>564</v>
      </c>
    </row>
    <row r="35">
      <c r="A35" s="102" t="s">
        <v>566</v>
      </c>
    </row>
    <row r="36">
      <c r="K36" s="5" t="s">
        <v>148</v>
      </c>
    </row>
    <row r="37">
      <c r="A37" s="5" t="s">
        <v>619</v>
      </c>
      <c r="B37" s="127">
        <v>430.0</v>
      </c>
      <c r="D37" s="5" t="s">
        <v>620</v>
      </c>
      <c r="E37" s="127">
        <f>(B37/10)+B37</f>
        <v>473</v>
      </c>
      <c r="H37" s="5" t="s">
        <v>619</v>
      </c>
      <c r="I37" s="127">
        <v>430.0</v>
      </c>
      <c r="K37">
        <f>(I37+(I38*1.3))*1.1</f>
        <v>1545.5</v>
      </c>
    </row>
    <row r="38">
      <c r="A38" s="5" t="s">
        <v>259</v>
      </c>
      <c r="B38" s="9">
        <v>750.0</v>
      </c>
      <c r="D38" s="5" t="s">
        <v>621</v>
      </c>
      <c r="E38" s="9">
        <f>B38+(B38*0.1)</f>
        <v>825</v>
      </c>
      <c r="F38" s="5" t="s">
        <v>144</v>
      </c>
      <c r="H38" s="5" t="s">
        <v>259</v>
      </c>
      <c r="I38" s="9">
        <v>750.0</v>
      </c>
    </row>
    <row r="39">
      <c r="A39" s="5" t="s">
        <v>622</v>
      </c>
      <c r="B39" s="5">
        <v>1448.0</v>
      </c>
      <c r="D39" s="5" t="s">
        <v>622</v>
      </c>
      <c r="E39" s="103">
        <v>1652.75</v>
      </c>
      <c r="H39" s="5" t="s">
        <v>622</v>
      </c>
      <c r="I39" s="5">
        <v>1448.0</v>
      </c>
    </row>
    <row r="40">
      <c r="H40" s="5" t="s">
        <v>623</v>
      </c>
      <c r="I40">
        <f>(I37+(I38*1.3))*1.1</f>
        <v>1545.5</v>
      </c>
    </row>
    <row r="41">
      <c r="A41" s="5" t="s">
        <v>184</v>
      </c>
      <c r="B41">
        <f>B39*1.1*2</f>
        <v>3185.6</v>
      </c>
      <c r="D41" s="5" t="s">
        <v>184</v>
      </c>
      <c r="E41">
        <f>E39*1.1*2</f>
        <v>3636.05</v>
      </c>
    </row>
    <row r="42">
      <c r="A42" s="5" t="s">
        <v>624</v>
      </c>
      <c r="B42">
        <f>B39*1.1*2.2</f>
        <v>3504.16</v>
      </c>
      <c r="D42" s="5" t="s">
        <v>624</v>
      </c>
      <c r="E42">
        <f>E39*1.1*2.2</f>
        <v>3999.655</v>
      </c>
      <c r="H42" s="5" t="s">
        <v>619</v>
      </c>
      <c r="I42" s="127">
        <v>430.0</v>
      </c>
      <c r="J42" s="5" t="s">
        <v>619</v>
      </c>
      <c r="K42" s="127">
        <v>430.0</v>
      </c>
      <c r="N42" s="5">
        <v>977.0</v>
      </c>
    </row>
    <row r="43">
      <c r="A43" s="5" t="s">
        <v>625</v>
      </c>
      <c r="B43">
        <f>B42*1.2</f>
        <v>4204.992</v>
      </c>
      <c r="D43" s="5" t="s">
        <v>625</v>
      </c>
      <c r="E43">
        <f>E42*1.2</f>
        <v>4799.586</v>
      </c>
      <c r="H43" s="5" t="s">
        <v>259</v>
      </c>
      <c r="I43" s="9">
        <v>750.0</v>
      </c>
      <c r="J43" s="5" t="s">
        <v>259</v>
      </c>
      <c r="K43" s="9">
        <v>722.0</v>
      </c>
      <c r="N43" s="5">
        <v>1028.0</v>
      </c>
    </row>
    <row r="44">
      <c r="H44" s="5" t="s">
        <v>622</v>
      </c>
      <c r="I44" s="5">
        <v>1448.0</v>
      </c>
      <c r="J44" s="5" t="s">
        <v>622</v>
      </c>
      <c r="K44" s="5">
        <v>1448.0</v>
      </c>
      <c r="N44">
        <f>N43/N42</f>
        <v>1.052200614</v>
      </c>
    </row>
    <row r="45">
      <c r="A45" s="5" t="s">
        <v>626</v>
      </c>
      <c r="H45" s="5" t="s">
        <v>623</v>
      </c>
      <c r="I45">
        <f>(I42+(I43*1.3))*1.1</f>
        <v>1545.5</v>
      </c>
      <c r="J45" s="5" t="s">
        <v>623</v>
      </c>
      <c r="K45">
        <f>(K42+(K43*1.3))*1.1</f>
        <v>1505.46</v>
      </c>
    </row>
    <row r="46">
      <c r="H46" s="5" t="s">
        <v>627</v>
      </c>
      <c r="I46">
        <f>I45/1.25</f>
        <v>1236.4</v>
      </c>
      <c r="J46" s="5" t="s">
        <v>627</v>
      </c>
      <c r="K46">
        <f>K45/1.245</f>
        <v>1209.204819</v>
      </c>
    </row>
    <row r="47">
      <c r="B47">
        <v>3185.6000000000004</v>
      </c>
      <c r="H47" s="5" t="s">
        <v>387</v>
      </c>
      <c r="I47">
        <f>I46*1.35</f>
        <v>1669.14</v>
      </c>
      <c r="J47" s="5" t="s">
        <v>387</v>
      </c>
      <c r="K47">
        <f>K46*1.35</f>
        <v>1632.426506</v>
      </c>
    </row>
    <row r="48">
      <c r="H48" s="5" t="s">
        <v>628</v>
      </c>
      <c r="I48" s="5">
        <v>307.0</v>
      </c>
      <c r="J48" s="5" t="s">
        <v>628</v>
      </c>
      <c r="K48" s="5">
        <v>307.0</v>
      </c>
    </row>
    <row r="49">
      <c r="H49" s="5" t="s">
        <v>387</v>
      </c>
      <c r="I49">
        <f>I48+I47</f>
        <v>1976.14</v>
      </c>
      <c r="J49" s="5" t="s">
        <v>387</v>
      </c>
      <c r="K49">
        <f>K48+K47</f>
        <v>1939.426506</v>
      </c>
      <c r="L49" s="5"/>
    </row>
    <row r="51">
      <c r="H51" s="5">
        <v>750.0</v>
      </c>
      <c r="I51">
        <f>I49</f>
        <v>1976.14</v>
      </c>
      <c r="J51" s="5"/>
    </row>
    <row r="52">
      <c r="H52" s="5">
        <v>722.0</v>
      </c>
      <c r="I52">
        <f>K49</f>
        <v>1939.426506</v>
      </c>
      <c r="J52" s="5"/>
    </row>
    <row r="53">
      <c r="H53" s="5" t="s">
        <v>629</v>
      </c>
      <c r="I53">
        <f>I51-I52</f>
        <v>36.71349398</v>
      </c>
      <c r="J53" s="5"/>
    </row>
    <row r="54">
      <c r="A54" s="5" t="s">
        <v>630</v>
      </c>
      <c r="H54" s="5" t="s">
        <v>455</v>
      </c>
      <c r="I54">
        <f>I53/6</f>
        <v>6.118915663</v>
      </c>
      <c r="J54" s="5"/>
    </row>
    <row r="55">
      <c r="B55" s="5" t="s">
        <v>495</v>
      </c>
      <c r="D55" s="5" t="s">
        <v>631</v>
      </c>
    </row>
    <row r="56">
      <c r="A56" s="4" t="s">
        <v>619</v>
      </c>
      <c r="B56" s="140">
        <v>430.0</v>
      </c>
      <c r="C56" s="4" t="s">
        <v>619</v>
      </c>
      <c r="D56" s="140">
        <v>430.0</v>
      </c>
      <c r="F56" s="141" t="s">
        <v>495</v>
      </c>
      <c r="G56" s="2" t="s">
        <v>1</v>
      </c>
      <c r="H56" s="3" t="s">
        <v>2</v>
      </c>
      <c r="I56" s="4" t="s">
        <v>3</v>
      </c>
    </row>
    <row r="57">
      <c r="A57" s="4" t="s">
        <v>259</v>
      </c>
      <c r="B57" s="97">
        <v>750.0</v>
      </c>
      <c r="C57" s="4" t="s">
        <v>259</v>
      </c>
      <c r="D57" s="97">
        <v>750.0</v>
      </c>
      <c r="F57" s="6" t="s">
        <v>1</v>
      </c>
      <c r="G57" s="7">
        <v>3535.0</v>
      </c>
      <c r="H57" s="8">
        <f>G57/(G57+G60)</f>
        <v>0.2281381091</v>
      </c>
      <c r="I57" s="4">
        <f>(G57)/(G57+G61)</f>
        <v>0.2508426468</v>
      </c>
    </row>
    <row r="58">
      <c r="A58" s="4" t="s">
        <v>622</v>
      </c>
      <c r="B58" s="4">
        <v>1448.0</v>
      </c>
      <c r="C58" s="4" t="s">
        <v>622</v>
      </c>
      <c r="D58" s="4">
        <v>1448.0</v>
      </c>
      <c r="F58" s="6" t="s">
        <v>8</v>
      </c>
      <c r="G58" s="7">
        <v>19749.4</v>
      </c>
      <c r="H58" s="11"/>
      <c r="I58" s="5">
        <v>96.0</v>
      </c>
    </row>
    <row r="59">
      <c r="A59" s="4" t="s">
        <v>623</v>
      </c>
      <c r="B59" s="142">
        <f>(B56+(B57*1.3))*1.1</f>
        <v>1545.5</v>
      </c>
      <c r="C59" s="4" t="s">
        <v>623</v>
      </c>
      <c r="D59" s="142">
        <f>(D56+(D57*1.3))*1.1</f>
        <v>1545.5</v>
      </c>
      <c r="F59" s="12" t="s">
        <v>11</v>
      </c>
      <c r="G59" s="13">
        <f>(G58)/(1-(H57))</f>
        <v>25586.70176</v>
      </c>
      <c r="H59" s="14">
        <v>0.6136950904392765</v>
      </c>
      <c r="I59" s="5">
        <v>82.0</v>
      </c>
    </row>
    <row r="60">
      <c r="A60" s="4" t="s">
        <v>627</v>
      </c>
      <c r="B60" s="142">
        <f>B59/(1+I57)</f>
        <v>1235.567083</v>
      </c>
      <c r="C60" s="4" t="s">
        <v>627</v>
      </c>
      <c r="D60" s="142">
        <f>D59/(1+I66)</f>
        <v>1235.567083</v>
      </c>
      <c r="F60" s="4" t="s">
        <v>16</v>
      </c>
      <c r="G60" s="4">
        <v>11960.0</v>
      </c>
      <c r="H60">
        <f>H57-H59</f>
        <v>-0.3855569814</v>
      </c>
      <c r="I60">
        <f>I58-I59</f>
        <v>14</v>
      </c>
    </row>
    <row r="61">
      <c r="A61" s="4" t="s">
        <v>387</v>
      </c>
      <c r="B61" s="142">
        <f>B60*1.35</f>
        <v>1668.015562</v>
      </c>
      <c r="C61" s="4" t="s">
        <v>387</v>
      </c>
      <c r="D61" s="142">
        <f>D60*1.35</f>
        <v>1668.015562</v>
      </c>
      <c r="F61" s="4" t="s">
        <v>21</v>
      </c>
      <c r="G61" s="4">
        <v>10557.5</v>
      </c>
    </row>
    <row r="62">
      <c r="A62" s="4" t="s">
        <v>628</v>
      </c>
      <c r="B62" s="4">
        <v>307.0</v>
      </c>
      <c r="C62" s="4" t="s">
        <v>628</v>
      </c>
      <c r="D62" s="4">
        <v>307.0</v>
      </c>
      <c r="F62" s="4" t="s">
        <v>23</v>
      </c>
      <c r="G62" s="4">
        <v>5957.0</v>
      </c>
      <c r="I62">
        <v>78204.98193979934</v>
      </c>
    </row>
    <row r="63">
      <c r="A63" s="4" t="s">
        <v>387</v>
      </c>
      <c r="B63" s="142">
        <f>B62+B61</f>
        <v>1975.015562</v>
      </c>
      <c r="C63" s="4" t="s">
        <v>387</v>
      </c>
      <c r="D63" s="142">
        <f>D62+D61</f>
        <v>1975.015562</v>
      </c>
    </row>
    <row r="65">
      <c r="A65" s="5">
        <v>750.0</v>
      </c>
      <c r="B65">
        <f>B63</f>
        <v>1975.015562</v>
      </c>
      <c r="C65" s="5"/>
      <c r="F65" s="141" t="s">
        <v>631</v>
      </c>
      <c r="G65" s="2" t="s">
        <v>1</v>
      </c>
      <c r="H65" s="3" t="s">
        <v>2</v>
      </c>
      <c r="I65" s="4" t="s">
        <v>3</v>
      </c>
    </row>
    <row r="66">
      <c r="A66" s="5">
        <v>722.0</v>
      </c>
      <c r="B66">
        <f>D63</f>
        <v>1975.015562</v>
      </c>
      <c r="C66" s="5"/>
      <c r="D66">
        <f>D59/1.245</f>
        <v>1241.365462</v>
      </c>
      <c r="F66" s="6" t="s">
        <v>1</v>
      </c>
      <c r="G66" s="7">
        <v>3535.0</v>
      </c>
      <c r="H66" s="8">
        <f>G66/(G66+G69)</f>
        <v>0.2281381091</v>
      </c>
      <c r="I66" s="4">
        <f>(G66)/(G66+G70)</f>
        <v>0.2508426468</v>
      </c>
    </row>
    <row r="67">
      <c r="A67" s="5" t="s">
        <v>629</v>
      </c>
      <c r="B67">
        <f>B65-B66</f>
        <v>0</v>
      </c>
      <c r="C67" s="5"/>
      <c r="D67">
        <f>D59/(1+I57)</f>
        <v>1235.567083</v>
      </c>
      <c r="F67" s="6" t="s">
        <v>8</v>
      </c>
      <c r="G67" s="7">
        <v>19749.4</v>
      </c>
      <c r="H67" s="11"/>
      <c r="I67" s="5">
        <v>96.0</v>
      </c>
    </row>
    <row r="68">
      <c r="A68" s="5" t="s">
        <v>455</v>
      </c>
      <c r="B68">
        <f>B67/6</f>
        <v>0</v>
      </c>
      <c r="C68" s="5"/>
      <c r="F68" s="12" t="s">
        <v>11</v>
      </c>
      <c r="G68" s="13">
        <f>(G67)/(1-(H66))</f>
        <v>25586.70176</v>
      </c>
      <c r="H68" s="14">
        <v>0.6136950904392765</v>
      </c>
      <c r="I68" s="5">
        <v>82.0</v>
      </c>
    </row>
    <row r="69">
      <c r="F69" s="4" t="s">
        <v>16</v>
      </c>
      <c r="G69" s="4">
        <v>11960.0</v>
      </c>
      <c r="H69">
        <f>H66-H68</f>
        <v>-0.3855569814</v>
      </c>
      <c r="I69">
        <f>I67-I68</f>
        <v>14</v>
      </c>
    </row>
    <row r="70">
      <c r="F70" s="4" t="s">
        <v>21</v>
      </c>
      <c r="G70" s="4">
        <v>10557.5</v>
      </c>
    </row>
    <row r="71">
      <c r="C71" s="5">
        <v>3535.0</v>
      </c>
      <c r="F71" s="4" t="s">
        <v>23</v>
      </c>
      <c r="G71" s="4">
        <v>5957.0</v>
      </c>
      <c r="I71">
        <v>78204.98193979934</v>
      </c>
    </row>
    <row r="72">
      <c r="C72" s="5">
        <v>3423.0</v>
      </c>
    </row>
    <row r="73">
      <c r="C73">
        <f>C71-C72</f>
        <v>112</v>
      </c>
    </row>
  </sheetData>
  <hyperlinks>
    <hyperlink r:id="rId1" ref="A3"/>
    <hyperlink r:id="rId2" ref="A7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43" t="s">
        <v>632</v>
      </c>
    </row>
    <row r="3">
      <c r="A3" s="144" t="s">
        <v>633</v>
      </c>
    </row>
    <row r="15">
      <c r="A15" s="143"/>
    </row>
    <row r="16">
      <c r="A16" s="143" t="s">
        <v>634</v>
      </c>
    </row>
    <row r="17">
      <c r="A17" s="144" t="s">
        <v>635</v>
      </c>
    </row>
    <row r="23">
      <c r="A23" s="143" t="s">
        <v>636</v>
      </c>
    </row>
    <row r="24">
      <c r="A24" s="145" t="s">
        <v>637</v>
      </c>
    </row>
    <row r="25">
      <c r="A25" s="146" t="s">
        <v>638</v>
      </c>
    </row>
    <row r="26">
      <c r="A26" s="145" t="s">
        <v>639</v>
      </c>
    </row>
    <row r="27">
      <c r="A27" s="145" t="s">
        <v>640</v>
      </c>
    </row>
    <row r="28">
      <c r="A28" s="145" t="s">
        <v>641</v>
      </c>
    </row>
    <row r="29">
      <c r="A29" s="145" t="s">
        <v>642</v>
      </c>
    </row>
    <row r="30">
      <c r="A30" s="146" t="s">
        <v>643</v>
      </c>
    </row>
    <row r="31">
      <c r="A31" s="145" t="s">
        <v>644</v>
      </c>
    </row>
    <row r="32">
      <c r="A32" s="145" t="s">
        <v>640</v>
      </c>
    </row>
    <row r="33">
      <c r="A33" s="146" t="s">
        <v>645</v>
      </c>
    </row>
    <row r="34">
      <c r="A34" s="145" t="s">
        <v>646</v>
      </c>
    </row>
    <row r="35">
      <c r="A35" s="145" t="s">
        <v>640</v>
      </c>
    </row>
    <row r="38">
      <c r="A38" s="143" t="s">
        <v>647</v>
      </c>
    </row>
    <row r="39">
      <c r="A39" s="147" t="s">
        <v>648</v>
      </c>
    </row>
    <row r="40">
      <c r="A40" s="143" t="s">
        <v>649</v>
      </c>
    </row>
    <row r="41">
      <c r="A41" s="147" t="s">
        <v>650</v>
      </c>
    </row>
    <row r="42">
      <c r="A42" s="143" t="s">
        <v>259</v>
      </c>
    </row>
    <row r="43">
      <c r="A43" s="147" t="s">
        <v>651</v>
      </c>
    </row>
    <row r="44">
      <c r="A44" s="143" t="s">
        <v>652</v>
      </c>
    </row>
    <row r="45">
      <c r="A45" s="147" t="s">
        <v>653</v>
      </c>
    </row>
    <row r="46">
      <c r="A46" s="143" t="s">
        <v>654</v>
      </c>
    </row>
    <row r="47">
      <c r="A47" s="147" t="s">
        <v>655</v>
      </c>
    </row>
    <row r="48">
      <c r="A48" s="143" t="s">
        <v>656</v>
      </c>
    </row>
    <row r="49">
      <c r="A49" s="147" t="s">
        <v>657</v>
      </c>
    </row>
    <row r="50">
      <c r="A50" s="143" t="s">
        <v>658</v>
      </c>
    </row>
    <row r="51">
      <c r="A51" s="147" t="s">
        <v>659</v>
      </c>
    </row>
    <row r="52">
      <c r="A52" s="143" t="s">
        <v>660</v>
      </c>
    </row>
    <row r="53">
      <c r="A53" s="147" t="s">
        <v>661</v>
      </c>
    </row>
    <row r="54">
      <c r="A54" s="143" t="s">
        <v>662</v>
      </c>
    </row>
    <row r="55">
      <c r="A55" s="147" t="s">
        <v>663</v>
      </c>
    </row>
    <row r="56">
      <c r="A56" s="143" t="s">
        <v>664</v>
      </c>
    </row>
    <row r="57">
      <c r="A57" s="147" t="s">
        <v>665</v>
      </c>
    </row>
    <row r="58">
      <c r="A58" s="143" t="s">
        <v>666</v>
      </c>
    </row>
    <row r="59">
      <c r="A59" s="147" t="s">
        <v>667</v>
      </c>
    </row>
    <row r="60">
      <c r="A60" s="143" t="s">
        <v>668</v>
      </c>
    </row>
    <row r="61">
      <c r="A61" s="147" t="s">
        <v>669</v>
      </c>
    </row>
    <row r="62">
      <c r="A62" s="143" t="s">
        <v>670</v>
      </c>
    </row>
    <row r="63">
      <c r="A63" s="147" t="s">
        <v>671</v>
      </c>
    </row>
    <row r="64">
      <c r="A64" s="143" t="s">
        <v>672</v>
      </c>
    </row>
    <row r="65">
      <c r="A65" s="147" t="s">
        <v>673</v>
      </c>
    </row>
    <row r="66">
      <c r="A66" s="143" t="s">
        <v>674</v>
      </c>
    </row>
    <row r="67">
      <c r="A67" s="147" t="s">
        <v>675</v>
      </c>
    </row>
    <row r="68">
      <c r="A68" s="143" t="s">
        <v>676</v>
      </c>
    </row>
    <row r="69">
      <c r="A69" s="147" t="s">
        <v>677</v>
      </c>
    </row>
    <row r="70">
      <c r="A70" s="143"/>
    </row>
    <row r="71">
      <c r="A71" s="143" t="s">
        <v>678</v>
      </c>
    </row>
    <row r="72">
      <c r="A72" s="147" t="s">
        <v>679</v>
      </c>
    </row>
    <row r="73">
      <c r="A73" s="147" t="s">
        <v>680</v>
      </c>
    </row>
    <row r="74">
      <c r="A74" s="143"/>
    </row>
    <row r="75">
      <c r="A75" s="143" t="s">
        <v>681</v>
      </c>
    </row>
    <row r="76">
      <c r="A76" s="145" t="s">
        <v>682</v>
      </c>
    </row>
    <row r="77">
      <c r="A77" s="146" t="s">
        <v>683</v>
      </c>
    </row>
    <row r="78">
      <c r="A78" s="145" t="s">
        <v>684</v>
      </c>
    </row>
    <row r="79">
      <c r="A79" s="146" t="s">
        <v>685</v>
      </c>
    </row>
    <row r="80">
      <c r="A80" s="145" t="s">
        <v>686</v>
      </c>
    </row>
    <row r="81">
      <c r="A81" s="145" t="s">
        <v>687</v>
      </c>
    </row>
    <row r="82">
      <c r="A82" s="145" t="s">
        <v>688</v>
      </c>
    </row>
    <row r="83">
      <c r="A83" s="146" t="s">
        <v>689</v>
      </c>
    </row>
    <row r="84">
      <c r="A84" s="145" t="s">
        <v>690</v>
      </c>
    </row>
    <row r="85">
      <c r="A85" s="145" t="s">
        <v>640</v>
      </c>
    </row>
    <row r="86">
      <c r="A86" s="145" t="s">
        <v>640</v>
      </c>
    </row>
    <row r="88">
      <c r="A88" s="5" t="s">
        <v>495</v>
      </c>
      <c r="B88" s="5">
        <v>528.0</v>
      </c>
    </row>
    <row r="89">
      <c r="A89" s="5" t="s">
        <v>11</v>
      </c>
      <c r="B89" s="5">
        <v>46464.0</v>
      </c>
    </row>
    <row r="90">
      <c r="A90" s="5" t="s">
        <v>691</v>
      </c>
      <c r="B90" s="5">
        <v>87472.0</v>
      </c>
    </row>
    <row r="91">
      <c r="B91">
        <f>B90/B89</f>
        <v>1.882575758</v>
      </c>
      <c r="C91">
        <f>B90-B89</f>
        <v>41008</v>
      </c>
    </row>
    <row r="93">
      <c r="A93" s="5" t="s">
        <v>495</v>
      </c>
      <c r="B93" s="5">
        <v>612.0</v>
      </c>
    </row>
    <row r="94">
      <c r="A94" s="5" t="s">
        <v>11</v>
      </c>
      <c r="B94" s="5">
        <v>46464.0</v>
      </c>
    </row>
    <row r="95">
      <c r="A95" s="5" t="s">
        <v>691</v>
      </c>
      <c r="B95" s="5">
        <v>101038.0</v>
      </c>
      <c r="D95" s="5" t="s">
        <v>692</v>
      </c>
    </row>
    <row r="96">
      <c r="B96">
        <f>B95/B94</f>
        <v>2.174543733</v>
      </c>
      <c r="C96">
        <f>B95-B94</f>
        <v>54574</v>
      </c>
      <c r="D96">
        <f>C96-C91</f>
        <v>13566</v>
      </c>
    </row>
  </sheetData>
  <mergeCells count="2">
    <mergeCell ref="A3:E6"/>
    <mergeCell ref="A17:E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5" t="s">
        <v>693</v>
      </c>
      <c r="B1" s="9">
        <v>0.02</v>
      </c>
      <c r="D1" s="5" t="s">
        <v>694</v>
      </c>
      <c r="E1" s="5"/>
      <c r="F1" s="5"/>
    </row>
    <row r="2">
      <c r="A2" s="5" t="s">
        <v>695</v>
      </c>
      <c r="B2" s="5"/>
    </row>
    <row r="3">
      <c r="A3" s="5" t="s">
        <v>696</v>
      </c>
      <c r="B3" s="9">
        <v>59.0</v>
      </c>
    </row>
    <row r="4">
      <c r="A4" s="5" t="s">
        <v>455</v>
      </c>
      <c r="B4">
        <f>(B3)/(1.5*4+B1*4)</f>
        <v>9.703947368</v>
      </c>
    </row>
    <row r="7">
      <c r="A7" s="5">
        <v>2.53</v>
      </c>
      <c r="B7" s="5">
        <v>27.8</v>
      </c>
      <c r="C7">
        <f>B7/A7</f>
        <v>10.98814229</v>
      </c>
    </row>
    <row r="8">
      <c r="A8" s="5"/>
      <c r="B8" s="5"/>
    </row>
    <row r="9">
      <c r="A9" s="5"/>
      <c r="B9" s="5"/>
    </row>
    <row r="10">
      <c r="A10" s="5" t="s">
        <v>697</v>
      </c>
      <c r="B10">
        <v>0.23214285714285715</v>
      </c>
      <c r="C10" s="148" t="s">
        <v>698</v>
      </c>
      <c r="F10" s="5" t="s">
        <v>697</v>
      </c>
      <c r="G10">
        <v>0.23214285714285715</v>
      </c>
      <c r="H10" s="148" t="s">
        <v>698</v>
      </c>
    </row>
    <row r="11">
      <c r="A11" s="5" t="s">
        <v>494</v>
      </c>
      <c r="B11" s="9">
        <v>28.0</v>
      </c>
      <c r="C11">
        <f>B11*B10</f>
        <v>6.5</v>
      </c>
      <c r="F11" s="5" t="s">
        <v>494</v>
      </c>
      <c r="G11" s="9">
        <v>0.0</v>
      </c>
      <c r="H11">
        <f>G11*G10</f>
        <v>0</v>
      </c>
    </row>
    <row r="13">
      <c r="A13" s="5" t="s">
        <v>699</v>
      </c>
      <c r="B13">
        <v>10.988142292490119</v>
      </c>
      <c r="C13" s="148" t="s">
        <v>698</v>
      </c>
      <c r="F13" s="5" t="s">
        <v>699</v>
      </c>
      <c r="G13">
        <v>10.988142292490119</v>
      </c>
      <c r="H13" s="148" t="s">
        <v>698</v>
      </c>
    </row>
    <row r="14">
      <c r="A14" s="5" t="s">
        <v>181</v>
      </c>
      <c r="B14" s="9">
        <v>0.0</v>
      </c>
      <c r="C14">
        <f>B14*B13</f>
        <v>0</v>
      </c>
      <c r="F14" s="5" t="s">
        <v>181</v>
      </c>
      <c r="G14" s="9">
        <v>0.0</v>
      </c>
      <c r="H14">
        <f>G14*G13</f>
        <v>0</v>
      </c>
    </row>
    <row r="16">
      <c r="A16" s="5" t="s">
        <v>700</v>
      </c>
      <c r="B16">
        <v>5.483234714003944</v>
      </c>
      <c r="F16" s="5" t="s">
        <v>700</v>
      </c>
      <c r="G16">
        <v>5.483234714003944</v>
      </c>
    </row>
    <row r="17">
      <c r="A17" s="5" t="s">
        <v>701</v>
      </c>
      <c r="B17" s="9">
        <v>5.06</v>
      </c>
      <c r="C17">
        <f>B17*B16</f>
        <v>27.74516765</v>
      </c>
      <c r="F17" s="5" t="s">
        <v>701</v>
      </c>
      <c r="G17" s="9">
        <v>5.0</v>
      </c>
      <c r="H17">
        <f>G17*G16</f>
        <v>27.41617357</v>
      </c>
    </row>
    <row r="19">
      <c r="C19">
        <f>C17+C14+C11</f>
        <v>34.24516765</v>
      </c>
      <c r="H19">
        <f>H17+H14+H11</f>
        <v>27.41617357</v>
      </c>
    </row>
    <row r="21">
      <c r="A21" s="5" t="s">
        <v>702</v>
      </c>
    </row>
    <row r="22">
      <c r="A22" s="5" t="s">
        <v>703</v>
      </c>
    </row>
    <row r="23">
      <c r="A23" s="5" t="s">
        <v>704</v>
      </c>
      <c r="E23" s="5" t="s">
        <v>705</v>
      </c>
    </row>
    <row r="24">
      <c r="A24" s="5" t="s">
        <v>706</v>
      </c>
    </row>
    <row r="27">
      <c r="F27" s="5" t="s">
        <v>707</v>
      </c>
      <c r="G27" s="5" t="s">
        <v>708</v>
      </c>
      <c r="H27" s="149" t="s">
        <v>709</v>
      </c>
      <c r="I27" s="121" t="s">
        <v>710</v>
      </c>
      <c r="J27" s="5" t="s">
        <v>711</v>
      </c>
    </row>
    <row r="28">
      <c r="B28" s="5" t="s">
        <v>55</v>
      </c>
      <c r="C28" s="5" t="s">
        <v>87</v>
      </c>
      <c r="E28" s="5" t="s">
        <v>712</v>
      </c>
      <c r="F28" s="5" t="s">
        <v>160</v>
      </c>
      <c r="H28" s="149" t="s">
        <v>709</v>
      </c>
      <c r="I28" s="121" t="s">
        <v>710</v>
      </c>
      <c r="J28" s="5" t="s">
        <v>713</v>
      </c>
    </row>
    <row r="29">
      <c r="A29" s="5" t="s">
        <v>103</v>
      </c>
      <c r="B29" s="5">
        <v>1.09</v>
      </c>
      <c r="C29" s="5"/>
      <c r="F29" s="5" t="s">
        <v>363</v>
      </c>
      <c r="H29" s="149" t="s">
        <v>709</v>
      </c>
      <c r="I29" s="121" t="s">
        <v>710</v>
      </c>
      <c r="J29" s="121" t="s">
        <v>710</v>
      </c>
      <c r="K29" s="5" t="s">
        <v>714</v>
      </c>
    </row>
    <row r="30">
      <c r="A30" s="5" t="s">
        <v>715</v>
      </c>
      <c r="B30" s="5">
        <v>0.3</v>
      </c>
      <c r="C30" s="5">
        <v>0.33</v>
      </c>
      <c r="E30" s="5" t="s">
        <v>712</v>
      </c>
      <c r="F30" s="5" t="s">
        <v>161</v>
      </c>
      <c r="H30" s="149" t="s">
        <v>709</v>
      </c>
      <c r="I30" s="150" t="s">
        <v>716</v>
      </c>
      <c r="J30" s="5" t="s">
        <v>713</v>
      </c>
    </row>
    <row r="31">
      <c r="A31" s="5" t="s">
        <v>119</v>
      </c>
      <c r="B31" s="5">
        <v>1.18</v>
      </c>
      <c r="F31" s="5" t="s">
        <v>717</v>
      </c>
      <c r="G31" s="5" t="s">
        <v>181</v>
      </c>
      <c r="H31" s="121" t="s">
        <v>710</v>
      </c>
      <c r="I31" s="5" t="s">
        <v>718</v>
      </c>
    </row>
    <row r="32">
      <c r="A32" s="5" t="s">
        <v>715</v>
      </c>
      <c r="B32" s="5">
        <v>0.3</v>
      </c>
      <c r="C32" s="5">
        <v>0.33</v>
      </c>
    </row>
    <row r="33">
      <c r="A33" s="5" t="s">
        <v>719</v>
      </c>
      <c r="B33" s="5">
        <v>0.7</v>
      </c>
      <c r="C33" s="5">
        <v>0.77</v>
      </c>
    </row>
    <row r="34">
      <c r="A34" s="5" t="s">
        <v>195</v>
      </c>
      <c r="B34" s="5">
        <v>0.3</v>
      </c>
      <c r="C34" s="5">
        <v>-0.2</v>
      </c>
    </row>
    <row r="35">
      <c r="A35" s="5" t="s">
        <v>190</v>
      </c>
      <c r="B35" s="5">
        <v>0.3</v>
      </c>
      <c r="C35" s="5">
        <v>-0.2</v>
      </c>
    </row>
    <row r="36">
      <c r="A36" s="5" t="s">
        <v>196</v>
      </c>
      <c r="B36" s="5">
        <v>0.6</v>
      </c>
      <c r="C36" s="5">
        <v>-0.4</v>
      </c>
    </row>
    <row r="37">
      <c r="A37" s="5" t="s">
        <v>114</v>
      </c>
      <c r="B37" s="5">
        <v>0.3</v>
      </c>
      <c r="C37" s="5">
        <v>-0.2</v>
      </c>
    </row>
    <row r="38">
      <c r="A38" s="5" t="s">
        <v>720</v>
      </c>
      <c r="B38" s="5">
        <v>0.3</v>
      </c>
      <c r="C38" s="5">
        <v>-0.2</v>
      </c>
    </row>
    <row r="39">
      <c r="B39" s="5"/>
    </row>
    <row r="44">
      <c r="B44" s="151">
        <v>17.59</v>
      </c>
      <c r="C44" s="5">
        <v>23.49</v>
      </c>
    </row>
    <row r="45">
      <c r="B45">
        <f t="shared" ref="B45:C45" si="1">SUM(B29:B44)</f>
        <v>22.96</v>
      </c>
      <c r="C45">
        <f t="shared" si="1"/>
        <v>23.72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721</v>
      </c>
      <c r="C1" s="5"/>
      <c r="D1" s="5"/>
      <c r="E1" s="5"/>
      <c r="F1" s="5"/>
      <c r="G1" s="5"/>
      <c r="H1" s="5"/>
    </row>
    <row r="3">
      <c r="A3" s="94" t="s">
        <v>722</v>
      </c>
      <c r="B3" s="152"/>
    </row>
    <row r="4">
      <c r="A4" s="94" t="s">
        <v>1</v>
      </c>
      <c r="B4" s="94">
        <v>0.0</v>
      </c>
    </row>
    <row r="5">
      <c r="A5" s="94" t="s">
        <v>723</v>
      </c>
      <c r="B5" s="94">
        <v>50.0</v>
      </c>
      <c r="C5" s="5" t="s">
        <v>724</v>
      </c>
      <c r="G5" s="5"/>
      <c r="H5" s="5"/>
    </row>
    <row r="6">
      <c r="A6" s="94" t="s">
        <v>28</v>
      </c>
      <c r="B6" s="94">
        <v>0.0</v>
      </c>
      <c r="C6" s="5"/>
      <c r="G6" s="5"/>
      <c r="H6" s="5"/>
    </row>
    <row r="7">
      <c r="A7" s="94" t="s">
        <v>11</v>
      </c>
      <c r="B7" s="152">
        <f>((Sheet1!B3+B5*10)+((B4+(B6*2))*Sheet1!G5))/(1-(Sheet1!C2))-(Sheet1!B3)/(1-(Sheet1!C2))</f>
        <v>1294.314381</v>
      </c>
      <c r="C7" s="151"/>
      <c r="D7" s="5"/>
      <c r="G7" s="5"/>
    </row>
    <row r="8">
      <c r="A8" s="153"/>
      <c r="B8" s="81"/>
      <c r="C8" s="151"/>
    </row>
    <row r="9">
      <c r="A9" s="94" t="s">
        <v>725</v>
      </c>
      <c r="B9" s="152"/>
      <c r="C9" s="5"/>
      <c r="F9" s="94" t="s">
        <v>726</v>
      </c>
      <c r="G9" s="152"/>
    </row>
    <row r="10">
      <c r="A10" s="94" t="s">
        <v>1</v>
      </c>
      <c r="B10" s="94">
        <v>550.0</v>
      </c>
      <c r="C10" s="5"/>
      <c r="F10" s="94" t="s">
        <v>1</v>
      </c>
      <c r="G10" s="94">
        <v>0.0</v>
      </c>
    </row>
    <row r="11">
      <c r="A11" s="94" t="s">
        <v>25</v>
      </c>
      <c r="B11" s="94">
        <v>0.0</v>
      </c>
      <c r="F11" s="94" t="s">
        <v>723</v>
      </c>
      <c r="G11" s="94">
        <v>25.0</v>
      </c>
      <c r="H11" s="5"/>
    </row>
    <row r="12">
      <c r="A12" s="94" t="s">
        <v>28</v>
      </c>
      <c r="B12" s="94">
        <v>0.0</v>
      </c>
      <c r="E12" s="5"/>
      <c r="F12" s="94" t="s">
        <v>28</v>
      </c>
      <c r="G12" s="94">
        <v>0.0</v>
      </c>
    </row>
    <row r="13">
      <c r="A13" s="94" t="s">
        <v>11</v>
      </c>
      <c r="B13" s="152">
        <f>((Sheet1!B3+B11*Sheet1!G2)+((B10+(B12*2))*Sheet1!G5))/(1-(Sheet1!C2))-(Sheet1!B3)/(1-(Sheet1!C2))</f>
        <v>1566.120401</v>
      </c>
      <c r="C13" s="10"/>
      <c r="F13" s="94" t="s">
        <v>11</v>
      </c>
      <c r="G13" s="152">
        <f>((Sheet1!B3+G11*10)+((G10+(G12*2))*Sheet1!G21))/(1-(Sheet1!C2))-(Sheet1!B3)/(1-(Sheet1!C2))</f>
        <v>647.1571906</v>
      </c>
      <c r="H13" s="5"/>
    </row>
    <row r="14">
      <c r="A14" s="5"/>
      <c r="G14" s="5"/>
      <c r="H14" s="5"/>
      <c r="K14" s="5" t="s">
        <v>727</v>
      </c>
    </row>
    <row r="15">
      <c r="A15" s="94" t="s">
        <v>728</v>
      </c>
      <c r="B15" s="152"/>
      <c r="G15" s="5"/>
      <c r="H15" s="5"/>
      <c r="I15" s="5" t="s">
        <v>729</v>
      </c>
      <c r="K15" s="5">
        <v>22.0</v>
      </c>
    </row>
    <row r="16">
      <c r="A16" s="94" t="s">
        <v>1</v>
      </c>
      <c r="B16" s="94">
        <v>0.0</v>
      </c>
      <c r="I16" s="5" t="s">
        <v>730</v>
      </c>
      <c r="J16" s="5">
        <v>1.0</v>
      </c>
      <c r="K16">
        <f>J16*K15</f>
        <v>22</v>
      </c>
    </row>
    <row r="17">
      <c r="A17" s="94" t="s">
        <v>25</v>
      </c>
      <c r="B17" s="94">
        <v>0.0</v>
      </c>
      <c r="I17" s="5" t="s">
        <v>731</v>
      </c>
      <c r="J17" s="5">
        <v>3.0</v>
      </c>
      <c r="K17">
        <f>K15*J17</f>
        <v>66</v>
      </c>
    </row>
    <row r="18">
      <c r="A18" s="94" t="s">
        <v>28</v>
      </c>
      <c r="B18" s="94">
        <v>35.0</v>
      </c>
      <c r="I18" s="5" t="s">
        <v>732</v>
      </c>
      <c r="J18" s="5">
        <v>7.0</v>
      </c>
      <c r="K18">
        <f>J18*K15</f>
        <v>154</v>
      </c>
    </row>
    <row r="19">
      <c r="A19" s="94" t="s">
        <v>11</v>
      </c>
      <c r="B19" s="152">
        <f>((Sheet1!B3+B17*Sheet1!G2)+((B16+(B18*2))*Sheet1!G5))/(1-(Sheet1!C2))-(Sheet1!B3)/(1-(Sheet1!C2))</f>
        <v>199.3244147</v>
      </c>
      <c r="G19" s="5"/>
      <c r="I19" s="5" t="s">
        <v>733</v>
      </c>
      <c r="J19" s="5">
        <v>1.0</v>
      </c>
      <c r="K19">
        <f>J19*K15</f>
        <v>22</v>
      </c>
    </row>
    <row r="20">
      <c r="A20" s="154"/>
      <c r="B20" s="80"/>
      <c r="G20" s="5"/>
    </row>
    <row r="21">
      <c r="A21" s="5" t="s">
        <v>734</v>
      </c>
      <c r="B21">
        <f>B7</f>
        <v>1294.314381</v>
      </c>
    </row>
    <row r="22">
      <c r="A22" s="5" t="s">
        <v>735</v>
      </c>
      <c r="B22">
        <f>B13+B19</f>
        <v>1765.444816</v>
      </c>
    </row>
    <row r="23">
      <c r="A23" s="5" t="s">
        <v>736</v>
      </c>
      <c r="B23">
        <f>G13+B19</f>
        <v>846.4816054</v>
      </c>
    </row>
    <row r="24">
      <c r="A24" s="5"/>
    </row>
    <row r="25">
      <c r="A25" s="5" t="s">
        <v>737</v>
      </c>
    </row>
    <row r="26">
      <c r="A26" s="5" t="s">
        <v>1</v>
      </c>
      <c r="B26" s="5">
        <v>0.0</v>
      </c>
      <c r="D26" s="5"/>
    </row>
    <row r="27">
      <c r="A27" s="5" t="s">
        <v>25</v>
      </c>
      <c r="B27" s="5">
        <v>30.0</v>
      </c>
    </row>
    <row r="28">
      <c r="A28" s="5" t="s">
        <v>28</v>
      </c>
      <c r="B28" s="5">
        <v>0.0</v>
      </c>
    </row>
    <row r="29">
      <c r="A29" s="5" t="s">
        <v>11</v>
      </c>
      <c r="B29">
        <f>((Sheet1!B3+B27*Sheet1!G2)+((B26+(B28*2))*Sheet1!G5))/(1-(Sheet1!C2))-(Sheet1!B3)/(1-(Sheet1!C2))</f>
        <v>780.4715719</v>
      </c>
    </row>
    <row r="31">
      <c r="A31" s="5" t="s">
        <v>738</v>
      </c>
      <c r="D31" s="5"/>
    </row>
    <row r="32">
      <c r="A32" s="5" t="s">
        <v>1</v>
      </c>
      <c r="B32" s="5">
        <v>300.0</v>
      </c>
    </row>
    <row r="33">
      <c r="A33" s="5" t="s">
        <v>25</v>
      </c>
      <c r="B33" s="5">
        <v>0.0</v>
      </c>
    </row>
    <row r="34">
      <c r="A34" s="5" t="s">
        <v>28</v>
      </c>
      <c r="B34" s="5">
        <v>0.0</v>
      </c>
    </row>
    <row r="35">
      <c r="A35" s="5" t="s">
        <v>11</v>
      </c>
      <c r="B35">
        <f>((Sheet1!B3+B33*Sheet1!G2)+((B32+(B34*2))*Sheet1!G5))/(1-(Sheet1!C2))-(Sheet1!B3)/(1-(Sheet1!C2))</f>
        <v>854.2474916</v>
      </c>
    </row>
    <row r="37">
      <c r="A37" s="5" t="s">
        <v>739</v>
      </c>
    </row>
    <row r="38">
      <c r="A38" s="5" t="s">
        <v>1</v>
      </c>
      <c r="B38" s="5">
        <v>0.0</v>
      </c>
    </row>
    <row r="39">
      <c r="A39" s="5" t="s">
        <v>25</v>
      </c>
      <c r="B39" s="5">
        <v>0.0</v>
      </c>
    </row>
    <row r="40">
      <c r="A40" s="5" t="s">
        <v>28</v>
      </c>
      <c r="B40" s="5">
        <v>20.0</v>
      </c>
    </row>
    <row r="41">
      <c r="A41" s="5" t="s">
        <v>11</v>
      </c>
      <c r="B41">
        <f>((Sheet1!B3+B39*Sheet1!G2)+((B38+(B40*2))*Sheet1!G5))/(1-(Sheet1!C2))-(Sheet1!B3)/(1-(Sheet1!C2))</f>
        <v>113.8996656</v>
      </c>
    </row>
    <row r="43">
      <c r="A43" s="5" t="s">
        <v>740</v>
      </c>
    </row>
    <row r="44">
      <c r="A44" s="5" t="s">
        <v>1</v>
      </c>
      <c r="B44" s="5">
        <v>2500.0</v>
      </c>
    </row>
    <row r="45">
      <c r="A45" s="5" t="s">
        <v>25</v>
      </c>
      <c r="B45" s="5">
        <v>0.0</v>
      </c>
    </row>
    <row r="46">
      <c r="A46" s="5" t="s">
        <v>28</v>
      </c>
      <c r="B46" s="5">
        <v>0.0</v>
      </c>
    </row>
    <row r="47">
      <c r="A47" s="5" t="s">
        <v>11</v>
      </c>
      <c r="B47">
        <f>((Sheet1!B3+B45*Sheet1!G2)+((B44+(B46*2))*Sheet1!G5))/(1-(Sheet1!C2))-(Sheet1!B3)/(1-(Sheet1!C2))</f>
        <v>7118.729097</v>
      </c>
    </row>
    <row r="49">
      <c r="A49" s="155" t="s">
        <v>741</v>
      </c>
      <c r="B49" s="156"/>
    </row>
    <row r="50">
      <c r="A50" s="155" t="s">
        <v>1</v>
      </c>
      <c r="B50" s="155">
        <v>0.0</v>
      </c>
    </row>
    <row r="51">
      <c r="A51" s="155" t="s">
        <v>25</v>
      </c>
      <c r="B51" s="155">
        <v>15.0</v>
      </c>
    </row>
    <row r="52">
      <c r="A52" s="155" t="s">
        <v>495</v>
      </c>
      <c r="B52" s="155">
        <v>0.0</v>
      </c>
    </row>
    <row r="53">
      <c r="A53" s="155" t="s">
        <v>28</v>
      </c>
      <c r="B53" s="155">
        <v>0.0</v>
      </c>
    </row>
    <row r="54">
      <c r="A54" s="155" t="s">
        <v>11</v>
      </c>
      <c r="B54" s="156">
        <f>(((Sheet1!$B$3+(B52*Sheet1!$G$7*Sheet1!$G$8))+B51*Sheet1!$G$2)+((B50+(B53*2))*Sheet1!$G$5))/(1-(Sheet1!$C$2))-(Sheet1!$B$3)/(1-(Sheet1!$C$2))</f>
        <v>390.235786</v>
      </c>
    </row>
  </sheetData>
  <drawing r:id="rId1"/>
</worksheet>
</file>